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6500" windowHeight="131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31'!$A$1:$G$43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9" i="3" l="1"/>
  <c r="G39" i="3"/>
  <c r="C4" i="3" l="1"/>
  <c r="C9" i="4" l="1"/>
  <c r="E13" i="11" l="1"/>
  <c r="J13" i="11"/>
  <c r="D12" i="11"/>
  <c r="D10" i="11"/>
  <c r="D268" i="29" l="1"/>
  <c r="D267" i="29"/>
  <c r="D266" i="29"/>
  <c r="D264" i="29"/>
  <c r="D254" i="29"/>
  <c r="D241" i="29"/>
  <c r="D235" i="29"/>
  <c r="D223" i="29"/>
  <c r="D219" i="29"/>
  <c r="D218" i="29"/>
  <c r="D217" i="29"/>
  <c r="D216" i="29"/>
  <c r="H170" i="29"/>
  <c r="F124" i="29"/>
  <c r="F49" i="29"/>
  <c r="E49" i="29"/>
  <c r="E8" i="29"/>
  <c r="D8" i="29"/>
  <c r="C8" i="29"/>
  <c r="C98" i="5"/>
  <c r="C81" i="5"/>
  <c r="F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c r="B6380" i="106"/>
  <c r="D6380" i="106" s="1"/>
  <c r="B6381" i="106"/>
  <c r="D6381" i="106" s="1"/>
  <c r="B6382" i="106"/>
  <c r="D6382" i="106" s="1"/>
  <c r="B6383" i="106"/>
  <c r="D6383" i="106" s="1"/>
  <c r="B6384" i="106"/>
  <c r="D6384" i="106"/>
  <c r="B6385" i="106"/>
  <c r="D6385" i="106" s="1"/>
  <c r="B6386" i="106"/>
  <c r="D6386" i="106" s="1"/>
  <c r="B6387" i="106"/>
  <c r="D6387" i="106" s="1"/>
  <c r="B6388" i="106"/>
  <c r="D6388" i="106"/>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c r="B6714" i="106"/>
  <c r="D6714" i="106" s="1"/>
  <c r="B6715" i="106"/>
  <c r="D6715" i="106" s="1"/>
  <c r="B6716" i="106"/>
  <c r="D6716" i="106" s="1"/>
  <c r="B6717" i="106"/>
  <c r="D6717" i="106"/>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F36" i="108"/>
  <c r="G28" i="108"/>
  <c r="E29" i="108"/>
  <c r="G29" i="108"/>
  <c r="E30"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J22" i="37"/>
  <c r="L22" i="37"/>
  <c r="D24" i="37"/>
  <c r="B4270" i="106" s="1"/>
  <c r="D4270" i="106" s="1"/>
  <c r="D4" i="7"/>
  <c r="B1760" i="106" s="1"/>
  <c r="D1760" i="106" s="1"/>
  <c r="D9" i="7"/>
  <c r="B1767" i="106" s="1"/>
  <c r="D1767" i="106" s="1"/>
  <c r="F136" i="34"/>
  <c r="H173" i="5"/>
  <c r="B5906" i="106" s="1"/>
  <c r="D5906" i="106" s="1"/>
  <c r="L342" i="29" l="1"/>
  <c r="D54" i="36"/>
  <c r="L13" i="11"/>
  <c r="B2060" i="106" s="1"/>
  <c r="D2060" i="106" s="1"/>
  <c r="D12" i="7"/>
  <c r="B1769" i="106" s="1"/>
  <c r="D1769" i="106" s="1"/>
  <c r="F70" i="34"/>
  <c r="D7" i="7"/>
  <c r="B1763" i="106" s="1"/>
  <c r="D1763" i="106" s="1"/>
  <c r="F28" i="108"/>
  <c r="F41" i="108" s="1"/>
  <c r="G43" i="108" s="1"/>
  <c r="G30" i="108"/>
  <c r="D13" i="7"/>
  <c r="B3726" i="106" s="1"/>
  <c r="D3726" i="106" s="1"/>
  <c r="L15" i="11"/>
  <c r="B3459" i="106" s="1"/>
  <c r="D3459" i="106" s="1"/>
  <c r="F44" i="34"/>
  <c r="D31" i="36"/>
  <c r="J129" i="29"/>
  <c r="B7038" i="106" s="1"/>
  <c r="D7038" i="106" s="1"/>
  <c r="G172" i="5"/>
  <c r="G173" i="5" s="1"/>
  <c r="B5778" i="106" s="1"/>
  <c r="D5778" i="106" s="1"/>
  <c r="F34" i="34"/>
  <c r="B6289" i="106"/>
  <c r="D6289" i="106" s="1"/>
  <c r="J274" i="5"/>
  <c r="B7054" i="106" s="1"/>
  <c r="D7054" i="106" s="1"/>
  <c r="J352" i="29"/>
  <c r="J367" i="29" s="1"/>
  <c r="B7245" i="106" s="1"/>
  <c r="D7245" i="106" s="1"/>
  <c r="B5752" i="106"/>
  <c r="D5752" i="106" s="1"/>
  <c r="D11" i="37"/>
  <c r="G5" i="4"/>
  <c r="B3409" i="106" s="1"/>
  <c r="D3409" i="106" s="1"/>
  <c r="B5096" i="106"/>
  <c r="D5096" i="106" s="1"/>
  <c r="C109" i="5"/>
  <c r="B5121" i="106" s="1"/>
  <c r="D5121" i="106" s="1"/>
  <c r="I342" i="29"/>
  <c r="B7222" i="106" s="1"/>
  <c r="D7222" i="106" s="1"/>
  <c r="K76" i="4"/>
  <c r="B3586" i="106" s="1"/>
  <c r="D3586" i="106" s="1"/>
  <c r="E174" i="29"/>
  <c r="B1309" i="106" s="1"/>
  <c r="D1309" i="106" s="1"/>
  <c r="L5" i="11"/>
  <c r="B2056" i="106" s="1"/>
  <c r="D2056" i="106" s="1"/>
  <c r="D22" i="37"/>
  <c r="F172" i="5"/>
  <c r="B5644" i="106" s="1"/>
  <c r="D5644" i="106" s="1"/>
  <c r="F35" i="34"/>
  <c r="D37" i="108"/>
  <c r="F37" i="108"/>
  <c r="E28" i="108"/>
  <c r="D26" i="108"/>
  <c r="D41" i="108" s="1"/>
  <c r="E43" i="108" s="1"/>
  <c r="B7235" i="106"/>
  <c r="D7235" i="106" s="1"/>
  <c r="C342" i="29"/>
  <c r="B7216" i="106" s="1"/>
  <c r="D7216" i="106" s="1"/>
  <c r="F77" i="4"/>
  <c r="B3255" i="106" s="1"/>
  <c r="D3255" i="106" s="1"/>
  <c r="F106" i="34"/>
  <c r="B1223" i="106"/>
  <c r="D1223" i="106" s="1"/>
  <c r="B1126" i="106"/>
  <c r="D1126" i="106" s="1"/>
  <c r="H6" i="4"/>
  <c r="B2656" i="106" s="1"/>
  <c r="D2656" i="106" s="1"/>
  <c r="H109" i="5"/>
  <c r="B6025" i="106" s="1"/>
  <c r="D6025" i="106" s="1"/>
  <c r="F62" i="34"/>
  <c r="F49" i="34"/>
  <c r="F41" i="34"/>
  <c r="G39" i="108"/>
  <c r="B7047" i="106"/>
  <c r="D7047" i="106" s="1"/>
  <c r="D17" i="7"/>
  <c r="B4104" i="106" s="1"/>
  <c r="D4104" i="106" s="1"/>
  <c r="C172" i="5"/>
  <c r="B5214" i="106" s="1"/>
  <c r="D5214" i="106" s="1"/>
  <c r="F127" i="34"/>
  <c r="D5" i="7"/>
  <c r="B1761" i="106" s="1"/>
  <c r="D1761" i="106" s="1"/>
  <c r="H33" i="118"/>
  <c r="F128" i="34"/>
  <c r="B4951" i="106"/>
  <c r="D4951" i="106" s="1"/>
  <c r="L367" i="29"/>
  <c r="F19" i="7"/>
  <c r="B1807" i="106" s="1"/>
  <c r="D1807" i="106" s="1"/>
  <c r="F71" i="34"/>
  <c r="F50" i="34"/>
  <c r="F42" i="34"/>
  <c r="F26" i="108"/>
  <c r="K26" i="12"/>
  <c r="B7743" i="106" s="1"/>
  <c r="D7743" i="106" s="1"/>
  <c r="K350" i="29"/>
  <c r="K352" i="29" s="1"/>
  <c r="B5770" i="106"/>
  <c r="D5770" i="106" s="1"/>
  <c r="B3565" i="106"/>
  <c r="D3565" i="106" s="1"/>
  <c r="K41" i="3"/>
  <c r="B6191" i="106"/>
  <c r="D6191" i="106" s="1"/>
  <c r="J41" i="3"/>
  <c r="B6216" i="106" s="1"/>
  <c r="D6216" i="106" s="1"/>
  <c r="D15" i="7"/>
  <c r="B1772" i="106" s="1"/>
  <c r="D1772" i="106" s="1"/>
  <c r="B1746" i="106"/>
  <c r="D1746" i="106" s="1"/>
  <c r="D109" i="5"/>
  <c r="F130" i="34"/>
  <c r="K28" i="118"/>
  <c r="O27" i="118" s="1"/>
  <c r="O29" i="118" s="1"/>
  <c r="G109" i="5"/>
  <c r="H342" i="29"/>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19" i="106"/>
  <c r="D3619" i="106" s="1"/>
  <c r="C352" i="29"/>
  <c r="F21" i="8"/>
  <c r="B3689" i="106"/>
  <c r="D3689" i="106" s="1"/>
  <c r="J77" i="4"/>
  <c r="B6262" i="106" s="1"/>
  <c r="D6262" i="106" s="1"/>
  <c r="B3670" i="106"/>
  <c r="D3670"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B3447" i="106"/>
  <c r="D3447" i="106" s="1"/>
  <c r="B7270" i="106"/>
  <c r="L114" i="29" l="1"/>
  <c r="D19" i="7"/>
  <c r="B1775" i="106" s="1"/>
  <c r="D1775" i="106" s="1"/>
  <c r="L16" i="11"/>
  <c r="B2061" i="106" s="1"/>
  <c r="D2061" i="106" s="1"/>
  <c r="B2031" i="106"/>
  <c r="D2031" i="106" s="1"/>
  <c r="D44" i="36"/>
  <c r="B5527" i="106"/>
  <c r="D5527" i="106" s="1"/>
  <c r="D274" i="5"/>
  <c r="C4" i="4"/>
  <c r="B2551" i="106" s="1"/>
  <c r="D2551" i="106" s="1"/>
  <c r="K77" i="4"/>
  <c r="B3587" i="106" s="1"/>
  <c r="D3587" i="106" s="1"/>
  <c r="F173" i="5"/>
  <c r="J151" i="29"/>
  <c r="B7052" i="106" s="1"/>
  <c r="D7052" i="106" s="1"/>
  <c r="C173" i="5"/>
  <c r="K13" i="4"/>
  <c r="B3572" i="106" s="1"/>
  <c r="D3572" i="106" s="1"/>
  <c r="B3672" i="106"/>
  <c r="D3672" i="106" s="1"/>
  <c r="K367" i="29"/>
  <c r="D51" i="36"/>
  <c r="D7255" i="106"/>
  <c r="D7256" i="106"/>
  <c r="D7251" i="106"/>
  <c r="C114" i="29"/>
  <c r="B757" i="106" s="1"/>
  <c r="D757" i="106" s="1"/>
  <c r="H4" i="4"/>
  <c r="H275" i="5"/>
  <c r="D7252" i="106"/>
  <c r="B1317" i="106"/>
  <c r="D1317" i="106" s="1"/>
  <c r="D7253" i="106"/>
  <c r="F274" i="5"/>
  <c r="F275" i="5" s="1"/>
  <c r="B5720" i="106" s="1"/>
  <c r="D5720" i="106" s="1"/>
  <c r="K342" i="29"/>
  <c r="F13" i="34" s="1"/>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5223" i="106" l="1"/>
  <c r="D5223" i="106" s="1"/>
  <c r="C6" i="4"/>
  <c r="B2553" i="106" s="1"/>
  <c r="D2553" i="106" s="1"/>
  <c r="B5653" i="106"/>
  <c r="D5653" i="106" s="1"/>
  <c r="F6" i="4"/>
  <c r="B2593" i="106" s="1"/>
  <c r="D2593" i="106" s="1"/>
  <c r="G41" i="108"/>
  <c r="G44" i="108" s="1"/>
  <c r="G45" i="108" s="1"/>
  <c r="J17" i="4"/>
  <c r="J19" i="4" s="1"/>
  <c r="B6229" i="106" s="1"/>
  <c r="D6229" i="106" s="1"/>
  <c r="B2655" i="106"/>
  <c r="D2655" i="106" s="1"/>
  <c r="H8" i="4"/>
  <c r="J8" i="4"/>
  <c r="J10" i="4" s="1"/>
  <c r="B6225" i="106" s="1"/>
  <c r="D62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B6227" i="106" l="1"/>
  <c r="D6227" i="106" s="1"/>
  <c r="J20" i="4"/>
  <c r="J78" i="4" s="1"/>
  <c r="F8" i="4"/>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H13" i="118" l="1"/>
  <c r="F10" i="4"/>
  <c r="B4125" i="106" s="1"/>
  <c r="D4125" i="106" s="1"/>
  <c r="D8" i="146"/>
  <c r="B2595" i="106"/>
  <c r="D259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<sst xmlns="http://schemas.openxmlformats.org/spreadsheetml/2006/main" count="5077" uniqueCount="2124">
  <si>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</si>
  <si>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</si>
  <si>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</si>
  <si>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</si>
  <si>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</si>
  <si>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</si>
  <si>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</si>
  <si>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</si>
  <si>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</si>
  <si>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</si>
  <si>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</si>
  <si>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</si>
  <si>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</si>
  <si>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</si>
  <si>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</si>
  <si>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</si>
  <si>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</si>
  <si>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</si>
  <si>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</si>
  <si>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</si>
  <si>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</si>
  <si>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</si>
  <si>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</si>
  <si>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</si>
  <si>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</si>
  <si>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</si>
  <si>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</si>
  <si>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</si>
  <si>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</si>
  <si>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</si>
  <si>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</si>
  <si>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</si>
  <si>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</si>
  <si>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</si>
  <si>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</si>
  <si>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</si>
  <si>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</si>
  <si>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</si>
  <si>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</si>
  <si>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</si>
  <si>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</si>
  <si>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</si>
  <si>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</si>
  <si>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</si>
  <si>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</si>
  <si>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</si>
  <si>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</si>
  <si>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</si>
  <si>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</si>
  <si>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</si>
  <si>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</si>
  <si>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</si>
  <si>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</si>
  <si>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</si>
  <si>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</si>
  <si>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</si>
  <si>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</si>
  <si>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</si>
  <si>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</si>
  <si>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</si>
  <si>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</si>
  <si>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</si>
  <si>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</si>
  <si>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</si>
  <si>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</si>
  <si>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</si>
  <si>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</si>
  <si>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</si>
  <si>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</si>
  <si>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</si>
  <si>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</si>
  <si>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</si>
  <si>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</si>
  <si>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</si>
  <si>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</si>
  <si>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</si>
  <si>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</si>
  <si>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</si>
  <si>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</si>
  <si>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</si>
  <si>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</si>
  <si>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</si>
  <si>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</si>
  <si>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</si>
  <si>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</si>
  <si>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</si>
  <si>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</si>
  <si>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</si>
  <si>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</si>
  <si>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</si>
  <si>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</si>
  <si>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</si>
  <si>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</si>
  <si>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</si>
  <si>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</si>
  <si>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</si>
  <si>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</si>
  <si>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</si>
  <si>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</si>
  <si>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</si>
  <si>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</si>
  <si>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</si>
  <si>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</si>
  <si>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</si>
  <si>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</si>
  <si>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</si>
  <si>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</si>
  <si>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</si>
  <si>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</si>
  <si>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</si>
  <si>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</si>
  <si>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</si>
  <si>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</si>
  <si>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</si>
  <si>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</si>
  <si>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</si>
  <si>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</si>
  <si>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</si>
  <si>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</si>
  <si>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</si>
  <si>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</si>
  <si>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</si>
  <si>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</si>
  <si>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</si>
  <si>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</si>
  <si>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</si>
  <si>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</si>
  <si>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</si>
  <si>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</si>
  <si>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</si>
  <si>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</si>
  <si>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</si>
  <si>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</si>
  <si>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</si>
  <si>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</si>
  <si>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</si>
  <si>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</si>
  <si>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</si>
  <si>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</si>
  <si>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</si>
  <si>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</si>
  <si>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</si>
  <si>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</si>
  <si>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</si>
  <si>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</si>
  <si>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</si>
  <si>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</si>
  <si>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</si>
  <si>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</si>
  <si>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</si>
  <si>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</si>
  <si>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</si>
  <si>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</si>
  <si>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</si>
  <si>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</si>
  <si>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</si>
  <si>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</si>
  <si>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</si>
  <si>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</si>
  <si>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</si>
  <si>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</si>
  <si>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</si>
  <si>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</si>
  <si>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</si>
  <si>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</si>
  <si>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</si>
  <si>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</si>
  <si>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</si>
  <si>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</si>
  <si>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</si>
  <si>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</si>
  <si>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</si>
  <si>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</si>
  <si>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</si>
  <si>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</si>
  <si>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</si>
  <si>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</si>
  <si>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</si>
  <si>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</si>
  <si>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</si>
  <si>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</si>
  <si>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</si>
  <si>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</si>
  <si>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</si>
  <si>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</si>
  <si>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</si>
  <si>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</si>
  <si>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</si>
  <si>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</si>
  <si>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</si>
  <si>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</si>
  <si>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</si>
  <si>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</si>
  <si>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</si>
  <si>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</si>
  <si>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</si>
  <si>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</si>
  <si>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</si>
  <si>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</si>
  <si>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</si>
  <si>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</si>
  <si>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</si>
  <si>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</si>
  <si>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</si>
  <si>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</si>
  <si>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</si>
  <si>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</si>
  <si>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</si>
  <si>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</si>
  <si>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</si>
  <si>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</si>
  <si>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</si>
  <si>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</si>
  <si>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</si>
  <si>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</si>
  <si>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</si>
  <si>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</si>
  <si>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</si>
  <si>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</si>
  <si>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</si>
  <si>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</si>
  <si>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</si>
  <si>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</si>
  <si>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</si>
  <si>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</si>
  <si>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</si>
  <si>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</si>
  <si>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</si>
  <si>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</si>
  <si>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</si>
  <si>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</si>
  <si>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</si>
  <si>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</si>
  <si>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</si>
  <si>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</si>
  <si>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</si>
  <si>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</si>
  <si>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</si>
  <si>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</si>
  <si>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</si>
  <si>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</si>
  <si>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</si>
  <si>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</si>
  <si>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</si>
  <si>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</si>
  <si>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</si>
  <si>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</si>
  <si>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</si>
  <si>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</si>
  <si>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</si>
  <si>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</si>
  <si>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</si>
  <si>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</si>
  <si>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</si>
  <si>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</si>
  <si>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</si>
  <si>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</si>
  <si>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</si>
  <si>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</si>
  <si>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</si>
  <si>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</si>
  <si>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</si>
  <si>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</si>
  <si>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</si>
  <si>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</si>
  <si>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</si>
  <si>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</si>
  <si>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</si>
  <si>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</si>
  <si>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</si>
  <si>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</si>
  <si>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</si>
  <si>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</si>
  <si>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</si>
  <si>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</si>
  <si>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</si>
  <si>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</si>
  <si>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</si>
  <si>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</si>
  <si>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</si>
  <si>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</si>
  <si>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</si>
  <si>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</si>
  <si>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</si>
  <si>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</si>
  <si>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</si>
  <si>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</si>
  <si>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</si>
  <si>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</si>
  <si>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</si>
  <si>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</si>
  <si>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</si>
  <si>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</si>
  <si>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</si>
  <si>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</si>
  <si>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</si>
  <si>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</si>
  <si>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</si>
  <si>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</si>
  <si>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</si>
  <si>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</si>
  <si>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</si>
  <si>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</si>
  <si>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</si>
  <si>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</si>
  <si>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</si>
  <si>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</si>
  <si>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</si>
  <si>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</si>
  <si>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</si>
  <si>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</si>
  <si>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</si>
  <si>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</si>
  <si>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</si>
  <si>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</si>
  <si>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</si>
  <si>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</si>
  <si>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</si>
  <si>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</si>
  <si>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</si>
  <si>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</si>
  <si>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</si>
  <si>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</si>
  <si>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</si>
  <si>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</si>
  <si>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</si>
  <si>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</si>
  <si>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</si>
  <si>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</si>
  <si>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</si>
  <si>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</si>
  <si>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</si>
  <si>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</si>
  <si>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</si>
  <si>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</si>
  <si>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</si>
  <si>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</si>
  <si>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</si>
  <si>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</si>
  <si>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</si>
  <si>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</si>
  <si>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</si>
  <si>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</si>
  <si>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</si>
  <si>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</si>
  <si>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</si>
  <si>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</si>
  <si>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</si>
  <si>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</si>
  <si>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</si>
  <si>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</si>
  <si>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</si>
  <si>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</si>
  <si>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</si>
  <si>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</si>
  <si>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</si>
  <si>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</si>
  <si>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</si>
  <si>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</si>
  <si>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</si>
  <si>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</si>
  <si>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</si>
  <si>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</si>
  <si>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</si>
  <si>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</si>
  <si>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</si>
  <si>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</si>
  <si>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</si>
  <si>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</si>
  <si>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</si>
  <si>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</si>
  <si>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</si>
  <si>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</si>
  <si>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</si>
  <si>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</si>
  <si>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</si>
  <si>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</si>
  <si>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</si>
  <si>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</si>
  <si>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</si>
  <si>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</si>
  <si>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</si>
  <si>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</si>
  <si>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</si>
  <si>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</si>
  <si>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</si>
  <si>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</si>
  <si>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</si>
  <si>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</si>
  <si>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</si>
  <si>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</si>
  <si>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</si>
  <si>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</si>
  <si>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</si>
  <si>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</si>
  <si>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</si>
  <si>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</si>
  <si>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</si>
  <si>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</si>
  <si>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</si>
  <si>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</si>
  <si>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</si>
  <si>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</si>
  <si>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</si>
  <si>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</si>
  <si>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</si>
  <si>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</si>
  <si>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</si>
  <si>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</si>
  <si>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</si>
  <si>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</si>
  <si>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</si>
  <si>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</si>
  <si>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</si>
  <si>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</si>
  <si>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</si>
  <si>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</si>
  <si>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</si>
  <si>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</si>
  <si>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</si>
  <si>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</si>
  <si>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</si>
  <si>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</si>
  <si>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</si>
  <si>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</si>
  <si>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</si>
  <si>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</si>
  <si>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</si>
  <si>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</si>
  <si>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</si>
  <si>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</si>
  <si>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</si>
  <si>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</si>
  <si>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</si>
  <si>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</si>
  <si>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</si>
  <si>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</si>
  <si>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</si>
  <si>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</si>
  <si>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</si>
  <si>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</si>
  <si>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</si>
  <si>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</si>
  <si>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</si>
  <si>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</si>
  <si>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</si>
  <si>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</si>
  <si>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</si>
  <si>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</si>
  <si>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</si>
  <si>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</si>
  <si>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</si>
  <si>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</si>
  <si>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</si>
  <si>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</si>
  <si>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</si>
  <si>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</si>
  <si>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</si>
  <si>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</si>
  <si>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</si>
  <si>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</si>
  <si>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</si>
  <si>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</si>
  <si>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</si>
  <si>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</si>
  <si>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</si>
  <si>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</si>
  <si>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</si>
  <si>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</si>
  <si>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</si>
  <si>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</si>
  <si>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</si>
  <si>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</si>
  <si>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</si>
  <si>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</si>
  <si>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</si>
  <si>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</si>
  <si>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</si>
  <si>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</si>
  <si>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</si>
  <si>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</si>
  <si>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</si>
  <si>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</si>
  <si>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</si>
  <si>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</si>
  <si>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</si>
  <si>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</si>
  <si>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</si>
  <si>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</si>
  <si>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</si>
  <si>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</si>
  <si>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</si>
  <si>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</si>
  <si>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</si>
  <si>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</si>
  <si>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</si>
  <si>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</si>
  <si>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</si>
  <si>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</si>
  <si>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</si>
  <si>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</si>
  <si>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</si>
  <si>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</si>
  <si>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</si>
  <si>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</si>
  <si>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</si>
  <si>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</si>
  <si>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</si>
  <si>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</si>
  <si>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</si>
  <si>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</si>
  <si>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</si>
  <si>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</si>
  <si>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</si>
  <si>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</si>
  <si>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</si>
  <si>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</si>
  <si>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</si>
  <si>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</si>
  <si>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</si>
  <si>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</si>
  <si>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</si>
  <si>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</si>
  <si>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</si>
  <si>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</si>
  <si>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</si>
  <si>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</si>
  <si>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</si>
  <si>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</si>
  <si>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</si>
  <si>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</si>
  <si>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</si>
  <si>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</si>
  <si>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</si>
  <si>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</si>
  <si>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</si>
  <si>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</si>
  <si>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</si>
  <si>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</si>
  <si>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</si>
  <si>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</si>
  <si>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</si>
  <si>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</si>
  <si>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</si>
  <si>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</si>
  <si>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</si>
  <si>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</si>
  <si>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</si>
  <si>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</si>
  <si>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</si>
  <si>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</si>
  <si>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</si>
  <si>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</si>
  <si>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</si>
  <si>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</si>
  <si>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</si>
  <si>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</si>
  <si>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</si>
  <si>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</si>
  <si>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</si>
  <si>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</si>
  <si>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</si>
  <si>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</si>
  <si>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</si>
  <si>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</si>
  <si>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</si>
  <si>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</si>
  <si>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</si>
  <si>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</si>
  <si>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</si>
  <si>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</si>
  <si>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</si>
  <si>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</si>
  <si>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</si>
  <si>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</si>
  <si>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</si>
  <si>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</si>
  <si>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</si>
  <si>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</si>
  <si>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</si>
  <si>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</si>
  <si>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</si>
  <si>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</si>
  <si>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</si>
  <si>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</si>
  <si>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</si>
  <si>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</si>
  <si>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</si>
  <si>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</si>
  <si>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</si>
  <si>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</si>
  <si>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</si>
  <si>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</si>
  <si>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</si>
  <si>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</si>
  <si>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</si>
  <si>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</si>
  <si>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</si>
  <si>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</si>
  <si>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</si>
  <si>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</si>
  <si>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</si>
  <si>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</si>
  <si>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</si>
  <si>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</si>
  <si>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</si>
  <si>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</si>
  <si>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</si>
  <si>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</si>
  <si>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</si>
  <si>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</si>
  <si>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</si>
  <si>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</si>
  <si>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</si>
  <si>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</si>
  <si>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</si>
  <si>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</si>
  <si>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</si>
  <si>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</si>
  <si>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</si>
  <si>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</si>
  <si>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</si>
  <si>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</si>
  <si>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</si>
  <si>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</si>
  <si>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</si>
  <si>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</si>
  <si>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</si>
  <si>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</si>
  <si>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</si>
  <si>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</si>
  <si>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</si>
  <si>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</si>
  <si>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</si>
  <si>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</si>
  <si>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</si>
  <si>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</si>
  <si>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</si>
  <si>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</si>
  <si>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</si>
  <si>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</si>
  <si>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</si>
  <si>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</si>
  <si>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</si>
  <si>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</si>
  <si>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</si>
  <si>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</si>
  <si>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</si>
  <si>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</si>
  <si>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</si>
  <si>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</si>
  <si>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</si>
  <si>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</si>
  <si>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</si>
  <si>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</si>
  <si>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</si>
  <si>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</si>
  <si>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</si>
  <si>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</si>
  <si>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</si>
  <si>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</si>
  <si>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</si>
  <si>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</si>
  <si>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</si>
  <si>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</si>
  <si>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</si>
  <si>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</si>
  <si>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</si>
  <si>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</si>
  <si>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</si>
  <si>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</si>
  <si>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</si>
  <si>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</si>
  <si>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</si>
  <si>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</si>
  <si>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</si>
  <si>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</si>
  <si>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</si>
  <si>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</si>
  <si>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</si>
  <si>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</si>
  <si>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</si>
  <si>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</si>
  <si>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</si>
  <si>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</si>
  <si>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</si>
  <si>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</si>
  <si>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</si>
  <si>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</si>
  <si>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</si>
  <si>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</si>
  <si>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</si>
  <si>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</si>
  <si>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</si>
  <si>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</si>
  <si>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</si>
  <si>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</si>
  <si>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</si>
  <si>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</si>
  <si>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</si>
  <si>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</si>
  <si>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</si>
  <si>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</si>
  <si>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</si>
  <si>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</si>
  <si>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</si>
  <si>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</si>
  <si>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</si>
  <si>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</si>
  <si>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</si>
  <si>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</si>
  <si>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</si>
  <si>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</si>
  <si>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</si>
  <si>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</si>
  <si>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</si>
  <si>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</si>
  <si>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</si>
  <si>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</si>
  <si>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</si>
  <si>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</si>
  <si>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</si>
  <si>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</si>
  <si>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</si>
  <si>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</si>
  <si>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</si>
  <si>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</si>
  <si>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</si>
  <si>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</si>
  <si>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</si>
  <si>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</si>
  <si>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</si>
  <si>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</si>
  <si>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</si>
  <si>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</si>
  <si>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</si>
  <si>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</si>
  <si>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</si>
  <si>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</si>
  <si>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</si>
  <si>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</si>
  <si>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</si>
  <si>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</si>
  <si>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</si>
  <si>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</si>
  <si>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</si>
  <si>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</si>
  <si>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</si>
  <si>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</si>
  <si>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</si>
  <si>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</si>
  <si>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</si>
  <si>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</si>
  <si>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</si>
  <si>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</si>
  <si>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</si>
  <si>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</si>
  <si>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</si>
  <si>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</si>
  <si>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</si>
  <si>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</si>
  <si>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</si>
  <si>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</si>
  <si>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</si>
  <si>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</si>
  <si>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</si>
  <si>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</si>
  <si>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</si>
  <si>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</si>
  <si>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</si>
  <si>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</si>
  <si>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</si>
  <si>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</si>
  <si>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</si>
  <si>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</si>
  <si>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</si>
  <si>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</si>
  <si>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</si>
  <si>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</si>
  <si>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</si>
  <si>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</si>
  <si>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</si>
  <si>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</si>
  <si>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</si>
  <si>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</si>
  <si>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</si>
  <si>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</si>
  <si>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</si>
  <si>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</si>
  <si>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</si>
  <si>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</si>
  <si>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</si>
  <si>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</si>
  <si>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</si>
  <si>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</si>
  <si>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</si>
  <si>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</si>
  <si>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</si>
  <si>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</si>
  <si>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</si>
  <si>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</si>
  <si>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</si>
  <si>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</si>
  <si>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</si>
  <si>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</si>
  <si>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</si>
  <si>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</si>
  <si>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</si>
  <si>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</si>
  <si>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</si>
  <si>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</si>
  <si>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</si>
  <si>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</si>
  <si>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</si>
  <si>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</si>
  <si>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</si>
  <si>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</si>
  <si>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</si>
  <si>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</si>
  <si>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</si>
  <si>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</si>
  <si>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</si>
  <si>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</si>
  <si>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</si>
  <si>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</si>
  <si>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</si>
  <si>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</si>
  <si>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</si>
  <si>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</si>
  <si>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</si>
  <si>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</si>
  <si>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</si>
  <si>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</si>
  <si>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</si>
  <si>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</si>
  <si>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</si>
  <si>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</si>
  <si>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</si>
  <si>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</si>
  <si>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</si>
  <si>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</si>
  <si>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</si>
  <si>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</si>
  <si>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</si>
  <si>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</si>
  <si>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</si>
  <si>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</si>
  <si>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</si>
  <si>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</si>
  <si>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</si>
  <si>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</si>
  <si>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</si>
  <si>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</si>
  <si>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</si>
  <si>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</si>
  <si>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</si>
  <si>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</si>
  <si>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</si>
  <si>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</si>
  <si>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</si>
  <si>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</si>
  <si>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</si>
  <si>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</si>
  <si>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</si>
  <si>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</si>
  <si>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</si>
  <si>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</si>
  <si>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</si>
  <si>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</si>
  <si>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</si>
  <si>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</si>
  <si>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</si>
  <si>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</si>
  <si>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</si>
  <si>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</si>
  <si>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</si>
  <si>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</si>
  <si>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</si>
  <si>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</si>
  <si>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</si>
  <si>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</si>
  <si>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</si>
  <si>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</si>
  <si>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</si>
  <si>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</si>
  <si>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</si>
  <si>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</si>
  <si>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</si>
  <si>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</si>
  <si>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</si>
  <si>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</si>
  <si>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</si>
  <si>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</si>
  <si>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</si>
  <si>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</si>
  <si>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</si>
  <si>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</si>
  <si>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</si>
  <si>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</si>
  <si>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</si>
  <si>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</si>
  <si>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</si>
  <si>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</si>
  <si>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</si>
  <si>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</si>
  <si>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</si>
  <si>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</si>
  <si>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</si>
  <si>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</si>
  <si>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</si>
  <si>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</si>
  <si>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</si>
  <si>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</si>
  <si>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</si>
  <si>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</si>
  <si>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</si>
  <si>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</si>
  <si>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</si>
  <si>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</si>
  <si>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</si>
  <si>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</si>
  <si>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</si>
  <si>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</si>
  <si>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</si>
  <si>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</si>
  <si>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</si>
  <si>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</si>
  <si>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</si>
  <si>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</si>
  <si>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</si>
  <si>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</si>
  <si>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</si>
  <si>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</si>
  <si>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</si>
  <si>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</si>
  <si>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</si>
  <si>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</si>
  <si>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</si>
  <si>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</si>
  <si>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</si>
  <si>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</si>
  <si>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</si>
  <si>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</si>
  <si>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</si>
  <si>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</si>
  <si>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</si>
  <si>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</si>
  <si>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</si>
  <si>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</si>
  <si>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</si>
  <si>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</si>
  <si>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</si>
  <si>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</si>
  <si>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</si>
  <si>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</si>
  <si>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</si>
  <si>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</si>
  <si>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</si>
  <si>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</si>
  <si>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</si>
  <si>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</si>
  <si>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</si>
  <si>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</si>
  <si>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</si>
  <si>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</si>
  <si>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</si>
  <si>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</si>
  <si>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</si>
  <si>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</si>
  <si>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</si>
  <si>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</si>
  <si>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</si>
  <si>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</si>
  <si>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</si>
  <si>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</si>
  <si>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</si>
  <si>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</si>
  <si>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</si>
  <si>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</si>
  <si>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</si>
  <si>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</si>
  <si>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</si>
  <si>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</si>
  <si>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</si>
  <si>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</si>
  <si>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</si>
  <si>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</si>
  <si>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</si>
  <si>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</si>
  <si>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</si>
  <si>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</si>
  <si>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</si>
  <si>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</si>
  <si>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</si>
  <si>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</si>
  <si>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</si>
  <si>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</si>
  <si>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</si>
  <si>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</si>
  <si>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</si>
  <si>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</si>
  <si>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</si>
  <si>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</si>
  <si>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</si>
  <si>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</si>
  <si>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</si>
  <si>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</si>
  <si>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</si>
  <si>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</si>
  <si>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</si>
  <si>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</si>
  <si>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</si>
  <si>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</si>
  <si>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</si>
  <si>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</si>
  <si>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</si>
  <si>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</si>
  <si>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</si>
  <si>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</si>
  <si>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</si>
  <si>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</si>
  <si>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</si>
  <si>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</si>
  <si>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</si>
  <si>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</si>
  <si>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</si>
  <si>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</si>
  <si>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</si>
  <si>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</si>
  <si>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</si>
  <si>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</si>
  <si>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</si>
  <si>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</si>
  <si>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</si>
  <si>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</si>
  <si>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</si>
  <si>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</si>
  <si>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</si>
  <si>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</si>
  <si>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</si>
  <si>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</si>
  <si>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</si>
  <si>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</si>
  <si>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</si>
  <si>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</si>
  <si>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</si>
  <si>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</si>
  <si>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</si>
  <si>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</si>
  <si>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</si>
  <si>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</si>
  <si>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</si>
  <si>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</si>
  <si>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</si>
  <si>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</si>
  <si>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</si>
  <si>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</si>
  <si>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</si>
  <si>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</si>
  <si>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</si>
  <si>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</si>
  <si>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</si>
  <si>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</si>
  <si>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</si>
  <si>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</si>
  <si>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</si>
  <si>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</si>
  <si>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</si>
  <si>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</si>
  <si>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</si>
  <si>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</si>
  <si>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</si>
  <si>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</si>
  <si>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</si>
  <si>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</si>
  <si>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</si>
  <si>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</si>
  <si>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</si>
  <si>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</si>
  <si>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</si>
  <si>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</si>
  <si>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</si>
  <si>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</si>
  <si>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</si>
  <si>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</si>
  <si>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</si>
  <si>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</si>
  <si>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</si>
  <si>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</si>
  <si>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</si>
  <si>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</si>
  <si>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</si>
  <si>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</si>
  <si>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</si>
  <si>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</si>
  <si>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</si>
  <si>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</si>
  <si>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</si>
  <si>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</si>
  <si>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</si>
  <si>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</si>
  <si>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</si>
  <si>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</si>
  <si>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</si>
  <si>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</si>
  <si>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</si>
  <si>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</si>
  <si>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</si>
  <si>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</si>
  <si>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</si>
  <si>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</si>
  <si>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</si>
  <si>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</si>
  <si>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</si>
  <si>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</si>
  <si>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</si>
  <si>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</si>
  <si>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</si>
  <si>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</si>
  <si>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</si>
  <si>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</si>
  <si>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</si>
  <si>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</si>
  <si>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</si>
  <si>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</si>
  <si>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</si>
  <si>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</si>
  <si>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</si>
  <si>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</si>
  <si>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</si>
  <si>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</si>
  <si>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</si>
  <si>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</si>
  <si>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</si>
  <si>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</si>
  <si>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</si>
  <si>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</si>
  <si>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</si>
  <si>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</si>
  <si>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</si>
  <si>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</si>
  <si>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</si>
  <si>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</si>
  <si>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</si>
  <si>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</si>
  <si>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</si>
  <si>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</si>
  <si>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</si>
  <si>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</si>
  <si>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</si>
  <si>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</si>
  <si>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</si>
  <si>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</si>
  <si>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</si>
  <si>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</si>
  <si>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</si>
  <si>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</si>
  <si>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</si>
  <si>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</si>
  <si>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</si>
  <si>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</si>
  <si>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</si>
  <si>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</si>
  <si>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</si>
  <si>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</si>
  <si>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</si>
  <si>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</si>
  <si>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</si>
  <si>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</si>
  <si>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</si>
  <si>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</si>
  <si>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</si>
  <si>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</si>
  <si>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</si>
  <si>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</si>
  <si>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</si>
  <si>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</si>
  <si>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</si>
  <si>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</si>
  <si>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</si>
  <si>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</si>
  <si>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</si>
  <si>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</si>
  <si>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</si>
  <si>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</si>
  <si>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</si>
  <si>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</si>
  <si>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</si>
  <si>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</si>
  <si>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</si>
  <si>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</si>
  <si>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</si>
  <si>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</si>
  <si>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</si>
  <si>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</si>
  <si>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</si>
  <si>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</si>
  <si>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</si>
  <si>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</si>
  <si>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</si>
  <si>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</si>
  <si>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</si>
  <si>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</si>
  <si>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</si>
  <si>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</si>
  <si>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</si>
  <si>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</si>
  <si>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</si>
  <si>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</si>
  <si>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</si>
  <si>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</si>
  <si>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</si>
  <si>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</si>
  <si>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</si>
  <si>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</si>
  <si>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</si>
  <si>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</si>
  <si>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</si>
  <si>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</si>
  <si>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</si>
  <si>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</si>
  <si>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</si>
  <si>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</si>
  <si>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</si>
  <si>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</si>
  <si>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</si>
  <si>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</si>
  <si>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</si>
  <si>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</si>
  <si>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</si>
  <si>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</si>
  <si>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</si>
  <si>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</si>
  <si>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</si>
  <si>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</si>
  <si>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</si>
  <si>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</si>
  <si>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</si>
  <si>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</si>
  <si>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</si>
  <si>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</si>
  <si>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</si>
  <si>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</si>
  <si>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</si>
  <si>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</si>
  <si>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</si>
  <si>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</si>
  <si>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</si>
  <si>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</si>
  <si>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</si>
  <si>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</si>
  <si>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</si>
  <si>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</si>
  <si>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</si>
  <si>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</si>
  <si>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</si>
  <si>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</si>
  <si>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</si>
  <si>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</si>
  <si>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</si>
  <si>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</si>
  <si>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</si>
  <si>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</si>
  <si>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</si>
  <si>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</si>
  <si>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</si>
  <si>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</si>
  <si>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</si>
  <si>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</si>
  <si>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</si>
  <si>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</si>
  <si>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</si>
  <si>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</si>
  <si>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</si>
  <si>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</si>
  <si>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</si>
  <si>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</si>
  <si>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</si>
  <si>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</si>
  <si>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</si>
  <si>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</si>
  <si>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</si>
  <si>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</si>
  <si>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</si>
  <si>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</si>
  <si>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</si>
  <si>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</si>
  <si>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</si>
  <si>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</si>
  <si>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</si>
  <si>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</si>
  <si>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</si>
  <si>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</si>
  <si>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</si>
  <si>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</si>
  <si>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</si>
  <si>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</si>
  <si>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</si>
  <si>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</si>
  <si>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</si>
  <si>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</si>
  <si>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</si>
  <si>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</si>
  <si>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</si>
  <si>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</si>
  <si>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</si>
  <si>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</si>
  <si>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</si>
  <si>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</si>
  <si>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</si>
  <si>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</si>
  <si>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</si>
  <si>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</si>
  <si>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</si>
  <si>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</si>
  <si>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</si>
  <si>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</si>
  <si>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</si>
  <si>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</si>
  <si>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</si>
  <si>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</si>
  <si>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</si>
  <si>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</si>
  <si>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</si>
  <si>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</si>
  <si>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</si>
  <si>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</si>
  <si>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</si>
  <si>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</si>
  <si>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</si>
  <si>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</si>
  <si>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</si>
  <si>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</si>
  <si>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</si>
  <si>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</si>
  <si>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</si>
  <si>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</si>
  <si>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</si>
  <si>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</si>
  <si>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</si>
  <si>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</si>
  <si>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</si>
  <si>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</si>
  <si>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</si>
  <si>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</si>
  <si>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</si>
  <si>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</si>
  <si>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</si>
  <si>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</si>
  <si>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</si>
  <si>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</si>
  <si>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</si>
  <si>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</si>
  <si>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</si>
  <si>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</si>
  <si>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</si>
  <si>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</si>
  <si>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</si>
  <si>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</si>
  <si>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</si>
  <si>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</si>
  <si>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</si>
  <si>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</si>
  <si>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</si>
  <si>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</si>
  <si>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</si>
  <si>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</si>
  <si>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</si>
  <si>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</si>
  <si>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</si>
  <si>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</si>
  <si>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</si>
  <si>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</si>
  <si>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</si>
  <si>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</si>
  <si>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</si>
  <si>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</si>
  <si>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</si>
  <si>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</si>
  <si>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</si>
  <si>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</si>
  <si>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</si>
  <si>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</si>
  <si>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</si>
  <si>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</si>
  <si>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</si>
  <si>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</si>
  <si>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</si>
  <si>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</si>
  <si>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</si>
  <si>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</si>
  <si>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</si>
  <si>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</si>
  <si>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</si>
  <si>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</si>
  <si>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</si>
  <si>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</si>
  <si>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</si>
  <si>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</si>
  <si>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</si>
  <si>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</si>
  <si>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</si>
  <si>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</si>
  <si>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</si>
  <si>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</si>
  <si>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</si>
  <si>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</si>
  <si>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</si>
  <si>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</si>
  <si>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</si>
  <si>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</si>
  <si>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</si>
  <si>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</si>
  <si>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</si>
  <si>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</si>
  <si>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</si>
  <si>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</si>
  <si>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</si>
  <si>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</si>
  <si>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</si>
  <si>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</si>
  <si>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</si>
  <si>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</si>
  <si>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</si>
  <si>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</si>
  <si>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</si>
  <si>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</si>
  <si>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</si>
  <si>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</si>
  <si>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</si>
  <si>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</si>
  <si>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</si>
  <si>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</si>
  <si>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</si>
  <si>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</si>
  <si>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</si>
  <si>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</si>
  <si>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</si>
  <si>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</si>
  <si>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</si>
  <si>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</si>
  <si>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</si>
  <si>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</si>
  <si>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</si>
  <si>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</si>
  <si>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</si>
  <si>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</si>
  <si>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</si>
  <si>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</si>
  <si>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</si>
  <si>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</si>
  <si>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</si>
  <si>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</si>
  <si>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</si>
  <si>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</si>
  <si>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</si>
  <si>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</si>
  <si>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</si>
  <si>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</si>
  <si>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</si>
  <si>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</si>
  <si>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</si>
  <si>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</si>
  <si>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</si>
  <si>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</si>
  <si>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</si>
  <si>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</si>
  <si>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</si>
  <si>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</si>
  <si>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</si>
  <si>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</si>
  <si>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</si>
  <si>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</si>
  <si>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</si>
  <si>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</si>
  <si>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</si>
  <si>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</si>
  <si>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</si>
  <si>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</si>
  <si>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</si>
  <si>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</si>
  <si>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</si>
  <si>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</si>
  <si>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</si>
  <si>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</si>
  <si>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</si>
  <si>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</si>
  <si>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</si>
  <si>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</si>
  <si>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</si>
  <si>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</si>
  <si>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</si>
  <si>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</si>
  <si>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</si>
  <si>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</si>
  <si>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</si>
  <si>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</si>
  <si>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</si>
  <si>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</si>
  <si>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</si>
  <si>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</si>
  <si>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</si>
  <si>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</si>
  <si>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</si>
  <si>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</si>
  <si>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</si>
  <si>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</si>
  <si>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</si>
  <si>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</si>
  <si>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</si>
  <si>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</si>
  <si>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</si>
  <si>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</si>
  <si>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</si>
  <si>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</si>
  <si>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</si>
  <si>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</si>
  <si>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</si>
  <si>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</si>
  <si>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</si>
  <si>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</si>
  <si>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</si>
  <si>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</si>
  <si>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</si>
  <si>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</si>
  <si>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</si>
  <si>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</si>
  <si>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</si>
  <si>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</si>
  <si>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</si>
  <si>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</si>
  <si>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</si>
  <si>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</si>
  <si>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</si>
  <si>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</si>
  <si>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</si>
  <si>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</si>
  <si>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</si>
  <si>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</si>
  <si>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</si>
  <si>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</si>
  <si>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</si>
  <si>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</si>
  <si>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</si>
  <si>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</si>
  <si>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</si>
  <si>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</si>
  <si>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</si>
  <si>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</si>
  <si>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</si>
  <si>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</si>
  <si>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</si>
  <si>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</si>
  <si>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</si>
  <si>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</si>
  <si>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</si>
  <si>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</si>
  <si>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</si>
  <si>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</si>
  <si>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</si>
  <si>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</si>
  <si>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</si>
  <si>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</si>
  <si>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</si>
  <si>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</si>
  <si>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</si>
  <si>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</si>
  <si>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</si>
  <si>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</si>
  <si>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</si>
  <si>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</si>
  <si>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</si>
  <si>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</si>
  <si>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</si>
  <si>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</si>
  <si>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</si>
  <si>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</si>
  <si>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</si>
  <si>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</si>
  <si>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</si>
  <si>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</si>
  <si>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</si>
  <si>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</si>
  <si>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</si>
  <si>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</si>
  <si>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</si>
  <si>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</si>
  <si>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</si>
  <si>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</si>
  <si>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</si>
  <si>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</si>
  <si>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</si>
  <si>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</si>
  <si>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</si>
  <si>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</si>
  <si>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</si>
  <si>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</si>
  <si>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</si>
  <si>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</si>
  <si>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</si>
  <si>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</si>
  <si>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</si>
  <si>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</si>
  <si>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</si>
  <si>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</si>
  <si>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</si>
  <si>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</si>
  <si>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</si>
  <si>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</si>
  <si>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</si>
  <si>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</si>
  <si>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</si>
  <si>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</si>
  <si>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</si>
  <si>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</si>
  <si>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</si>
  <si>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</si>
  <si>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</si>
  <si>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</si>
  <si>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</si>
  <si>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</si>
  <si>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</si>
  <si>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</si>
  <si>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</si>
  <si>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</si>
  <si>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</si>
  <si>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</si>
  <si>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</si>
  <si>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</si>
  <si>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</si>
  <si>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</si>
  <si>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</si>
  <si>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</si>
  <si>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</si>
  <si>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</si>
  <si>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</si>
  <si>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</si>
  <si>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</si>
  <si>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</si>
  <si>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</si>
  <si>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</si>
  <si>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</si>
  <si>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</si>
  <si>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</si>
  <si>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</si>
  <si>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</si>
  <si>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</si>
  <si>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</si>
  <si>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</si>
  <si>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</si>
  <si>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</si>
  <si>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</si>
  <si>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</si>
  <si>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</si>
  <si>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</si>
  <si>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</si>
  <si>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</si>
  <si>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</si>
  <si>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</si>
  <si>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</si>
  <si>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</si>
  <si>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</si>
  <si>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</si>
  <si>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</si>
  <si>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</si>
  <si>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</si>
  <si>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</si>
  <si>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</si>
  <si>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</si>
  <si>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</si>
  <si>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</si>
  <si>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</si>
  <si>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</si>
  <si>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</si>
  <si>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</si>
  <si>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</si>
  <si>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</si>
  <si>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</si>
  <si>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</si>
  <si>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</si>
  <si>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</si>
  <si>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</si>
  <si>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</si>
  <si>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</si>
  <si>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</si>
  <si>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</si>
  <si>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</si>
  <si>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</si>
  <si>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</si>
  <si>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</si>
  <si>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</si>
  <si>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</si>
  <si>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</si>
  <si>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</si>
  <si>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</si>
  <si>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</si>
  <si>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</si>
  <si>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</si>
  <si>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</si>
  <si>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</si>
  <si>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</si>
  <si>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</si>
  <si>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</si>
  <si>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</si>
  <si>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</si>
  <si>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</si>
  <si>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</si>
  <si>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</si>
  <si>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</si>
  <si>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</si>
  <si>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</si>
  <si>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</si>
  <si>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</si>
  <si>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</si>
  <si>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</si>
  <si>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</si>
  <si>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</si>
  <si>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</si>
  <si>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</si>
  <si>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</si>
  <si>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</si>
  <si>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</si>
  <si>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</si>
  <si>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</si>
  <si>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</si>
  <si>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</si>
  <si>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</si>
  <si>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</si>
  <si>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</si>
  <si>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</si>
  <si>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</si>
  <si>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</si>
  <si>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</si>
  <si>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</si>
  <si>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</si>
  <si>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</si>
  <si>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</si>
  <si>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</si>
  <si>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</si>
  <si>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</si>
  <si>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</si>
  <si>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</si>
  <si>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</si>
  <si>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</si>
  <si>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</si>
  <si>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</si>
  <si>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</si>
  <si>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</si>
  <si>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</si>
  <si>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</si>
  <si>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</si>
  <si>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</si>
  <si>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</si>
  <si>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</si>
  <si>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</si>
  <si>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</si>
  <si>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</si>
  <si>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</si>
  <si>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</si>
  <si>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</si>
  <si>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</si>
  <si>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</si>
  <si>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</si>
  <si>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</si>
  <si>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</si>
  <si>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</si>
  <si>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</si>
  <si>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</si>
  <si>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</si>
  <si>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</si>
  <si>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</si>
  <si>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</si>
  <si>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</si>
  <si>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</si>
  <si>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</si>
  <si>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</si>
  <si>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</si>
  <si>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</si>
  <si>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</si>
  <si>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</si>
  <si>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</si>
  <si>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</si>
  <si>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</si>
  <si>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</si>
  <si>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</si>
  <si>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</si>
  <si>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</si>
  <si>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</si>
  <si>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</si>
  <si>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</si>
  <si>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</si>
  <si>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</si>
  <si>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</si>
  <si>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</si>
  <si>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</si>
  <si>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</si>
  <si>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</si>
  <si>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</si>
  <si>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</si>
  <si>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</si>
  <si>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</si>
  <si>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</si>
  <si>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</si>
  <si>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</si>
  <si>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</si>
  <si>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</si>
  <si>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</si>
  <si>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</si>
  <si>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</si>
  <si>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</si>
  <si>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</si>
  <si>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</si>
  <si>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</si>
  <si>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</si>
  <si>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</si>
  <si>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</si>
  <si>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</si>
  <si>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</si>
  <si>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</si>
  <si>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</si>
  <si>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</si>
  <si>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</si>
  <si>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</si>
  <si>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</si>
  <si>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</si>
  <si>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</si>
  <si>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</si>
  <si>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</si>
  <si>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</si>
  <si>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</si>
  <si>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</si>
  <si>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</si>
  <si>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</si>
  <si>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</si>
  <si>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</si>
  <si>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</si>
  <si>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</si>
  <si>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</si>
  <si>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</si>
  <si>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</si>
  <si>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</si>
  <si>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</si>
  <si>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</si>
  <si>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</si>
  <si>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</si>
  <si>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</si>
  <si>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</si>
  <si>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</si>
  <si>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</si>
  <si>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</si>
  <si>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</si>
  <si>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</si>
  <si>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</si>
  <si>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</si>
  <si>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</si>
  <si>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</si>
  <si>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</si>
  <si>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</si>
  <si>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</si>
  <si>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</si>
  <si>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</si>
  <si>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</si>
  <si>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</si>
  <si>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</si>
  <si>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</si>
  <si>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</si>
  <si>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</si>
  <si>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</si>
  <si>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</si>
  <si>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</si>
  <si>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</si>
  <si>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</si>
  <si>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</si>
  <si>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</si>
  <si>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</si>
  <si>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</si>
  <si>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</si>
  <si>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</si>
  <si>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</si>
  <si>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</si>
  <si>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</si>
  <si>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</si>
  <si>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</si>
  <si>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</si>
  <si>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</si>
  <si>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</si>
  <si>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</si>
  <si>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</si>
  <si>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</si>
  <si>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</si>
  <si>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</si>
  <si>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</si>
  <si>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</si>
  <si>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</si>
  <si>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</si>
  <si>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</si>
  <si>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</si>
  <si>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</si>
  <si>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</si>
  <si>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</si>
  <si>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</si>
  <si>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</si>
  <si>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</si>
  <si>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</si>
  <si>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</si>
  <si>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</si>
  <si>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</si>
  <si>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</si>
  <si>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</si>
  <si>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</si>
  <si>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</si>
  <si>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</si>
  <si>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</si>
  <si>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</si>
  <si>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</si>
  <si>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</si>
  <si>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</si>
  <si>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</si>
  <si>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</si>
  <si>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</si>
  <si>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</si>
  <si>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</si>
  <si>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</si>
  <si>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</si>
  <si>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</si>
  <si>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</si>
  <si>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</si>
  <si>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</si>
  <si>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</si>
  <si>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</si>
  <si>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</si>
  <si>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</si>
  <si>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</si>
  <si>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</si>
  <si>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</si>
  <si>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</si>
  <si>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</si>
  <si>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</si>
  <si>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</si>
  <si>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</si>
  <si>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</si>
  <si>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</si>
  <si>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</si>
  <si>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</si>
  <si>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</si>
  <si>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</si>
  <si>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</si>
  <si>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</si>
  <si>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</si>
  <si>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</si>
  <si>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</si>
  <si>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</si>
  <si>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</si>
  <si>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</si>
  <si>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</si>
  <si>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</si>
  <si>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</si>
  <si>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</si>
  <si>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</si>
  <si>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</si>
  <si>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</si>
  <si>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</si>
  <si>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</si>
  <si>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</si>
  <si>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</si>
  <si>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</si>
  <si>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</si>
  <si>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</si>
  <si>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</si>
  <si>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</si>
  <si>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</si>
  <si>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</si>
  <si>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</si>
  <si>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</si>
  <si>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</si>
  <si>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</si>
  <si>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</si>
  <si>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</si>
  <si>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</si>
  <si>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</si>
  <si>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</si>
  <si>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</si>
  <si>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</si>
  <si>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</si>
  <si>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</si>
  <si>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</si>
  <si>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</si>
  <si>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</si>
  <si>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</si>
  <si>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</si>
  <si>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</si>
  <si>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</si>
  <si>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</si>
  <si>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</si>
  <si>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</si>
  <si>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</si>
  <si>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</si>
  <si>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</si>
  <si>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</si>
  <si>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</si>
  <si>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</si>
  <si>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</si>
  <si>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</si>
  <si>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</si>
  <si>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</si>
  <si>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</si>
  <si>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</si>
  <si>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</si>
  <si>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</si>
  <si>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</si>
  <si>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</si>
  <si>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</si>
  <si>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</si>
  <si>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</si>
  <si>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</si>
  <si>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</si>
  <si>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</si>
  <si>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</si>
  <si>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</si>
  <si>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</si>
  <si>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</si>
  <si>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</si>
  <si>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</si>
  <si>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</si>
  <si>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</si>
  <si>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</si>
  <si>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</si>
  <si>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</si>
  <si>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</si>
  <si>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</si>
  <si>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</si>
  <si>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</si>
  <si>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</si>
  <si>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</si>
  <si>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</si>
  <si>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</si>
  <si>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</si>
  <si>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</si>
  <si>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</si>
  <si>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</si>
  <si>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</si>
  <si>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</si>
  <si>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</si>
  <si>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</si>
  <si>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</si>
  <si>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</si>
  <si>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</si>
  <si>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</si>
  <si>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</si>
  <si>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</si>
  <si>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</si>
  <si>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</si>
  <si>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</si>
  <si>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</si>
  <si>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</si>
  <si>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</si>
  <si>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</si>
  <si>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</si>
  <si>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</si>
  <si>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</si>
  <si>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</si>
  <si>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</si>
  <si>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</si>
  <si>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</si>
  <si>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</si>
  <si>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</si>
  <si>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</si>
  <si>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</si>
  <si>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</si>
  <si>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</si>
  <si>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</si>
  <si>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</si>
  <si>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</si>
  <si>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</si>
  <si>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</si>
  <si>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</si>
  <si>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</si>
  <si>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</si>
  <si>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LASALLE </t>
  </si>
  <si>
    <t>1463 N 3RD ROAD</t>
  </si>
  <si>
    <t>OTTAWA</t>
  </si>
  <si>
    <t>MDMATTESON@WALLACEGS.ORG</t>
  </si>
  <si>
    <t xml:space="preserve">MICHAEL MATTESON </t>
  </si>
  <si>
    <t>815-433-2986</t>
  </si>
  <si>
    <t>HOPKINS &amp; ASSOCIATES, CPAS</t>
  </si>
  <si>
    <t xml:space="preserve">JOEL HOPKINS </t>
  </si>
  <si>
    <t xml:space="preserve">314 MCCOY ST </t>
  </si>
  <si>
    <t>GRANVILLE</t>
  </si>
  <si>
    <t>IL</t>
  </si>
  <si>
    <t>815-339-6630</t>
  </si>
  <si>
    <t>815-339-6643</t>
  </si>
  <si>
    <t>066-004501</t>
  </si>
  <si>
    <t>KIM@HOPKINSOFFICECOM</t>
  </si>
  <si>
    <t xml:space="preserve">OMITTED GASB 75 DISCLOSURE </t>
  </si>
  <si>
    <t xml:space="preserve">HOPKINS &amp; ASSOCIATES, CPAS </t>
  </si>
  <si>
    <t>ALTERNATE REVENUE BONDS</t>
  </si>
  <si>
    <t>REFUNDING BONDS</t>
  </si>
  <si>
    <t>2016A REFUNDING BONDS</t>
  </si>
  <si>
    <t>2016B REFUNDING BONDS</t>
  </si>
  <si>
    <t>Operations - Repairs &amp; maintenace - Purchased Services</t>
  </si>
  <si>
    <t>20-2540-300</t>
  </si>
  <si>
    <t xml:space="preserve">Thrush Sanitation </t>
  </si>
  <si>
    <t xml:space="preserve">Marco, Inc </t>
  </si>
  <si>
    <t xml:space="preserve">Republic Services </t>
  </si>
  <si>
    <t>MTCO</t>
  </si>
  <si>
    <t>RUTLAND SD 203</t>
  </si>
  <si>
    <t>MUSIC, ART, AND FIELD TRIPS - RUTLAND SD 203</t>
  </si>
  <si>
    <t xml:space="preserve">COOPER THROUGH ROE </t>
  </si>
  <si>
    <t xml:space="preserve">RUTLAND SD 203 PERSONNEL, SEE BELOW </t>
  </si>
  <si>
    <t>L.E.A.S.E.</t>
  </si>
  <si>
    <t>STEM LAB WITH RUTLAND SD 203 &amp; DIMMICK 175</t>
  </si>
  <si>
    <t xml:space="preserve">RUTLAND SD 203, SPECIAL EDUCATION TRANSPORTATION W/ 3 DISTRICTS </t>
  </si>
  <si>
    <t xml:space="preserve">SOCIAL WORKERS W/ 4 DISTRICTS, PSYCHOLOGIST W/ 7 DISTRICTS </t>
  </si>
  <si>
    <t>x</t>
  </si>
  <si>
    <t>10-1690 Lunch Sales - Commodities $2,359</t>
  </si>
  <si>
    <t>10-1790 Sale of Student Supplies $3,173</t>
  </si>
  <si>
    <t>10-1999 Other Revenues $2,359</t>
  </si>
  <si>
    <t>10-3999 I Library Grant $750</t>
  </si>
  <si>
    <t>10-2190-3 Other Support - OT $28,554</t>
  </si>
  <si>
    <t>20-1999 Other Revenue $6,807</t>
  </si>
  <si>
    <t>20-4999 E-Rate $8,132</t>
  </si>
  <si>
    <t>30-5400 Bond Fees $2,000</t>
  </si>
  <si>
    <t>40-1999 Other Revenues $3,002</t>
  </si>
  <si>
    <t>Wallace CCSD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</si>
</sst>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17" fontId="55" fillId="0" borderId="0" xfId="0" applyNumberFormat="1" applyFon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18" borderId="21" xfId="0" applyFont="1" applyFill="1" applyBorder="1" applyAlignment="1" applyProtection="1">
      <alignment horizontal="left" vertical="center"/>
    </xf>
    <xf numFmtId="0" fontId="62" fillId="18" borderId="14" xfId="0"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EF52A4A3-B39F-4401-9636-8B0D8ED190C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790575</xdr:colOff>
          <xdr:row>9</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61D70C31-2D8B-405C-A2DE-60A7B2A463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0</xdr:rowOff>
        </xdr:from>
        <xdr:to>
          <xdr:col>1</xdr:col>
          <xdr:colOff>2000250</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4FBA17C-587F-4A08-85FF-CCC6881929F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35050195004</v>
      </c>
      <c r="B13" s="2036"/>
      <c r="C13" s="2036"/>
      <c r="D13" s="2036"/>
      <c r="E13" s="2036"/>
      <c r="F13" s="2036"/>
      <c r="G13" s="2036"/>
      <c r="H13" s="2037"/>
      <c r="I13" s="31"/>
      <c r="J13" s="30"/>
      <c r="K13" s="28"/>
      <c r="L13" s="30"/>
      <c r="M13" s="30"/>
      <c r="N13" s="30"/>
      <c r="O13" s="30"/>
      <c r="P13" s="30"/>
      <c r="Q13" s="30"/>
      <c r="R13" s="30"/>
      <c r="S13" s="30"/>
      <c r="T13" s="2040" t="s">
        <v>2084</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2078</v>
      </c>
      <c r="B15" s="2038"/>
      <c r="C15" s="2038"/>
      <c r="D15" s="2038"/>
      <c r="E15" s="2038"/>
      <c r="F15" s="2038"/>
      <c r="G15" s="2038"/>
      <c r="H15" s="2039"/>
      <c r="T15" s="2044" t="s">
        <v>2085</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2123</v>
      </c>
      <c r="B17" s="1995"/>
      <c r="C17" s="1995"/>
      <c r="D17" s="1995"/>
      <c r="E17" s="1995"/>
      <c r="F17" s="1995"/>
      <c r="G17" s="1995"/>
      <c r="H17" s="2020"/>
      <c r="T17" s="2051" t="s">
        <v>2086</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2079</v>
      </c>
      <c r="B19" s="1980"/>
      <c r="C19" s="1980"/>
      <c r="D19" s="1980"/>
      <c r="E19" s="1980"/>
      <c r="F19" s="1980"/>
      <c r="G19" s="1980"/>
      <c r="H19" s="1960"/>
      <c r="I19" s="30"/>
      <c r="J19" s="99"/>
      <c r="K19" s="40"/>
      <c r="L19" s="38"/>
      <c r="M19" s="112" t="s">
        <v>333</v>
      </c>
      <c r="P19" s="27"/>
      <c r="Q19" s="27"/>
      <c r="R19" s="27"/>
      <c r="S19" s="31"/>
      <c r="T19" s="2034" t="s">
        <v>2087</v>
      </c>
      <c r="U19" s="1959"/>
      <c r="V19" s="1959"/>
      <c r="W19" s="1960"/>
      <c r="X19" s="2049" t="s">
        <v>2088</v>
      </c>
      <c r="Y19" s="2050"/>
      <c r="Z19" s="2047">
        <v>61326</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2080</v>
      </c>
      <c r="B21" s="1959"/>
      <c r="C21" s="1959"/>
      <c r="D21" s="1959"/>
      <c r="E21" s="1959"/>
      <c r="F21" s="1959"/>
      <c r="G21" s="1959"/>
      <c r="H21" s="1960"/>
      <c r="I21" s="2014" t="s">
        <v>699</v>
      </c>
      <c r="J21" s="2009"/>
      <c r="K21" s="2009"/>
      <c r="L21" s="2009"/>
      <c r="M21" s="2009"/>
      <c r="N21" s="2009"/>
      <c r="O21" s="2009"/>
      <c r="P21" s="2009"/>
      <c r="Q21" s="2009"/>
      <c r="R21" s="2009"/>
      <c r="S21" s="2015"/>
      <c r="T21" s="2058" t="s">
        <v>2089</v>
      </c>
      <c r="U21" s="2059"/>
      <c r="V21" s="2059"/>
      <c r="W21" s="2059"/>
      <c r="X21" s="2064" t="s">
        <v>2090</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t="s">
        <v>2081</v>
      </c>
      <c r="B23" s="2012"/>
      <c r="C23" s="2012"/>
      <c r="D23" s="2012"/>
      <c r="E23" s="2012"/>
      <c r="F23" s="2012"/>
      <c r="G23" s="2012"/>
      <c r="H23" s="2013"/>
      <c r="T23" s="1994" t="s">
        <v>2091</v>
      </c>
      <c r="U23" s="2057"/>
      <c r="V23" s="2057"/>
      <c r="W23" s="2057"/>
      <c r="X23" s="2061">
        <v>43434</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61350</v>
      </c>
      <c r="B25" s="1959"/>
      <c r="C25" s="1959"/>
      <c r="D25" s="1959"/>
      <c r="E25" s="1959"/>
      <c r="F25" s="1959"/>
      <c r="G25" s="1959"/>
      <c r="H25" s="1960"/>
      <c r="I25" s="113"/>
      <c r="J25" s="1983"/>
      <c r="K25" s="1983"/>
      <c r="L25" s="1983"/>
      <c r="M25" s="1983"/>
      <c r="N25" s="1983"/>
      <c r="O25" s="1983"/>
      <c r="P25" s="1983"/>
      <c r="Q25" s="1983"/>
      <c r="R25" s="1983"/>
      <c r="S25" s="1984"/>
      <c r="T25" s="2054" t="s">
        <v>2092</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2113</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2113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2113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2082</v>
      </c>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2081</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2083</v>
      </c>
      <c r="B42" s="1978"/>
      <c r="C42" s="1979"/>
      <c r="D42" s="1977"/>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5"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2093</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2094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V17" sqref="V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93865437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1.6199999999999999E-2</v>
      </c>
      <c r="E10" s="356" t="s">
        <v>1062</v>
      </c>
      <c r="F10" s="355">
        <v>3.5000000000000001E-3</v>
      </c>
      <c r="G10" s="356" t="s">
        <v>1062</v>
      </c>
      <c r="H10" s="355">
        <v>1.1999999999999999E-3</v>
      </c>
      <c r="I10" s="356" t="s">
        <v>1063</v>
      </c>
      <c r="J10" s="1754">
        <f>ROUND(D10+F10+H10,5)</f>
        <v>2.0899999999999998E-2</v>
      </c>
      <c r="K10" s="222"/>
      <c r="L10" s="355">
        <v>5.0000000000000001E-3</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4047475</v>
      </c>
      <c r="E16" s="356"/>
      <c r="F16" s="1755">
        <f>SUM('Acct Summary 7-8'!C17,'Acct Summary 7-8'!D17,'Acct Summary 7-8'!F17)</f>
        <v>3871754</v>
      </c>
      <c r="G16" s="356"/>
      <c r="H16" s="1755">
        <f>SUM(D16-F16)</f>
        <v>175721</v>
      </c>
      <c r="I16" s="222"/>
      <c r="J16" s="1755">
        <f>SUM('Acct Summary 7-8'!C81,'Acct Summary 7-8'!D81,'Acct Summary 7-8'!F81,'Acct Summary 7-8'!I81)</f>
        <v>1113482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6476715.1530000009</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5260000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Wallace CCSD 195</v>
      </c>
      <c r="E7" s="391"/>
      <c r="G7" s="252"/>
      <c r="H7" s="387"/>
      <c r="I7" s="387"/>
      <c r="J7" s="387"/>
      <c r="K7" s="387"/>
      <c r="L7" s="329"/>
      <c r="M7" s="329"/>
      <c r="N7" s="329"/>
      <c r="O7" s="329"/>
      <c r="P7" s="329"/>
    </row>
    <row r="8" spans="1:18" ht="12.75" x14ac:dyDescent="0.2">
      <c r="A8" s="329"/>
      <c r="B8" s="329"/>
      <c r="C8" s="389" t="s">
        <v>1187</v>
      </c>
      <c r="D8" s="392">
        <f>COVER!A13</f>
        <v>35050195004</v>
      </c>
      <c r="E8" s="393"/>
      <c r="G8" s="329"/>
      <c r="H8" s="329"/>
      <c r="I8" s="329"/>
      <c r="J8" s="329"/>
      <c r="K8" s="329"/>
      <c r="L8" s="329"/>
      <c r="M8" s="329"/>
      <c r="N8" s="329"/>
      <c r="O8" s="329"/>
      <c r="P8" s="329"/>
    </row>
    <row r="9" spans="1:18" ht="12.75" x14ac:dyDescent="0.2">
      <c r="A9" s="329"/>
      <c r="B9" s="329"/>
      <c r="C9" s="389" t="s">
        <v>737</v>
      </c>
      <c r="D9" s="394" t="str">
        <f>COVER!A15</f>
        <v xml:space="preserve">LASALLE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1113482</v>
      </c>
      <c r="I12" s="404"/>
      <c r="J12" s="404"/>
      <c r="K12" s="405">
        <f>TRUNC((H12/H13*100000),5)/100000</f>
        <v>0.29664075219999997</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3753638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-293837</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3871754</v>
      </c>
      <c r="I17" s="404"/>
      <c r="J17" s="416"/>
      <c r="K17" s="405">
        <f>TRUNC((H17/H18*100000),5)/100000</f>
        <v>1.0314670726999999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3753638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-293837</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6.2490958000000001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1113482</v>
      </c>
      <c r="I24" s="422"/>
      <c r="J24" s="422"/>
      <c r="K24" s="423">
        <f>TRUNC(((H24/H25*100000)/100000),2)</f>
        <v>103.53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10754.872219999999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1667519.4883099999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5260000</v>
      </c>
      <c r="I32" s="420"/>
      <c r="J32" s="420"/>
      <c r="K32" s="423">
        <f>TRUNC(100-((((H32/H33*100))*100)/100),2)</f>
        <v>18.78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6476715.1530000009</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f>128664+3866+530085</f>
        <v>662615</v>
      </c>
      <c r="D4" s="466">
        <v>203303</v>
      </c>
      <c r="E4" s="466"/>
      <c r="F4" s="466">
        <f>32251+215313</f>
        <v>247564</v>
      </c>
      <c r="G4" s="466">
        <v>31077</v>
      </c>
      <c r="H4" s="466"/>
      <c r="I4" s="466"/>
      <c r="J4" s="467">
        <v>309</v>
      </c>
      <c r="K4" s="466">
        <v>112388</v>
      </c>
      <c r="L4" s="466">
        <v>44779</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662615</v>
      </c>
      <c r="D13" s="1759">
        <f t="shared" ref="D13:L13" si="0">SUM(D4:D12)</f>
        <v>203303</v>
      </c>
      <c r="E13" s="1759">
        <f t="shared" si="0"/>
        <v>0</v>
      </c>
      <c r="F13" s="1759">
        <f t="shared" si="0"/>
        <v>247564</v>
      </c>
      <c r="G13" s="1759">
        <f t="shared" si="0"/>
        <v>31077</v>
      </c>
      <c r="H13" s="1759">
        <f t="shared" si="0"/>
        <v>0</v>
      </c>
      <c r="I13" s="1759">
        <f t="shared" si="0"/>
        <v>0</v>
      </c>
      <c r="J13" s="1759">
        <f t="shared" si="0"/>
        <v>309</v>
      </c>
      <c r="K13" s="1759">
        <f t="shared" si="0"/>
        <v>112388</v>
      </c>
      <c r="L13" s="1759">
        <f t="shared" si="0"/>
        <v>44779</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5375</v>
      </c>
      <c r="N16" s="484"/>
    </row>
    <row r="17" spans="1:14" s="485" customFormat="1" ht="12.75" customHeight="1" x14ac:dyDescent="0.2">
      <c r="A17" s="482" t="s">
        <v>1470</v>
      </c>
      <c r="B17" s="483">
        <v>230</v>
      </c>
      <c r="C17" s="477"/>
      <c r="D17" s="477"/>
      <c r="E17" s="477"/>
      <c r="F17" s="477"/>
      <c r="G17" s="477"/>
      <c r="H17" s="477"/>
      <c r="I17" s="477"/>
      <c r="J17" s="477"/>
      <c r="K17" s="477"/>
      <c r="L17" s="477"/>
      <c r="M17" s="467">
        <v>9205518</v>
      </c>
      <c r="N17" s="484"/>
    </row>
    <row r="18" spans="1:14" s="485" customFormat="1" ht="12.75" customHeight="1" x14ac:dyDescent="0.2">
      <c r="A18" s="482" t="s">
        <v>1471</v>
      </c>
      <c r="B18" s="483">
        <v>240</v>
      </c>
      <c r="C18" s="477"/>
      <c r="D18" s="477"/>
      <c r="E18" s="477"/>
      <c r="F18" s="477"/>
      <c r="G18" s="477"/>
      <c r="H18" s="477"/>
      <c r="I18" s="477"/>
      <c r="J18" s="477"/>
      <c r="K18" s="477"/>
      <c r="L18" s="477"/>
      <c r="M18" s="467">
        <v>810558</v>
      </c>
      <c r="N18" s="484"/>
    </row>
    <row r="19" spans="1:14" s="485" customFormat="1" ht="12.75" customHeight="1" x14ac:dyDescent="0.2">
      <c r="A19" s="482" t="s">
        <v>1472</v>
      </c>
      <c r="B19" s="483">
        <v>250</v>
      </c>
      <c r="C19" s="477"/>
      <c r="D19" s="477"/>
      <c r="E19" s="477"/>
      <c r="F19" s="477"/>
      <c r="G19" s="477"/>
      <c r="H19" s="477"/>
      <c r="I19" s="477"/>
      <c r="J19" s="477"/>
      <c r="K19" s="477"/>
      <c r="L19" s="477"/>
      <c r="M19" s="467">
        <v>1458652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5260000</v>
      </c>
    </row>
    <row r="23" spans="1:14" ht="13.5" customHeight="1" thickBot="1" x14ac:dyDescent="0.25">
      <c r="A23" s="1758" t="s">
        <v>664</v>
      </c>
      <c r="B23" s="1763"/>
      <c r="C23" s="468"/>
      <c r="D23" s="468"/>
      <c r="E23" s="468"/>
      <c r="F23" s="468"/>
      <c r="G23" s="468"/>
      <c r="H23" s="468"/>
      <c r="I23" s="468"/>
      <c r="J23" s="468"/>
      <c r="K23" s="468"/>
      <c r="L23" s="468"/>
      <c r="M23" s="1710">
        <f>SUM(M15:M22)</f>
        <v>11480103</v>
      </c>
      <c r="N23" s="1710">
        <f>SUM(N21:N22)</f>
        <v>5260000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44779</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44779</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5260000</v>
      </c>
    </row>
    <row r="37" spans="1:14" ht="13.5" thickBot="1" x14ac:dyDescent="0.25">
      <c r="A37" s="1758" t="s">
        <v>674</v>
      </c>
      <c r="B37" s="1763"/>
      <c r="C37" s="477"/>
      <c r="D37" s="477"/>
      <c r="E37" s="477"/>
      <c r="F37" s="477"/>
      <c r="G37" s="477"/>
      <c r="H37" s="477"/>
      <c r="I37" s="477"/>
      <c r="J37" s="477"/>
      <c r="K37" s="477"/>
      <c r="L37" s="480"/>
      <c r="M37" s="468"/>
      <c r="N37" s="1710">
        <f>SUM(N36:N36)</f>
        <v>5260000</v>
      </c>
    </row>
    <row r="38" spans="1:14" s="329" customFormat="1" ht="13.5" customHeight="1" thickTop="1" x14ac:dyDescent="0.2">
      <c r="A38" s="496" t="s">
        <v>440</v>
      </c>
      <c r="B38" s="483">
        <v>714</v>
      </c>
      <c r="C38" s="466">
        <v>2843</v>
      </c>
      <c r="D38" s="466"/>
      <c r="E38" s="466"/>
      <c r="F38" s="466"/>
      <c r="G38" s="466">
        <v>17012</v>
      </c>
      <c r="H38" s="466"/>
      <c r="I38" s="466"/>
      <c r="J38" s="467"/>
      <c r="K38" s="466"/>
      <c r="L38" s="481"/>
      <c r="M38" s="497"/>
      <c r="N38" s="497"/>
    </row>
    <row r="39" spans="1:14" s="329" customFormat="1" ht="13.5" customHeight="1" x14ac:dyDescent="0.2">
      <c r="A39" s="496" t="s">
        <v>360</v>
      </c>
      <c r="B39" s="483">
        <v>730</v>
      </c>
      <c r="C39" s="466">
        <f>662615-2843</f>
        <v>659772</v>
      </c>
      <c r="D39" s="466">
        <v>203303</v>
      </c>
      <c r="E39" s="466"/>
      <c r="F39" s="466">
        <v>247564</v>
      </c>
      <c r="G39" s="466">
        <f>31077-17012</f>
        <v>14065</v>
      </c>
      <c r="H39" s="466"/>
      <c r="I39" s="466"/>
      <c r="J39" s="467">
        <v>309</v>
      </c>
      <c r="K39" s="466">
        <v>112388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11480103</v>
      </c>
      <c r="N40" s="497"/>
    </row>
    <row r="41" spans="1:14" ht="13.5" customHeight="1" thickBot="1" x14ac:dyDescent="0.25">
      <c r="A41" s="1758" t="s">
        <v>676</v>
      </c>
      <c r="B41" s="1728"/>
      <c r="C41" s="1710">
        <f>(SUM(C34,C37,C38,C39))</f>
        <v>662615</v>
      </c>
      <c r="D41" s="1710">
        <f t="shared" ref="D41:L41" si="2">SUM(D34,D37,D38:D39)</f>
        <v>203303</v>
      </c>
      <c r="E41" s="1710">
        <f t="shared" si="2"/>
        <v>0</v>
      </c>
      <c r="F41" s="1710">
        <f t="shared" si="2"/>
        <v>247564</v>
      </c>
      <c r="G41" s="1710">
        <f t="shared" si="2"/>
        <v>31077</v>
      </c>
      <c r="H41" s="1710">
        <f t="shared" si="2"/>
        <v>0</v>
      </c>
      <c r="I41" s="1710">
        <f t="shared" si="2"/>
        <v>0</v>
      </c>
      <c r="J41" s="1710">
        <f t="shared" si="2"/>
        <v>309</v>
      </c>
      <c r="K41" s="1710">
        <f t="shared" si="2"/>
        <v>112388</v>
      </c>
      <c r="L41" s="1710">
        <f t="shared" si="2"/>
        <v>44779</v>
      </c>
      <c r="M41" s="1710">
        <f>SUM(M40)</f>
        <v>11480103</v>
      </c>
      <c r="N41" s="1710">
        <f>SUM(N37)</f>
        <v>5260000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A47" sqref="A47"/>
      <selection pane="bottomLeft" activeCell="C93" sqref="C9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5"/>
      <c r="D3" s="1596"/>
      <c r="E3" s="1596"/>
      <c r="F3" s="1596"/>
      <c r="G3" s="1596"/>
      <c r="H3" s="1596"/>
      <c r="I3" s="1596"/>
      <c r="J3" s="1596"/>
      <c r="K3" s="1597"/>
      <c r="L3" s="506"/>
    </row>
    <row r="4" spans="1:13" ht="15.75" customHeight="1" x14ac:dyDescent="0.2">
      <c r="A4" s="2153" t="s">
        <v>1579</v>
      </c>
      <c r="B4" s="2154"/>
      <c r="C4" s="1764">
        <f>'Revenues 9-14'!C109</f>
        <v>2626413</v>
      </c>
      <c r="D4" s="1764">
        <f>'Revenues 9-14'!D109</f>
        <v>328894</v>
      </c>
      <c r="E4" s="1764">
        <f>'Revenues 9-14'!E109</f>
        <v>350388</v>
      </c>
      <c r="F4" s="1764">
        <f>'Revenues 9-14'!F109</f>
        <v>120753</v>
      </c>
      <c r="G4" s="1764">
        <f>'Revenues 9-14'!G109</f>
        <v>121858</v>
      </c>
      <c r="H4" s="1764">
        <f>'Revenues 9-14'!H109</f>
        <v>0</v>
      </c>
      <c r="I4" s="1764">
        <f>'Revenues 9-14'!I109</f>
        <v>45991</v>
      </c>
      <c r="J4" s="1764">
        <f>'Revenues 9-14'!J109</f>
        <v>107264</v>
      </c>
      <c r="K4" s="1764">
        <f>'Revenues 9-14'!K109</f>
        <v>47833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418511</v>
      </c>
      <c r="D6" s="1765">
        <f>'Revenues 9-14'!D173</f>
        <v>0</v>
      </c>
      <c r="E6" s="1765">
        <f>'Revenues 9-14'!E173</f>
        <v>0</v>
      </c>
      <c r="F6" s="1765">
        <f>'Revenues 9-14'!F173</f>
        <v>206904</v>
      </c>
      <c r="G6" s="1765">
        <f>'Revenues 9-14'!G173</f>
        <v>0</v>
      </c>
      <c r="H6" s="1765">
        <f>'Revenues 9-14'!H173</f>
        <v>0</v>
      </c>
      <c r="I6" s="1765">
        <f>'Revenues 9-14'!I173</f>
        <v>0</v>
      </c>
      <c r="J6" s="1765">
        <f>'Revenues 9-14'!J173</f>
        <v>1000</v>
      </c>
      <c r="K6" s="1765">
        <f>'Revenues 9-14'!K173</f>
        <v>0</v>
      </c>
      <c r="L6" s="347"/>
      <c r="M6" s="513"/>
    </row>
    <row r="7" spans="1:13" ht="15.75" customHeight="1" x14ac:dyDescent="0.2">
      <c r="A7" s="1598" t="s">
        <v>1582</v>
      </c>
      <c r="B7" s="1600">
        <v>4000</v>
      </c>
      <c r="C7" s="1765">
        <f>'Revenues 9-14'!C274</f>
        <v>291877</v>
      </c>
      <c r="D7" s="1765">
        <f>'Revenues 9-14'!D274</f>
        <v>8132</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3336801</v>
      </c>
      <c r="D8" s="1710">
        <f t="shared" ref="D8:K8" si="0">SUM(D4:D7)</f>
        <v>337026</v>
      </c>
      <c r="E8" s="1710">
        <f t="shared" si="0"/>
        <v>350388</v>
      </c>
      <c r="F8" s="1710">
        <f t="shared" si="0"/>
        <v>327657</v>
      </c>
      <c r="G8" s="1710">
        <f t="shared" si="0"/>
        <v>121858</v>
      </c>
      <c r="H8" s="1710">
        <f t="shared" si="0"/>
        <v>0</v>
      </c>
      <c r="I8" s="1710">
        <f t="shared" si="0"/>
        <v>45991</v>
      </c>
      <c r="J8" s="1710">
        <f t="shared" si="0"/>
        <v>108264</v>
      </c>
      <c r="K8" s="1710">
        <f t="shared" si="0"/>
        <v>47833</v>
      </c>
      <c r="L8" s="347"/>
    </row>
    <row r="9" spans="1:13" ht="15.75" thickTop="1" x14ac:dyDescent="0.2">
      <c r="A9" s="514" t="s">
        <v>1752</v>
      </c>
      <c r="B9" s="515">
        <v>3998</v>
      </c>
      <c r="C9" s="481">
        <f>1587346+26544</f>
        <v>1613890</v>
      </c>
      <c r="D9" s="516"/>
      <c r="E9" s="481"/>
      <c r="F9" s="481"/>
      <c r="G9" s="517"/>
      <c r="H9" s="481"/>
      <c r="I9" s="509" t="s">
        <v>1231</v>
      </c>
      <c r="J9" s="478"/>
      <c r="K9" s="481"/>
      <c r="L9" s="347"/>
    </row>
    <row r="10" spans="1:13" s="519" customFormat="1" ht="13.5" thickBot="1" x14ac:dyDescent="0.25">
      <c r="A10" s="1758" t="s">
        <v>1235</v>
      </c>
      <c r="B10" s="1731"/>
      <c r="C10" s="1710">
        <f>SUM(C8:C9)</f>
        <v>4950691</v>
      </c>
      <c r="D10" s="1710">
        <f t="shared" ref="D10:K10" si="1">SUM(D8:D9)</f>
        <v>337026</v>
      </c>
      <c r="E10" s="1710">
        <f t="shared" si="1"/>
        <v>350388</v>
      </c>
      <c r="F10" s="1710">
        <f t="shared" si="1"/>
        <v>327657</v>
      </c>
      <c r="G10" s="1710">
        <f t="shared" si="1"/>
        <v>121858</v>
      </c>
      <c r="H10" s="1710">
        <f t="shared" si="1"/>
        <v>0</v>
      </c>
      <c r="I10" s="1710">
        <f t="shared" si="1"/>
        <v>45991</v>
      </c>
      <c r="J10" s="1710">
        <f t="shared" si="1"/>
        <v>108264</v>
      </c>
      <c r="K10" s="1710">
        <f t="shared" si="1"/>
        <v>47833</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2326721</v>
      </c>
      <c r="D12" s="520" t="s">
        <v>1231</v>
      </c>
      <c r="E12" s="468" t="s">
        <v>1231</v>
      </c>
      <c r="F12" s="468" t="s">
        <v>1231</v>
      </c>
      <c r="G12" s="1764">
        <f>'Expenditures 15-22'!K229</f>
        <v>52856</v>
      </c>
      <c r="H12" s="521"/>
      <c r="I12" s="468" t="s">
        <v>1231</v>
      </c>
      <c r="J12" s="468" t="s">
        <v>1231</v>
      </c>
      <c r="K12" s="521" t="s">
        <v>1231</v>
      </c>
      <c r="L12" s="347"/>
    </row>
    <row r="13" spans="1:13" ht="15.75" customHeight="1" x14ac:dyDescent="0.2">
      <c r="A13" s="1598" t="s">
        <v>477</v>
      </c>
      <c r="B13" s="1600">
        <v>2000</v>
      </c>
      <c r="C13" s="1765">
        <f>'Expenditures 15-22'!K74</f>
        <v>894325</v>
      </c>
      <c r="D13" s="1765">
        <f>'Expenditures 15-22'!K129</f>
        <v>323630</v>
      </c>
      <c r="E13" s="469" t="s">
        <v>1231</v>
      </c>
      <c r="F13" s="1765">
        <f>'Expenditures 15-22'!K184</f>
        <v>207083</v>
      </c>
      <c r="G13" s="1765">
        <f>'Expenditures 15-22'!K279</f>
        <v>71975</v>
      </c>
      <c r="H13" s="1765">
        <f>'Expenditures 15-22'!K303</f>
        <v>0</v>
      </c>
      <c r="I13" s="468" t="s">
        <v>1231</v>
      </c>
      <c r="J13" s="1765">
        <f>'Expenditures 15-22'!K330</f>
        <v>112069</v>
      </c>
      <c r="K13" s="1769">
        <f>'Expenditures 15-22'!K352</f>
        <v>12717</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21996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644225</v>
      </c>
      <c r="F16" s="1765">
        <f>'Expenditures 15-22'!K208</f>
        <v>97999</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3243042</v>
      </c>
      <c r="D17" s="1710">
        <f t="shared" si="2"/>
        <v>323630</v>
      </c>
      <c r="E17" s="1710">
        <f t="shared" si="2"/>
        <v>644225</v>
      </c>
      <c r="F17" s="1710">
        <f t="shared" si="2"/>
        <v>305082</v>
      </c>
      <c r="G17" s="1710">
        <f t="shared" si="2"/>
        <v>124831</v>
      </c>
      <c r="H17" s="1710">
        <f t="shared" si="2"/>
        <v>0</v>
      </c>
      <c r="I17" s="468"/>
      <c r="J17" s="1710">
        <f>SUM(J12:J16)</f>
        <v>112069</v>
      </c>
      <c r="K17" s="1710">
        <f>SUM(K12:K16)</f>
        <v>12717</v>
      </c>
      <c r="L17" s="347"/>
    </row>
    <row r="18" spans="1:12" ht="15" customHeight="1" thickTop="1" x14ac:dyDescent="0.2">
      <c r="A18" s="1766" t="s">
        <v>1753</v>
      </c>
      <c r="B18" s="1767">
        <v>4180</v>
      </c>
      <c r="C18" s="1764">
        <f t="shared" ref="C18:H18" si="3">C9</f>
        <v>1613890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4856932</v>
      </c>
      <c r="D19" s="1710">
        <f t="shared" si="4"/>
        <v>323630</v>
      </c>
      <c r="E19" s="1710">
        <f t="shared" si="4"/>
        <v>644225</v>
      </c>
      <c r="F19" s="1710">
        <f t="shared" si="4"/>
        <v>305082</v>
      </c>
      <c r="G19" s="1710">
        <f t="shared" si="4"/>
        <v>124831</v>
      </c>
      <c r="H19" s="1710">
        <f t="shared" si="4"/>
        <v>0</v>
      </c>
      <c r="I19" s="468"/>
      <c r="J19" s="1710">
        <f>SUM(J17:J18)</f>
        <v>112069</v>
      </c>
      <c r="K19" s="1710">
        <f>SUM(K17:K18)</f>
        <v>12717</v>
      </c>
      <c r="L19" s="347"/>
    </row>
    <row r="20" spans="1:12" ht="16.5" thickTop="1" thickBot="1" x14ac:dyDescent="0.25">
      <c r="A20" s="2141" t="s">
        <v>1754</v>
      </c>
      <c r="B20" s="2142"/>
      <c r="C20" s="1768">
        <f>C8-C17</f>
        <v>93759</v>
      </c>
      <c r="D20" s="1768">
        <f t="shared" ref="D20:K20" si="5">D8-D17</f>
        <v>13396</v>
      </c>
      <c r="E20" s="1768">
        <f t="shared" si="5"/>
        <v>-293837</v>
      </c>
      <c r="F20" s="1768">
        <f t="shared" si="5"/>
        <v>22575</v>
      </c>
      <c r="G20" s="1768">
        <f t="shared" si="5"/>
        <v>-2973</v>
      </c>
      <c r="H20" s="1768">
        <f t="shared" si="5"/>
        <v>0</v>
      </c>
      <c r="I20" s="1768">
        <f t="shared" si="5"/>
        <v>45991</v>
      </c>
      <c r="J20" s="1768">
        <f t="shared" si="5"/>
        <v>-3805</v>
      </c>
      <c r="K20" s="1768">
        <f t="shared" si="5"/>
        <v>35116</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11" t="s">
        <v>1755</v>
      </c>
      <c r="B24" s="525">
        <v>7110</v>
      </c>
      <c r="C24" s="467">
        <v>45991</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v>2000</v>
      </c>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293837</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45991</v>
      </c>
      <c r="D44" s="1725">
        <f t="shared" ref="D44:K44" si="6">SUM(D24:D43)</f>
        <v>0</v>
      </c>
      <c r="E44" s="1725">
        <f t="shared" si="6"/>
        <v>293837</v>
      </c>
      <c r="F44" s="1725">
        <f t="shared" si="6"/>
        <v>2000</v>
      </c>
      <c r="G44" s="1725">
        <f t="shared" si="6"/>
        <v>0</v>
      </c>
      <c r="H44" s="1725">
        <f t="shared" si="6"/>
        <v>0</v>
      </c>
      <c r="I44" s="1725">
        <f t="shared" si="6"/>
        <v>0</v>
      </c>
      <c r="J44" s="1725">
        <f t="shared" si="6"/>
        <v>0</v>
      </c>
      <c r="K44" s="1725">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45991</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v>293837</v>
      </c>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61" t="s">
        <v>460</v>
      </c>
      <c r="B76" s="2162"/>
      <c r="C76" s="1725">
        <f t="shared" ref="C76:K76" si="7">SUM(C47:C75)</f>
        <v>293837</v>
      </c>
      <c r="D76" s="1725">
        <f t="shared" si="7"/>
        <v>0</v>
      </c>
      <c r="E76" s="1725">
        <f t="shared" si="7"/>
        <v>0</v>
      </c>
      <c r="F76" s="1725">
        <f t="shared" si="7"/>
        <v>0</v>
      </c>
      <c r="G76" s="1725">
        <f t="shared" si="7"/>
        <v>0</v>
      </c>
      <c r="H76" s="1725">
        <f t="shared" si="7"/>
        <v>0</v>
      </c>
      <c r="I76" s="1725">
        <f t="shared" si="7"/>
        <v>45991</v>
      </c>
      <c r="J76" s="1725">
        <f t="shared" si="7"/>
        <v>0</v>
      </c>
      <c r="K76" s="1725">
        <f t="shared" si="7"/>
        <v>0</v>
      </c>
      <c r="L76" s="524"/>
    </row>
    <row r="77" spans="1:12" ht="14.25" thickTop="1" thickBot="1" x14ac:dyDescent="0.25">
      <c r="A77" s="2133" t="s">
        <v>1239</v>
      </c>
      <c r="B77" s="2134"/>
      <c r="C77" s="1725">
        <f t="shared" ref="C77:K77" si="8">C44-C76</f>
        <v>-247846</v>
      </c>
      <c r="D77" s="1725">
        <f t="shared" si="8"/>
        <v>0</v>
      </c>
      <c r="E77" s="1725">
        <f t="shared" si="8"/>
        <v>293837</v>
      </c>
      <c r="F77" s="1725">
        <f t="shared" si="8"/>
        <v>2000</v>
      </c>
      <c r="G77" s="1725">
        <f t="shared" si="8"/>
        <v>0</v>
      </c>
      <c r="H77" s="1725">
        <f t="shared" si="8"/>
        <v>0</v>
      </c>
      <c r="I77" s="1725">
        <f t="shared" si="8"/>
        <v>-45991</v>
      </c>
      <c r="J77" s="1725">
        <f t="shared" si="8"/>
        <v>0</v>
      </c>
      <c r="K77" s="1725">
        <f t="shared" si="8"/>
        <v>0</v>
      </c>
      <c r="L77" s="347"/>
    </row>
    <row r="78" spans="1:12" ht="21.75" customHeight="1" thickTop="1" thickBot="1" x14ac:dyDescent="0.25">
      <c r="A78" s="2137" t="s">
        <v>618</v>
      </c>
      <c r="B78" s="2138"/>
      <c r="C78" s="1724">
        <f t="shared" ref="C78:K78" si="9">C20+C77</f>
        <v>-154087</v>
      </c>
      <c r="D78" s="1724">
        <f t="shared" si="9"/>
        <v>13396</v>
      </c>
      <c r="E78" s="1724">
        <f t="shared" si="9"/>
        <v>0</v>
      </c>
      <c r="F78" s="1724">
        <f t="shared" si="9"/>
        <v>24575</v>
      </c>
      <c r="G78" s="1724">
        <f t="shared" si="9"/>
        <v>-2973</v>
      </c>
      <c r="H78" s="1724">
        <f t="shared" si="9"/>
        <v>0</v>
      </c>
      <c r="I78" s="1724">
        <f t="shared" si="9"/>
        <v>0</v>
      </c>
      <c r="J78" s="1724">
        <f t="shared" si="9"/>
        <v>-3805</v>
      </c>
      <c r="K78" s="1724">
        <f t="shared" si="9"/>
        <v>35116</v>
      </c>
      <c r="L78" s="533"/>
    </row>
    <row r="79" spans="1:12" ht="13.5" thickTop="1" x14ac:dyDescent="0.2">
      <c r="A79" s="1516" t="s">
        <v>2073</v>
      </c>
      <c r="B79" s="534"/>
      <c r="C79" s="478">
        <v>816702</v>
      </c>
      <c r="D79" s="535">
        <v>189907</v>
      </c>
      <c r="E79" s="535"/>
      <c r="F79" s="535">
        <v>222989</v>
      </c>
      <c r="G79" s="535">
        <v>34050</v>
      </c>
      <c r="H79" s="535"/>
      <c r="I79" s="535"/>
      <c r="J79" s="535">
        <v>4114</v>
      </c>
      <c r="K79" s="535">
        <v>77272</v>
      </c>
      <c r="L79" s="347"/>
    </row>
    <row r="80" spans="1:12" x14ac:dyDescent="0.2">
      <c r="A80" s="2143" t="s">
        <v>1898</v>
      </c>
      <c r="B80" s="2144"/>
      <c r="C80" s="467"/>
      <c r="D80" s="467"/>
      <c r="E80" s="467"/>
      <c r="F80" s="467"/>
      <c r="G80" s="467"/>
      <c r="H80" s="467"/>
      <c r="I80" s="467"/>
      <c r="J80" s="467"/>
      <c r="K80" s="467"/>
      <c r="L80" s="347"/>
    </row>
    <row r="81" spans="1:12" ht="13.5" thickBot="1" x14ac:dyDescent="0.25">
      <c r="A81" s="2135" t="s">
        <v>2074</v>
      </c>
      <c r="B81" s="2136"/>
      <c r="C81" s="1710">
        <f>(SUM(C78:C80))</f>
        <v>662615</v>
      </c>
      <c r="D81" s="1710">
        <f>SUM(D78:D80)</f>
        <v>203303</v>
      </c>
      <c r="E81" s="1710">
        <f t="shared" ref="E81:K81" si="10">SUM(E78:E80)</f>
        <v>0</v>
      </c>
      <c r="F81" s="1710">
        <f t="shared" si="10"/>
        <v>247564</v>
      </c>
      <c r="G81" s="1710">
        <f t="shared" si="10"/>
        <v>31077</v>
      </c>
      <c r="H81" s="1710">
        <f t="shared" si="10"/>
        <v>0</v>
      </c>
      <c r="I81" s="1710">
        <f t="shared" si="10"/>
        <v>0</v>
      </c>
      <c r="J81" s="1710">
        <f t="shared" si="10"/>
        <v>309</v>
      </c>
      <c r="K81" s="1710">
        <f t="shared" si="10"/>
        <v>112388</v>
      </c>
      <c r="L81" s="347"/>
    </row>
    <row r="82" spans="1:12" ht="0.75" customHeight="1" thickTop="1" thickBot="1" x14ac:dyDescent="0.25">
      <c r="A82" s="536" t="s">
        <v>361</v>
      </c>
      <c r="B82" s="537"/>
      <c r="C82" s="538">
        <f>(C81-C79)</f>
        <v>-154087</v>
      </c>
      <c r="D82" s="538">
        <f t="shared" ref="D82:K82" si="11">(D81-D79)</f>
        <v>13396</v>
      </c>
      <c r="E82" s="538">
        <f t="shared" si="11"/>
        <v>0</v>
      </c>
      <c r="F82" s="538">
        <f t="shared" si="11"/>
        <v>24575</v>
      </c>
      <c r="G82" s="538">
        <f t="shared" si="11"/>
        <v>-2973</v>
      </c>
      <c r="H82" s="538">
        <f t="shared" si="11"/>
        <v>0</v>
      </c>
      <c r="I82" s="538">
        <f t="shared" si="11"/>
        <v>0</v>
      </c>
      <c r="J82" s="538">
        <f t="shared" si="11"/>
        <v>-3805</v>
      </c>
      <c r="K82" s="538">
        <f t="shared" si="11"/>
        <v>35116</v>
      </c>
    </row>
    <row r="83" spans="1:12" ht="14.25" hidden="1" thickTop="1" thickBot="1" x14ac:dyDescent="0.25">
      <c r="A83" s="539" t="s">
        <v>362</v>
      </c>
      <c r="B83" s="464"/>
      <c r="C83" s="540">
        <f>C82/C81</f>
        <v>-0.2325437848524407</v>
      </c>
      <c r="D83" s="540">
        <f t="shared" ref="D83:K83" si="12">D82/D81</f>
        <v>6.5891796972991051E-2</v>
      </c>
      <c r="E83" s="540" t="e">
        <f t="shared" si="12"/>
        <v>#DIV/0!</v>
      </c>
      <c r="F83" s="540">
        <f t="shared" si="12"/>
        <v>9.9267260183225348E-2</v>
      </c>
      <c r="G83" s="540">
        <f t="shared" si="12"/>
        <v>-9.5665604788106956E-2</v>
      </c>
      <c r="H83" s="540" t="e">
        <f t="shared" si="12"/>
        <v>#DIV/0!</v>
      </c>
      <c r="I83" s="540" t="e">
        <f t="shared" si="12"/>
        <v>#DIV/0!</v>
      </c>
      <c r="J83" s="540">
        <f t="shared" si="12"/>
        <v>-12.313915857605178</v>
      </c>
      <c r="K83" s="540">
        <f t="shared" si="12"/>
        <v>0.31245328682777523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1489492</v>
      </c>
      <c r="D5" s="481">
        <v>321804</v>
      </c>
      <c r="E5" s="466">
        <v>349581</v>
      </c>
      <c r="F5" s="548">
        <v>110333</v>
      </c>
      <c r="G5" s="466">
        <v>46800</v>
      </c>
      <c r="H5" s="466"/>
      <c r="I5" s="466">
        <v>45972</v>
      </c>
      <c r="J5" s="467">
        <v>106986</v>
      </c>
      <c r="K5" s="466">
        <v>45972</v>
      </c>
    </row>
    <row r="6" spans="1:12" ht="15" x14ac:dyDescent="0.2">
      <c r="A6" s="463" t="s">
        <v>1761</v>
      </c>
      <c r="B6" s="470">
        <v>1130</v>
      </c>
      <c r="C6" s="466">
        <v>45972</v>
      </c>
      <c r="D6" s="466"/>
      <c r="E6" s="475"/>
      <c r="F6" s="475"/>
      <c r="G6" s="468"/>
      <c r="H6" s="468"/>
      <c r="I6" s="468"/>
      <c r="J6" s="468"/>
      <c r="K6" s="468"/>
    </row>
    <row r="7" spans="1:12" x14ac:dyDescent="0.2">
      <c r="A7" s="463" t="s">
        <v>112</v>
      </c>
      <c r="B7" s="549">
        <v>1140</v>
      </c>
      <c r="C7" s="466">
        <v>18389</v>
      </c>
      <c r="D7" s="466"/>
      <c r="E7" s="468"/>
      <c r="F7" s="467"/>
      <c r="G7" s="467"/>
      <c r="H7" s="467"/>
      <c r="I7" s="468"/>
      <c r="J7" s="468"/>
      <c r="K7" s="468"/>
    </row>
    <row r="8" spans="1:12" x14ac:dyDescent="0.2">
      <c r="A8" s="463" t="s">
        <v>433</v>
      </c>
      <c r="B8" s="470">
        <v>1150</v>
      </c>
      <c r="C8" s="475"/>
      <c r="D8" s="475"/>
      <c r="E8" s="477"/>
      <c r="F8" s="477"/>
      <c r="G8" s="481">
        <v>73997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1553853</v>
      </c>
      <c r="D12" s="1729">
        <f t="shared" si="0"/>
        <v>321804</v>
      </c>
      <c r="E12" s="1729">
        <f t="shared" si="0"/>
        <v>349581</v>
      </c>
      <c r="F12" s="1729">
        <f t="shared" si="0"/>
        <v>110333</v>
      </c>
      <c r="G12" s="1729">
        <f t="shared" si="0"/>
        <v>120797</v>
      </c>
      <c r="H12" s="1729">
        <f t="shared" si="0"/>
        <v>0</v>
      </c>
      <c r="I12" s="1729">
        <f t="shared" si="0"/>
        <v>45972</v>
      </c>
      <c r="J12" s="1729">
        <f t="shared" si="0"/>
        <v>106986</v>
      </c>
      <c r="K12" s="1710">
        <f t="shared" si="0"/>
        <v>45972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57563</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57563</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51105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73139</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124244</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4622</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2750</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7372</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733</v>
      </c>
      <c r="D65" s="466">
        <v>133</v>
      </c>
      <c r="E65" s="466"/>
      <c r="F65" s="467">
        <v>46</v>
      </c>
      <c r="G65" s="466"/>
      <c r="H65" s="466"/>
      <c r="I65" s="466">
        <v>19</v>
      </c>
      <c r="J65" s="467"/>
      <c r="K65" s="466">
        <v>1861</v>
      </c>
    </row>
    <row r="66" spans="1:11" ht="12.75" customHeight="1" x14ac:dyDescent="0.2">
      <c r="A66" s="463" t="s">
        <v>700</v>
      </c>
      <c r="B66" s="470">
        <v>1520</v>
      </c>
      <c r="C66" s="466">
        <v>22761</v>
      </c>
      <c r="D66" s="466"/>
      <c r="E66" s="466">
        <v>807</v>
      </c>
      <c r="F66" s="466"/>
      <c r="G66" s="466">
        <v>1061</v>
      </c>
      <c r="H66" s="466"/>
      <c r="I66" s="466"/>
      <c r="J66" s="467">
        <v>278</v>
      </c>
      <c r="K66" s="466"/>
    </row>
    <row r="67" spans="1:11" ht="12.75" customHeight="1" thickBot="1" x14ac:dyDescent="0.25">
      <c r="A67" s="1730" t="s">
        <v>507</v>
      </c>
      <c r="B67" s="1731"/>
      <c r="C67" s="1710">
        <f>SUM(C65:C66)</f>
        <v>23494</v>
      </c>
      <c r="D67" s="1710">
        <f t="shared" ref="D67:K67" si="2">SUM(D65:D66)</f>
        <v>133</v>
      </c>
      <c r="E67" s="1710">
        <f t="shared" si="2"/>
        <v>807</v>
      </c>
      <c r="F67" s="1710">
        <f t="shared" si="2"/>
        <v>46</v>
      </c>
      <c r="G67" s="1710">
        <f t="shared" si="2"/>
        <v>1061</v>
      </c>
      <c r="H67" s="1710">
        <f t="shared" si="2"/>
        <v>0</v>
      </c>
      <c r="I67" s="1710">
        <f t="shared" si="2"/>
        <v>19</v>
      </c>
      <c r="J67" s="1710">
        <f t="shared" si="2"/>
        <v>278</v>
      </c>
      <c r="K67" s="1710">
        <f t="shared" si="2"/>
        <v>1861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43138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4665</v>
      </c>
      <c r="D73" s="468"/>
      <c r="E73" s="468"/>
      <c r="F73" s="468"/>
      <c r="G73" s="468"/>
      <c r="H73" s="468"/>
      <c r="I73" s="468"/>
      <c r="J73" s="468"/>
      <c r="K73" s="468"/>
    </row>
    <row r="74" spans="1:11" ht="12.75" customHeight="1" x14ac:dyDescent="0.2">
      <c r="A74" s="463" t="s">
        <v>25</v>
      </c>
      <c r="B74" s="470">
        <v>1690</v>
      </c>
      <c r="C74" s="551">
        <v>414</v>
      </c>
      <c r="D74" s="468"/>
      <c r="E74" s="468"/>
      <c r="F74" s="468"/>
      <c r="G74" s="468"/>
      <c r="H74" s="468"/>
      <c r="I74" s="468"/>
      <c r="J74" s="468"/>
      <c r="K74" s="468"/>
    </row>
    <row r="75" spans="1:11" ht="12.75" customHeight="1" thickBot="1" x14ac:dyDescent="0.25">
      <c r="A75" s="1730" t="s">
        <v>569</v>
      </c>
      <c r="B75" s="1731"/>
      <c r="C75" s="1710">
        <f>SUM(C69:C74)</f>
        <v>48217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3825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10350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f>3079+94</f>
        <v>3173</v>
      </c>
      <c r="D81" s="466"/>
      <c r="E81" s="468"/>
      <c r="F81" s="468"/>
      <c r="G81" s="468"/>
      <c r="H81" s="468"/>
      <c r="I81" s="468"/>
      <c r="J81" s="468"/>
      <c r="K81" s="468"/>
    </row>
    <row r="82" spans="1:11" ht="12.75" customHeight="1" thickBot="1" x14ac:dyDescent="0.25">
      <c r="A82" s="1730" t="s">
        <v>259</v>
      </c>
      <c r="B82" s="1731"/>
      <c r="C82" s="1729">
        <f>SUM(C77:C81)</f>
        <v>17348</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29515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29515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7625</v>
      </c>
      <c r="D95" s="551">
        <v>150</v>
      </c>
      <c r="E95" s="521"/>
      <c r="F95" s="521"/>
      <c r="G95" s="521"/>
      <c r="H95" s="521"/>
      <c r="I95" s="521"/>
      <c r="J95" s="521"/>
      <c r="K95" s="521"/>
    </row>
    <row r="96" spans="1:11" ht="12.75" customHeight="1" x14ac:dyDescent="0.2">
      <c r="A96" s="463" t="s">
        <v>409</v>
      </c>
      <c r="B96" s="470">
        <v>1920</v>
      </c>
      <c r="C96" s="551">
        <v>6024</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f>128758+40795+40336+62782+11955+4950+5170</f>
        <v>294746</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461425</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2359</v>
      </c>
      <c r="D107" s="466">
        <v>6807</v>
      </c>
      <c r="E107" s="466"/>
      <c r="F107" s="466">
        <v>3002</v>
      </c>
      <c r="G107" s="466"/>
      <c r="H107" s="466"/>
      <c r="I107" s="466"/>
      <c r="J107" s="467"/>
      <c r="K107" s="466"/>
    </row>
    <row r="108" spans="1:12" ht="12.75" customHeight="1" thickBot="1" x14ac:dyDescent="0.25">
      <c r="A108" s="1730" t="s">
        <v>508</v>
      </c>
      <c r="B108" s="1734"/>
      <c r="C108" s="1729">
        <f>SUM(C95:C107)</f>
        <v>772179</v>
      </c>
      <c r="D108" s="1729">
        <f t="shared" ref="D108:K108" si="3">SUM(D95:D107)</f>
        <v>6957</v>
      </c>
      <c r="E108" s="1729">
        <f t="shared" si="3"/>
        <v>0</v>
      </c>
      <c r="F108" s="1729">
        <f t="shared" si="3"/>
        <v>3002</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2626413</v>
      </c>
      <c r="D109" s="1737">
        <f t="shared" si="4"/>
        <v>328894</v>
      </c>
      <c r="E109" s="1737">
        <f t="shared" si="4"/>
        <v>350388</v>
      </c>
      <c r="F109" s="1737">
        <f t="shared" si="4"/>
        <v>120753</v>
      </c>
      <c r="G109" s="1737">
        <f t="shared" si="4"/>
        <v>121858</v>
      </c>
      <c r="H109" s="1737">
        <f t="shared" si="4"/>
        <v>0</v>
      </c>
      <c r="I109" s="1737">
        <f t="shared" si="4"/>
        <v>45991</v>
      </c>
      <c r="J109" s="1737">
        <f t="shared" si="4"/>
        <v>107264</v>
      </c>
      <c r="K109" s="1724">
        <f t="shared" si="4"/>
        <v>47833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318133</v>
      </c>
      <c r="D117" s="481"/>
      <c r="E117" s="466"/>
      <c r="F117" s="481"/>
      <c r="G117" s="481"/>
      <c r="H117" s="466"/>
      <c r="I117" s="468"/>
      <c r="J117" s="467">
        <v>1000</v>
      </c>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318133</v>
      </c>
      <c r="D121" s="1729">
        <f t="shared" si="5"/>
        <v>0</v>
      </c>
      <c r="E121" s="1729">
        <f t="shared" si="5"/>
        <v>0</v>
      </c>
      <c r="F121" s="1729">
        <f t="shared" si="5"/>
        <v>0</v>
      </c>
      <c r="G121" s="1729">
        <f t="shared" si="5"/>
        <v>0</v>
      </c>
      <c r="H121" s="1729">
        <f t="shared" si="5"/>
        <v>0</v>
      </c>
      <c r="I121" s="468"/>
      <c r="J121" s="1729">
        <f>SUM(J117:J120)</f>
        <v>1000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23704</v>
      </c>
      <c r="D124" s="561"/>
      <c r="E124" s="468"/>
      <c r="F124" s="548"/>
      <c r="G124" s="468"/>
      <c r="H124" s="468"/>
      <c r="I124" s="468"/>
      <c r="J124" s="468"/>
      <c r="K124" s="468"/>
    </row>
    <row r="125" spans="1:11" ht="12.75" customHeight="1" x14ac:dyDescent="0.2">
      <c r="A125" s="463" t="s">
        <v>1521</v>
      </c>
      <c r="B125" s="562">
        <v>3105</v>
      </c>
      <c r="C125" s="466">
        <v>19973</v>
      </c>
      <c r="D125" s="561"/>
      <c r="E125" s="468"/>
      <c r="F125" s="466"/>
      <c r="G125" s="468"/>
      <c r="H125" s="468"/>
      <c r="I125" s="468"/>
      <c r="J125" s="468"/>
      <c r="K125" s="468"/>
    </row>
    <row r="126" spans="1:11" ht="12.75" customHeight="1" x14ac:dyDescent="0.2">
      <c r="A126" s="463" t="s">
        <v>922</v>
      </c>
      <c r="B126" s="562">
        <v>3110</v>
      </c>
      <c r="C126" s="551">
        <v>55239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197</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99113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515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147482</v>
      </c>
      <c r="G151" s="467"/>
      <c r="H151" s="468"/>
      <c r="I151" s="468"/>
      <c r="J151" s="468"/>
      <c r="K151" s="468"/>
    </row>
    <row r="152" spans="1:11" ht="12.75" customHeight="1" x14ac:dyDescent="0.2">
      <c r="A152" s="463" t="s">
        <v>1117</v>
      </c>
      <c r="B152" s="562">
        <v>3510</v>
      </c>
      <c r="C152" s="551"/>
      <c r="D152" s="466"/>
      <c r="E152" s="561"/>
      <c r="F152" s="466">
        <v>59422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206904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100378</v>
      </c>
      <c r="D172" s="1744">
        <f t="shared" si="6"/>
        <v>0</v>
      </c>
      <c r="E172" s="1744">
        <f t="shared" si="6"/>
        <v>0</v>
      </c>
      <c r="F172" s="1744">
        <f t="shared" si="6"/>
        <v>206904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418511</v>
      </c>
      <c r="D173" s="1737">
        <f>SUM(D121,D172)</f>
        <v>0</v>
      </c>
      <c r="E173" s="1737">
        <f>SUM(E121,E172)</f>
        <v>0</v>
      </c>
      <c r="F173" s="1737">
        <f t="shared" ref="F173:K173" si="7">SUM(F121,F172)</f>
        <v>206904</v>
      </c>
      <c r="G173" s="1737">
        <f t="shared" si="7"/>
        <v>0</v>
      </c>
      <c r="H173" s="1737">
        <f t="shared" si="7"/>
        <v>0</v>
      </c>
      <c r="I173" s="1737">
        <f t="shared" si="7"/>
        <v>0</v>
      </c>
      <c r="J173" s="1737">
        <f t="shared" si="7"/>
        <v>1000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28649</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28649</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42784</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42784</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33005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33005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3135</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3135</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125515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125515</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6599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52190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v>8132</v>
      </c>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291877</v>
      </c>
      <c r="D273" s="1737">
        <f t="shared" si="10"/>
        <v>8132</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291877</v>
      </c>
      <c r="D274" s="1737">
        <f>SUM(D178,D184,D273)</f>
        <v>8132</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3336801</v>
      </c>
      <c r="D275" s="1737">
        <f t="shared" si="12"/>
        <v>337026</v>
      </c>
      <c r="E275" s="1737">
        <f t="shared" si="12"/>
        <v>350388</v>
      </c>
      <c r="F275" s="1737">
        <f t="shared" si="12"/>
        <v>327657</v>
      </c>
      <c r="G275" s="1737">
        <f t="shared" si="12"/>
        <v>121858</v>
      </c>
      <c r="H275" s="1737">
        <f t="shared" si="12"/>
        <v>0</v>
      </c>
      <c r="I275" s="1737">
        <f t="shared" si="12"/>
        <v>45991</v>
      </c>
      <c r="J275" s="1737">
        <f t="shared" si="12"/>
        <v>108264</v>
      </c>
      <c r="K275" s="1724">
        <f t="shared" si="12"/>
        <v>47833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15" activePane="bottomLeft" state="frozen"/>
      <selection activeCell="A47" sqref="A47"/>
      <selection pane="bottomLeft" activeCell="E329" sqref="E32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1223020</v>
      </c>
      <c r="D5" s="466">
        <v>278335</v>
      </c>
      <c r="E5" s="466">
        <v>676</v>
      </c>
      <c r="F5" s="466">
        <v>99871</v>
      </c>
      <c r="G5" s="466">
        <v>20671</v>
      </c>
      <c r="H5" s="466"/>
      <c r="I5" s="467"/>
      <c r="J5" s="467"/>
      <c r="K5" s="1693">
        <f>SUM(C5:J5)</f>
        <v>1622573</v>
      </c>
      <c r="L5" s="466">
        <v>1644922</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71510</v>
      </c>
      <c r="D7" s="467">
        <v>7433</v>
      </c>
      <c r="E7" s="467"/>
      <c r="F7" s="467">
        <v>587</v>
      </c>
      <c r="G7" s="467"/>
      <c r="H7" s="467"/>
      <c r="I7" s="467"/>
      <c r="J7" s="467"/>
      <c r="K7" s="1693">
        <f t="shared" ref="K7:K32" si="0">SUM(C7:J7)</f>
        <v>79530</v>
      </c>
      <c r="L7" s="466">
        <v>79795</v>
      </c>
    </row>
    <row r="8" spans="1:14" x14ac:dyDescent="0.2">
      <c r="A8" s="1526" t="s">
        <v>166</v>
      </c>
      <c r="B8" s="615">
        <v>1200</v>
      </c>
      <c r="C8" s="466">
        <f>123709+116310+53156</f>
        <v>293175</v>
      </c>
      <c r="D8" s="466">
        <f>26048+14243+6943</f>
        <v>47234</v>
      </c>
      <c r="E8" s="466">
        <f>459+625+9803</f>
        <v>10887</v>
      </c>
      <c r="F8" s="466">
        <v>2463</v>
      </c>
      <c r="G8" s="466"/>
      <c r="H8" s="466"/>
      <c r="I8" s="467"/>
      <c r="J8" s="467"/>
      <c r="K8" s="1693">
        <f t="shared" si="0"/>
        <v>353759</v>
      </c>
      <c r="L8" s="466">
        <v>353761</v>
      </c>
    </row>
    <row r="9" spans="1:14" x14ac:dyDescent="0.2">
      <c r="A9" s="1526" t="s">
        <v>745</v>
      </c>
      <c r="B9" s="615" t="s">
        <v>1025</v>
      </c>
      <c r="C9" s="467">
        <v>88727</v>
      </c>
      <c r="D9" s="467">
        <v>15224</v>
      </c>
      <c r="E9" s="467">
        <v>50</v>
      </c>
      <c r="F9" s="467">
        <v>2242</v>
      </c>
      <c r="G9" s="467"/>
      <c r="H9" s="467"/>
      <c r="I9" s="467"/>
      <c r="J9" s="467"/>
      <c r="K9" s="1693">
        <f t="shared" si="0"/>
        <v>106243</v>
      </c>
      <c r="L9" s="466">
        <v>106444</v>
      </c>
    </row>
    <row r="10" spans="1:14" x14ac:dyDescent="0.2">
      <c r="A10" s="1526" t="s">
        <v>746</v>
      </c>
      <c r="B10" s="615">
        <v>1250</v>
      </c>
      <c r="C10" s="466">
        <v>42374</v>
      </c>
      <c r="D10" s="466"/>
      <c r="E10" s="466">
        <v>4083</v>
      </c>
      <c r="F10" s="466"/>
      <c r="G10" s="466"/>
      <c r="H10" s="466"/>
      <c r="I10" s="467"/>
      <c r="J10" s="467"/>
      <c r="K10" s="1693">
        <f t="shared" si="0"/>
        <v>46457</v>
      </c>
      <c r="L10" s="466">
        <v>46457</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v>8101</v>
      </c>
      <c r="D12" s="466">
        <v>4410</v>
      </c>
      <c r="E12" s="466">
        <v>79</v>
      </c>
      <c r="F12" s="466"/>
      <c r="G12" s="466"/>
      <c r="H12" s="466"/>
      <c r="I12" s="467"/>
      <c r="J12" s="467"/>
      <c r="K12" s="1693">
        <f t="shared" si="0"/>
        <v>12590</v>
      </c>
      <c r="L12" s="466">
        <v>13011</v>
      </c>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27450</v>
      </c>
      <c r="D14" s="466">
        <v>1746</v>
      </c>
      <c r="E14" s="466">
        <v>4795</v>
      </c>
      <c r="F14" s="466">
        <v>2170</v>
      </c>
      <c r="G14" s="466"/>
      <c r="H14" s="466">
        <v>2858</v>
      </c>
      <c r="I14" s="467"/>
      <c r="J14" s="467"/>
      <c r="K14" s="1693">
        <f t="shared" si="0"/>
        <v>39019</v>
      </c>
      <c r="L14" s="466">
        <v>41541</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66550</v>
      </c>
      <c r="I22" s="617"/>
      <c r="J22" s="477"/>
      <c r="K22" s="1693">
        <f t="shared" si="0"/>
        <v>66550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1754357</v>
      </c>
      <c r="D33" s="1692">
        <f t="shared" ref="D33:L33" si="1">SUM(D5:D32)</f>
        <v>354382</v>
      </c>
      <c r="E33" s="1692">
        <f t="shared" si="1"/>
        <v>20570</v>
      </c>
      <c r="F33" s="1692">
        <f t="shared" si="1"/>
        <v>107333</v>
      </c>
      <c r="G33" s="1692">
        <f t="shared" si="1"/>
        <v>20671</v>
      </c>
      <c r="H33" s="1692">
        <f t="shared" si="1"/>
        <v>69408</v>
      </c>
      <c r="I33" s="1692">
        <f t="shared" si="1"/>
        <v>0</v>
      </c>
      <c r="J33" s="1692">
        <f t="shared" si="1"/>
        <v>0</v>
      </c>
      <c r="K33" s="1692">
        <f t="shared" si="1"/>
        <v>2326721</v>
      </c>
      <c r="L33" s="1692">
        <f t="shared" si="1"/>
        <v>2285931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56998</v>
      </c>
      <c r="D36" s="481">
        <v>30629</v>
      </c>
      <c r="E36" s="481">
        <v>1237</v>
      </c>
      <c r="F36" s="481">
        <v>175</v>
      </c>
      <c r="G36" s="481"/>
      <c r="H36" s="481"/>
      <c r="I36" s="467"/>
      <c r="J36" s="467"/>
      <c r="K36" s="1693">
        <f t="shared" ref="K36:K41" si="2">SUM(C36:J36)</f>
        <v>89039</v>
      </c>
      <c r="L36" s="466">
        <v>89042</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40102</v>
      </c>
      <c r="D38" s="466">
        <v>5263</v>
      </c>
      <c r="E38" s="466">
        <v>601</v>
      </c>
      <c r="F38" s="466">
        <v>95</v>
      </c>
      <c r="G38" s="466"/>
      <c r="H38" s="466"/>
      <c r="I38" s="467"/>
      <c r="J38" s="467"/>
      <c r="K38" s="1693">
        <f t="shared" si="2"/>
        <v>46061</v>
      </c>
      <c r="L38" s="466">
        <v>50447</v>
      </c>
    </row>
    <row r="39" spans="1:14" x14ac:dyDescent="0.2">
      <c r="A39" s="1526" t="s">
        <v>208</v>
      </c>
      <c r="B39" s="615">
        <v>2140</v>
      </c>
      <c r="C39" s="466">
        <v>119535</v>
      </c>
      <c r="D39" s="466">
        <v>42913</v>
      </c>
      <c r="E39" s="466">
        <v>5515</v>
      </c>
      <c r="F39" s="466">
        <v>1120</v>
      </c>
      <c r="G39" s="466"/>
      <c r="H39" s="466"/>
      <c r="I39" s="467"/>
      <c r="J39" s="467"/>
      <c r="K39" s="1693">
        <f t="shared" si="2"/>
        <v>169083</v>
      </c>
      <c r="L39" s="466">
        <v>169084</v>
      </c>
    </row>
    <row r="40" spans="1:14" x14ac:dyDescent="0.2">
      <c r="A40" s="1526" t="s">
        <v>209</v>
      </c>
      <c r="B40" s="615">
        <v>2150</v>
      </c>
      <c r="C40" s="466">
        <v>115110</v>
      </c>
      <c r="D40" s="466">
        <v>21818</v>
      </c>
      <c r="E40" s="466">
        <v>2034</v>
      </c>
      <c r="F40" s="466">
        <v>588</v>
      </c>
      <c r="G40" s="466"/>
      <c r="H40" s="466"/>
      <c r="I40" s="467"/>
      <c r="J40" s="467"/>
      <c r="K40" s="1693">
        <f t="shared" si="2"/>
        <v>139550</v>
      </c>
      <c r="L40" s="466">
        <v>139750</v>
      </c>
    </row>
    <row r="41" spans="1:14" x14ac:dyDescent="0.2">
      <c r="A41" s="1526" t="s">
        <v>1768</v>
      </c>
      <c r="B41" s="615">
        <v>2190</v>
      </c>
      <c r="C41" s="466"/>
      <c r="D41" s="466"/>
      <c r="E41" s="466">
        <v>28554</v>
      </c>
      <c r="F41" s="466"/>
      <c r="G41" s="466"/>
      <c r="H41" s="466"/>
      <c r="I41" s="467"/>
      <c r="J41" s="467"/>
      <c r="K41" s="1693">
        <f t="shared" si="2"/>
        <v>28554</v>
      </c>
      <c r="L41" s="466">
        <v>38000</v>
      </c>
    </row>
    <row r="42" spans="1:14" ht="12.75" customHeight="1" thickBot="1" x14ac:dyDescent="0.25">
      <c r="A42" s="1690" t="s">
        <v>581</v>
      </c>
      <c r="B42" s="1691" t="s">
        <v>740</v>
      </c>
      <c r="C42" s="1692">
        <f>SUM(C36:C41)</f>
        <v>331745</v>
      </c>
      <c r="D42" s="1692">
        <f t="shared" ref="D42:L42" si="3">SUM(D36:D41)</f>
        <v>100623</v>
      </c>
      <c r="E42" s="1692">
        <f t="shared" si="3"/>
        <v>37941</v>
      </c>
      <c r="F42" s="1692">
        <f t="shared" si="3"/>
        <v>1978</v>
      </c>
      <c r="G42" s="1692">
        <f t="shared" si="3"/>
        <v>0</v>
      </c>
      <c r="H42" s="1692">
        <f t="shared" si="3"/>
        <v>0</v>
      </c>
      <c r="I42" s="1692">
        <f t="shared" si="3"/>
        <v>0</v>
      </c>
      <c r="J42" s="1692">
        <f t="shared" si="3"/>
        <v>0</v>
      </c>
      <c r="K42" s="1692">
        <f t="shared" si="3"/>
        <v>472287</v>
      </c>
      <c r="L42" s="1692">
        <f t="shared" si="3"/>
        <v>486323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v>1720</v>
      </c>
      <c r="G44" s="481"/>
      <c r="H44" s="481"/>
      <c r="I44" s="467"/>
      <c r="J44" s="467"/>
      <c r="K44" s="1694">
        <f>SUM(C44:J44)</f>
        <v>1720</v>
      </c>
      <c r="L44" s="481"/>
    </row>
    <row r="45" spans="1:14" x14ac:dyDescent="0.2">
      <c r="A45" s="1526" t="s">
        <v>869</v>
      </c>
      <c r="B45" s="615">
        <v>2220</v>
      </c>
      <c r="C45" s="466">
        <v>54992</v>
      </c>
      <c r="D45" s="466">
        <v>7384</v>
      </c>
      <c r="E45" s="466"/>
      <c r="F45" s="466">
        <v>6052</v>
      </c>
      <c r="G45" s="466"/>
      <c r="H45" s="466"/>
      <c r="I45" s="467"/>
      <c r="J45" s="467"/>
      <c r="K45" s="1694">
        <f>SUM(C45:J45)</f>
        <v>68428</v>
      </c>
      <c r="L45" s="466">
        <v>68845</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54992</v>
      </c>
      <c r="D47" s="1692">
        <f t="shared" ref="D47:K47" si="4">SUM(D44:D46)</f>
        <v>7384</v>
      </c>
      <c r="E47" s="1692">
        <f t="shared" si="4"/>
        <v>0</v>
      </c>
      <c r="F47" s="1692">
        <f t="shared" si="4"/>
        <v>7772</v>
      </c>
      <c r="G47" s="1692">
        <f t="shared" si="4"/>
        <v>0</v>
      </c>
      <c r="H47" s="1692">
        <f t="shared" si="4"/>
        <v>0</v>
      </c>
      <c r="I47" s="1692">
        <f t="shared" si="4"/>
        <v>0</v>
      </c>
      <c r="J47" s="1692">
        <f t="shared" si="4"/>
        <v>0</v>
      </c>
      <c r="K47" s="1692">
        <f t="shared" si="4"/>
        <v>70148</v>
      </c>
      <c r="L47" s="1692">
        <f>SUM(L44:L46)</f>
        <v>68845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2600</v>
      </c>
      <c r="D49" s="481"/>
      <c r="E49" s="481">
        <f>2918+4206+2137+5514</f>
        <v>14775</v>
      </c>
      <c r="F49" s="481">
        <f>701+4400</f>
        <v>5101</v>
      </c>
      <c r="G49" s="481"/>
      <c r="H49" s="481">
        <v>6948</v>
      </c>
      <c r="I49" s="467"/>
      <c r="J49" s="467"/>
      <c r="K49" s="1694">
        <f>SUM(C49:J49)</f>
        <v>29424</v>
      </c>
      <c r="L49" s="481">
        <v>33300</v>
      </c>
    </row>
    <row r="50" spans="1:14" x14ac:dyDescent="0.2">
      <c r="A50" s="1526" t="s">
        <v>872</v>
      </c>
      <c r="B50" s="615">
        <v>2320</v>
      </c>
      <c r="C50" s="466">
        <v>50045</v>
      </c>
      <c r="D50" s="466">
        <v>26710</v>
      </c>
      <c r="E50" s="466">
        <v>1029</v>
      </c>
      <c r="F50" s="466"/>
      <c r="G50" s="466"/>
      <c r="H50" s="466"/>
      <c r="I50" s="467"/>
      <c r="J50" s="467"/>
      <c r="K50" s="1694">
        <f>SUM(C50:J50)</f>
        <v>77784</v>
      </c>
      <c r="L50" s="466">
        <v>77886</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52645</v>
      </c>
      <c r="D53" s="1692">
        <f t="shared" ref="D53:L53" si="5">SUM(D49:D52)</f>
        <v>26710</v>
      </c>
      <c r="E53" s="1692">
        <f t="shared" si="5"/>
        <v>15804</v>
      </c>
      <c r="F53" s="1692">
        <f t="shared" si="5"/>
        <v>5101</v>
      </c>
      <c r="G53" s="1692">
        <f t="shared" si="5"/>
        <v>0</v>
      </c>
      <c r="H53" s="1692">
        <f t="shared" si="5"/>
        <v>6948</v>
      </c>
      <c r="I53" s="1692">
        <f t="shared" si="5"/>
        <v>0</v>
      </c>
      <c r="J53" s="1692">
        <f t="shared" si="5"/>
        <v>0</v>
      </c>
      <c r="K53" s="1692">
        <f t="shared" si="5"/>
        <v>107208</v>
      </c>
      <c r="L53" s="1692">
        <f t="shared" si="5"/>
        <v>111186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61154</v>
      </c>
      <c r="D55" s="481">
        <v>24584</v>
      </c>
      <c r="E55" s="481">
        <v>319</v>
      </c>
      <c r="F55" s="481"/>
      <c r="G55" s="481"/>
      <c r="H55" s="481"/>
      <c r="I55" s="467"/>
      <c r="J55" s="467"/>
      <c r="K55" s="1694">
        <f>SUM(C55:J55)</f>
        <v>86057</v>
      </c>
      <c r="L55" s="481">
        <v>123392</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61154</v>
      </c>
      <c r="D57" s="1696">
        <f t="shared" ref="D57:K57" si="6">SUM(D55:D56)</f>
        <v>24584</v>
      </c>
      <c r="E57" s="1696">
        <f t="shared" si="6"/>
        <v>319</v>
      </c>
      <c r="F57" s="1696">
        <f t="shared" si="6"/>
        <v>0</v>
      </c>
      <c r="G57" s="1696">
        <f t="shared" si="6"/>
        <v>0</v>
      </c>
      <c r="H57" s="1696">
        <f t="shared" si="6"/>
        <v>0</v>
      </c>
      <c r="I57" s="1696">
        <f t="shared" si="6"/>
        <v>0</v>
      </c>
      <c r="J57" s="1696">
        <f t="shared" si="6"/>
        <v>0</v>
      </c>
      <c r="K57" s="1696">
        <f t="shared" si="6"/>
        <v>86057</v>
      </c>
      <c r="L57" s="1692">
        <f>SUM(L55:L56)</f>
        <v>123392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46214</v>
      </c>
      <c r="D60" s="466">
        <v>7744</v>
      </c>
      <c r="E60" s="466"/>
      <c r="F60" s="466">
        <v>3802</v>
      </c>
      <c r="G60" s="466"/>
      <c r="H60" s="466"/>
      <c r="I60" s="467"/>
      <c r="J60" s="467"/>
      <c r="K60" s="1694">
        <f t="shared" si="7"/>
        <v>57760</v>
      </c>
      <c r="L60" s="466">
        <v>25976</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34820</v>
      </c>
      <c r="D63" s="466">
        <v>7384</v>
      </c>
      <c r="E63" s="466">
        <v>842</v>
      </c>
      <c r="F63" s="466">
        <v>57819</v>
      </c>
      <c r="G63" s="466"/>
      <c r="H63" s="466"/>
      <c r="I63" s="467"/>
      <c r="J63" s="467"/>
      <c r="K63" s="1694">
        <f t="shared" si="7"/>
        <v>100865</v>
      </c>
      <c r="L63" s="466">
        <v>104045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81034</v>
      </c>
      <c r="D65" s="1692">
        <f t="shared" ref="D65:L65" si="8">SUM(D59:D64)</f>
        <v>15128</v>
      </c>
      <c r="E65" s="1692">
        <f t="shared" si="8"/>
        <v>842</v>
      </c>
      <c r="F65" s="1692">
        <f t="shared" si="8"/>
        <v>61621</v>
      </c>
      <c r="G65" s="1692">
        <f t="shared" si="8"/>
        <v>0</v>
      </c>
      <c r="H65" s="1692">
        <f t="shared" si="8"/>
        <v>0</v>
      </c>
      <c r="I65" s="1692">
        <f t="shared" si="8"/>
        <v>0</v>
      </c>
      <c r="J65" s="1692">
        <f t="shared" si="8"/>
        <v>0</v>
      </c>
      <c r="K65" s="1692">
        <f t="shared" si="8"/>
        <v>158625</v>
      </c>
      <c r="L65" s="1692">
        <f t="shared" si="8"/>
        <v>130021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581570</v>
      </c>
      <c r="D74" s="1699">
        <f t="shared" ref="D74:K74" si="10">SUM(D42,D47,D53,D57,D65,D72,D73)</f>
        <v>174429</v>
      </c>
      <c r="E74" s="1699">
        <f t="shared" si="10"/>
        <v>54906</v>
      </c>
      <c r="F74" s="1699">
        <f t="shared" si="10"/>
        <v>76472</v>
      </c>
      <c r="G74" s="1699">
        <f t="shared" si="10"/>
        <v>0</v>
      </c>
      <c r="H74" s="1699">
        <f t="shared" si="10"/>
        <v>6948</v>
      </c>
      <c r="I74" s="1699">
        <f t="shared" si="10"/>
        <v>0</v>
      </c>
      <c r="J74" s="1699">
        <f t="shared" si="10"/>
        <v>0</v>
      </c>
      <c r="K74" s="1699">
        <f t="shared" si="10"/>
        <v>894325</v>
      </c>
      <c r="L74" s="1699">
        <f>SUM(L42,L47,L53,L57,L65,L72,L73)</f>
        <v>919767</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21996</v>
      </c>
      <c r="F79" s="617"/>
      <c r="G79" s="617"/>
      <c r="H79" s="466"/>
      <c r="I79" s="477"/>
      <c r="J79" s="477"/>
      <c r="K79" s="1693">
        <f t="shared" si="11"/>
        <v>21996</v>
      </c>
      <c r="L79" s="466">
        <v>22996</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21996</v>
      </c>
      <c r="F84" s="617"/>
      <c r="G84" s="617"/>
      <c r="H84" s="1692">
        <f>SUM(H78:H83)</f>
        <v>0</v>
      </c>
      <c r="I84" s="477"/>
      <c r="J84" s="477"/>
      <c r="K84" s="1692">
        <f>SUM(K78:K83)</f>
        <v>21996</v>
      </c>
      <c r="L84" s="1692">
        <f>SUM(L78:L83)</f>
        <v>22996</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75000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75000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21996</v>
      </c>
      <c r="F102" s="617"/>
      <c r="G102" s="617"/>
      <c r="H102" s="1699">
        <f>SUM(H84,H92,H100,H101)</f>
        <v>0</v>
      </c>
      <c r="I102" s="477"/>
      <c r="J102" s="477"/>
      <c r="K102" s="1699">
        <f>SUM(K84,K92,K100,K101)</f>
        <v>21996</v>
      </c>
      <c r="L102" s="1699">
        <f>SUM(L84,L92,L100,L101)</f>
        <v>97996</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2335927</v>
      </c>
      <c r="D114" s="1692">
        <f t="shared" ref="D114:K114" si="13">SUM(D33,D74,D75,D102,D112,D113)</f>
        <v>528811</v>
      </c>
      <c r="E114" s="1692">
        <f t="shared" si="13"/>
        <v>97472</v>
      </c>
      <c r="F114" s="1692">
        <f t="shared" si="13"/>
        <v>183805</v>
      </c>
      <c r="G114" s="1692">
        <f t="shared" si="13"/>
        <v>20671</v>
      </c>
      <c r="H114" s="1692">
        <f>SUM(H33,H74,H75,H102,H112,H113)</f>
        <v>76356</v>
      </c>
      <c r="I114" s="1692">
        <f t="shared" si="13"/>
        <v>0</v>
      </c>
      <c r="J114" s="1692">
        <f t="shared" si="13"/>
        <v>0</v>
      </c>
      <c r="K114" s="1692">
        <f t="shared" si="13"/>
        <v>3243042</v>
      </c>
      <c r="L114" s="1692">
        <f>SUM(L33,L74,L75,L102,L112,L113)</f>
        <v>3303694</v>
      </c>
    </row>
    <row r="115" spans="1:14" ht="13.5" thickTop="1" x14ac:dyDescent="0.2">
      <c r="A115" s="2175" t="s">
        <v>1053</v>
      </c>
      <c r="B115" s="2176"/>
      <c r="C115" s="619"/>
      <c r="D115" s="619"/>
      <c r="E115" s="619"/>
      <c r="F115" s="619"/>
      <c r="G115" s="619"/>
      <c r="H115" s="619"/>
      <c r="I115" s="619"/>
      <c r="J115" s="619"/>
      <c r="K115" s="1706">
        <f>'Revenues 9-14'!C275-'Expenditures 15-22'!K114</f>
        <v>93759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2900</v>
      </c>
      <c r="D122" s="466">
        <v>1461</v>
      </c>
      <c r="E122" s="466"/>
      <c r="F122" s="466"/>
      <c r="G122" s="466"/>
      <c r="H122" s="466"/>
      <c r="I122" s="467"/>
      <c r="J122" s="467"/>
      <c r="K122" s="1692">
        <f>SUM(C122:J122)</f>
        <v>4361</v>
      </c>
      <c r="L122" s="466">
        <v>4340</v>
      </c>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101412</v>
      </c>
      <c r="D124" s="466">
        <v>5699</v>
      </c>
      <c r="E124" s="466">
        <v>78192</v>
      </c>
      <c r="F124" s="466">
        <f>19450+1273+11664+86134</f>
        <v>118521</v>
      </c>
      <c r="G124" s="466">
        <v>14126</v>
      </c>
      <c r="H124" s="466">
        <v>1319</v>
      </c>
      <c r="I124" s="467"/>
      <c r="J124" s="467"/>
      <c r="K124" s="1692">
        <f>SUM(C124:J124)</f>
        <v>319269</v>
      </c>
      <c r="L124" s="466">
        <v>372844</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104312</v>
      </c>
      <c r="D127" s="1692">
        <f t="shared" ref="D127:L127" si="14">SUM(D122:D126)</f>
        <v>7160</v>
      </c>
      <c r="E127" s="1692">
        <f t="shared" si="14"/>
        <v>78192</v>
      </c>
      <c r="F127" s="1692">
        <f t="shared" si="14"/>
        <v>118521</v>
      </c>
      <c r="G127" s="1692">
        <f t="shared" si="14"/>
        <v>14126</v>
      </c>
      <c r="H127" s="1692">
        <f t="shared" si="14"/>
        <v>1319</v>
      </c>
      <c r="I127" s="1692">
        <f t="shared" si="14"/>
        <v>0</v>
      </c>
      <c r="J127" s="1692">
        <f t="shared" si="14"/>
        <v>0</v>
      </c>
      <c r="K127" s="1692">
        <f t="shared" si="14"/>
        <v>323630</v>
      </c>
      <c r="L127" s="1692">
        <f t="shared" si="14"/>
        <v>377184</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104312</v>
      </c>
      <c r="D129" s="1699">
        <f t="shared" ref="D129:L129" si="15">SUM(D120,D127,D128)</f>
        <v>7160</v>
      </c>
      <c r="E129" s="1699">
        <f t="shared" si="15"/>
        <v>78192</v>
      </c>
      <c r="F129" s="1699">
        <f t="shared" si="15"/>
        <v>118521</v>
      </c>
      <c r="G129" s="1699">
        <f t="shared" si="15"/>
        <v>14126</v>
      </c>
      <c r="H129" s="1699">
        <f t="shared" si="15"/>
        <v>1319</v>
      </c>
      <c r="I129" s="1699">
        <f t="shared" si="15"/>
        <v>0</v>
      </c>
      <c r="J129" s="1699">
        <f t="shared" si="15"/>
        <v>0</v>
      </c>
      <c r="K129" s="1699">
        <f t="shared" si="15"/>
        <v>323630</v>
      </c>
      <c r="L129" s="1699">
        <f t="shared" si="15"/>
        <v>377184</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2">
        <f>SUM(C129,C130,C139,C149,C150)</f>
        <v>104312</v>
      </c>
      <c r="D151" s="1692">
        <f t="shared" ref="D151:K151" si="16">SUM(D129,D130,D139,D149,D150)</f>
        <v>7160</v>
      </c>
      <c r="E151" s="1692">
        <f t="shared" si="16"/>
        <v>78192</v>
      </c>
      <c r="F151" s="1692">
        <f t="shared" si="16"/>
        <v>118521</v>
      </c>
      <c r="G151" s="1692">
        <f t="shared" si="16"/>
        <v>14126</v>
      </c>
      <c r="H151" s="1692">
        <f t="shared" si="16"/>
        <v>1319</v>
      </c>
      <c r="I151" s="1692">
        <f t="shared" si="16"/>
        <v>0</v>
      </c>
      <c r="J151" s="1692">
        <f t="shared" si="16"/>
        <v>0</v>
      </c>
      <c r="K151" s="1692">
        <f t="shared" si="16"/>
        <v>323630</v>
      </c>
      <c r="L151" s="1692">
        <f>SUM(L129,L130,L139,L149,L150)</f>
        <v>377184</v>
      </c>
    </row>
    <row r="152" spans="1:14" ht="12.75" customHeight="1" thickTop="1" x14ac:dyDescent="0.2">
      <c r="A152" s="2195" t="s">
        <v>1240</v>
      </c>
      <c r="B152" s="2196"/>
      <c r="C152" s="619"/>
      <c r="D152" s="619"/>
      <c r="E152" s="619"/>
      <c r="F152" s="619"/>
      <c r="G152" s="619"/>
      <c r="H152" s="619"/>
      <c r="I152" s="619"/>
      <c r="J152" s="617"/>
      <c r="K152" s="1706">
        <f>'Revenues 9-14'!D275-'Expenditures 15-22'!K151</f>
        <v>13396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197225</v>
      </c>
      <c r="I169" s="617"/>
      <c r="J169" s="617"/>
      <c r="K169" s="1693">
        <f>SUM(C169:H169)</f>
        <v>197225</v>
      </c>
      <c r="L169" s="657"/>
    </row>
    <row r="170" spans="1:14" ht="33.75" customHeight="1" x14ac:dyDescent="0.2">
      <c r="A170" s="670" t="s">
        <v>1769</v>
      </c>
      <c r="B170" s="672" t="s">
        <v>31</v>
      </c>
      <c r="C170" s="617"/>
      <c r="D170" s="617"/>
      <c r="E170" s="617"/>
      <c r="F170" s="617"/>
      <c r="G170" s="617"/>
      <c r="H170" s="569">
        <f>180000+225000+25000+15000</f>
        <v>445000</v>
      </c>
      <c r="I170" s="617"/>
      <c r="J170" s="617"/>
      <c r="K170" s="1693">
        <f>SUM(C170:J170)</f>
        <v>445000</v>
      </c>
      <c r="L170" s="569">
        <v>644225</v>
      </c>
    </row>
    <row r="171" spans="1:14" ht="15.75" customHeight="1" x14ac:dyDescent="0.2">
      <c r="A171" s="622" t="s">
        <v>790</v>
      </c>
      <c r="B171" s="673" t="s">
        <v>86</v>
      </c>
      <c r="C171" s="617"/>
      <c r="D171" s="617"/>
      <c r="E171" s="466"/>
      <c r="F171" s="617"/>
      <c r="G171" s="617"/>
      <c r="H171" s="569">
        <v>2000</v>
      </c>
      <c r="I171" s="477"/>
      <c r="J171" s="617"/>
      <c r="K171" s="1693">
        <f>SUM(C171:J171)</f>
        <v>2000</v>
      </c>
      <c r="L171" s="569"/>
    </row>
    <row r="172" spans="1:14" ht="12.75" customHeight="1" thickBot="1" x14ac:dyDescent="0.25">
      <c r="A172" s="1690" t="s">
        <v>659</v>
      </c>
      <c r="B172" s="1691" t="s">
        <v>513</v>
      </c>
      <c r="C172" s="617"/>
      <c r="D172" s="617"/>
      <c r="E172" s="1699">
        <f>SUM(E168,E169,E170,E171)</f>
        <v>0</v>
      </c>
      <c r="F172" s="617"/>
      <c r="G172" s="617"/>
      <c r="H172" s="1699">
        <f>SUM(H168,H169,H170,H171)</f>
        <v>644225</v>
      </c>
      <c r="I172" s="639"/>
      <c r="J172" s="617"/>
      <c r="K172" s="1699">
        <f>SUM(K168,K169,K170,K171)</f>
        <v>644225</v>
      </c>
      <c r="L172" s="1699">
        <f>SUM(L168,L169,L170,L171)</f>
        <v>644225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644225</v>
      </c>
      <c r="I174" s="639"/>
      <c r="J174" s="617"/>
      <c r="K174" s="1699">
        <f>SUM(K160,K172,K173)</f>
        <v>644225</v>
      </c>
      <c r="L174" s="1699">
        <f>SUM(L160,L172,L173)</f>
        <v>644225</v>
      </c>
    </row>
    <row r="175" spans="1:14" ht="13.5" thickTop="1" x14ac:dyDescent="0.2">
      <c r="A175" s="2175" t="s">
        <v>1053</v>
      </c>
      <c r="B175" s="2176"/>
      <c r="C175" s="617"/>
      <c r="D175" s="617"/>
      <c r="E175" s="617"/>
      <c r="F175" s="617"/>
      <c r="G175" s="617"/>
      <c r="H175" s="619"/>
      <c r="I175" s="617"/>
      <c r="J175" s="617"/>
      <c r="K175" s="1706">
        <f>'Revenues 9-14'!E275-'Expenditures 15-22'!K174</f>
        <v>-293837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157516</v>
      </c>
      <c r="D182" s="466">
        <v>5424</v>
      </c>
      <c r="E182" s="466">
        <v>22055</v>
      </c>
      <c r="F182" s="466">
        <v>22088</v>
      </c>
      <c r="G182" s="466"/>
      <c r="H182" s="466"/>
      <c r="I182" s="467"/>
      <c r="J182" s="467"/>
      <c r="K182" s="1693">
        <f>SUM(C182:J182)</f>
        <v>207083</v>
      </c>
      <c r="L182" s="466">
        <v>307948</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157516</v>
      </c>
      <c r="D184" s="1699">
        <f t="shared" ref="D184:J184" si="17">SUM(D180,D182,D183)</f>
        <v>5424</v>
      </c>
      <c r="E184" s="1699">
        <f t="shared" si="17"/>
        <v>22055</v>
      </c>
      <c r="F184" s="1699">
        <f t="shared" si="17"/>
        <v>22088</v>
      </c>
      <c r="G184" s="1699">
        <f t="shared" si="17"/>
        <v>0</v>
      </c>
      <c r="H184" s="1699">
        <f t="shared" si="17"/>
        <v>0</v>
      </c>
      <c r="I184" s="1699">
        <f t="shared" si="17"/>
        <v>0</v>
      </c>
      <c r="J184" s="1699">
        <f t="shared" si="17"/>
        <v>0</v>
      </c>
      <c r="K184" s="1699">
        <f>SUM(K180,K182,K183)</f>
        <v>207083</v>
      </c>
      <c r="L184" s="1699">
        <f>SUM(L180, L182:L183)</f>
        <v>307948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4331</v>
      </c>
      <c r="I205" s="617"/>
      <c r="J205" s="617"/>
      <c r="K205" s="1707">
        <f>SUM(H205)</f>
        <v>4331</v>
      </c>
      <c r="L205" s="535"/>
    </row>
    <row r="206" spans="1:14" ht="30" customHeight="1" x14ac:dyDescent="0.2">
      <c r="A206" s="682" t="s">
        <v>1770</v>
      </c>
      <c r="B206" s="673" t="s">
        <v>31</v>
      </c>
      <c r="C206" s="617"/>
      <c r="D206" s="617"/>
      <c r="E206" s="617"/>
      <c r="F206" s="617"/>
      <c r="G206" s="617"/>
      <c r="H206" s="466">
        <v>93668</v>
      </c>
      <c r="I206" s="617"/>
      <c r="J206" s="617"/>
      <c r="K206" s="1693">
        <f>SUM(H206)</f>
        <v>93668</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97999</v>
      </c>
      <c r="I208" s="617"/>
      <c r="J208" s="617"/>
      <c r="K208" s="1699">
        <f>SUM(K204,K205,K206,K207)</f>
        <v>97999</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157516</v>
      </c>
      <c r="D210" s="1692">
        <f>SUM(D184,D185)</f>
        <v>5424</v>
      </c>
      <c r="E210" s="1692">
        <f>SUM(E184,E185,E196)</f>
        <v>22055</v>
      </c>
      <c r="F210" s="1692">
        <f>SUM(F184,F185)</f>
        <v>22088</v>
      </c>
      <c r="G210" s="1692">
        <f>SUM(G184,G185)</f>
        <v>0</v>
      </c>
      <c r="H210" s="1692">
        <f>SUM(H184,H185,H196,H208,H209)</f>
        <v>97999</v>
      </c>
      <c r="I210" s="1692">
        <f>SUM(I184,I185)</f>
        <v>0</v>
      </c>
      <c r="J210" s="1692">
        <f>SUM(J184,J185)</f>
        <v>0</v>
      </c>
      <c r="K210" s="1693">
        <f>SUM(K184,K185,K196,K208,K209)</f>
        <v>305082</v>
      </c>
      <c r="L210" s="1692">
        <f>SUM(L184,L185,L196,L208,L209)</f>
        <v>307948</v>
      </c>
    </row>
    <row r="211" spans="1:14" ht="13.5" thickTop="1" x14ac:dyDescent="0.2">
      <c r="A211" s="2175" t="s">
        <v>1053</v>
      </c>
      <c r="B211" s="2176"/>
      <c r="C211" s="619"/>
      <c r="D211" s="619"/>
      <c r="E211" s="619"/>
      <c r="F211" s="619"/>
      <c r="G211" s="619"/>
      <c r="H211" s="619"/>
      <c r="I211" s="617"/>
      <c r="J211" s="617"/>
      <c r="K211" s="1706">
        <f>'Revenues 9-14'!F275-'Expenditures 15-22'!K210</f>
        <v>22575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17745</v>
      </c>
      <c r="E215" s="617"/>
      <c r="F215" s="617"/>
      <c r="G215" s="617"/>
      <c r="H215" s="617"/>
      <c r="I215" s="617"/>
      <c r="J215" s="617"/>
      <c r="K215" s="1693">
        <f>D215</f>
        <v>17745</v>
      </c>
      <c r="L215" s="466">
        <v>17611</v>
      </c>
    </row>
    <row r="216" spans="1:14" x14ac:dyDescent="0.2">
      <c r="A216" s="1526" t="s">
        <v>165</v>
      </c>
      <c r="B216" s="615" t="s">
        <v>1024</v>
      </c>
      <c r="C216" s="617"/>
      <c r="D216" s="467">
        <f>1478+1932</f>
        <v>3410</v>
      </c>
      <c r="E216" s="617"/>
      <c r="F216" s="617"/>
      <c r="G216" s="617"/>
      <c r="H216" s="617"/>
      <c r="I216" s="617"/>
      <c r="J216" s="617"/>
      <c r="K216" s="1693">
        <f t="shared" ref="K216:K228" si="19">D216</f>
        <v>3410</v>
      </c>
      <c r="L216" s="466">
        <v>3410</v>
      </c>
    </row>
    <row r="217" spans="1:14" x14ac:dyDescent="0.2">
      <c r="A217" s="1526" t="s">
        <v>166</v>
      </c>
      <c r="B217" s="615">
        <v>1200</v>
      </c>
      <c r="C217" s="617"/>
      <c r="D217" s="466">
        <f>3044+3643+5813+5215+771</f>
        <v>18486</v>
      </c>
      <c r="E217" s="617"/>
      <c r="F217" s="617"/>
      <c r="G217" s="617"/>
      <c r="H217" s="617"/>
      <c r="I217" s="617"/>
      <c r="J217" s="617"/>
      <c r="K217" s="1693">
        <f t="shared" si="19"/>
        <v>18486</v>
      </c>
      <c r="L217" s="466">
        <v>17792</v>
      </c>
    </row>
    <row r="218" spans="1:14" x14ac:dyDescent="0.2">
      <c r="A218" s="1526" t="s">
        <v>296</v>
      </c>
      <c r="B218" s="615" t="s">
        <v>1025</v>
      </c>
      <c r="C218" s="617"/>
      <c r="D218" s="467">
        <f>1641+2704</f>
        <v>4345</v>
      </c>
      <c r="E218" s="617"/>
      <c r="F218" s="617"/>
      <c r="G218" s="617"/>
      <c r="H218" s="617"/>
      <c r="I218" s="617"/>
      <c r="J218" s="617"/>
      <c r="K218" s="1693">
        <f t="shared" si="19"/>
        <v>4345</v>
      </c>
      <c r="L218" s="466">
        <v>5500</v>
      </c>
    </row>
    <row r="219" spans="1:14" x14ac:dyDescent="0.2">
      <c r="A219" s="1526" t="s">
        <v>297</v>
      </c>
      <c r="B219" s="615">
        <v>1250</v>
      </c>
      <c r="C219" s="617"/>
      <c r="D219" s="466">
        <f>3820+3222</f>
        <v>7042</v>
      </c>
      <c r="E219" s="617"/>
      <c r="F219" s="617"/>
      <c r="G219" s="617"/>
      <c r="H219" s="617"/>
      <c r="I219" s="617"/>
      <c r="J219" s="617"/>
      <c r="K219" s="1693">
        <f t="shared" si="19"/>
        <v>7042</v>
      </c>
      <c r="L219" s="466">
        <v>7042</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v>117</v>
      </c>
      <c r="E221" s="617"/>
      <c r="F221" s="617"/>
      <c r="G221" s="617"/>
      <c r="H221" s="617"/>
      <c r="I221" s="617"/>
      <c r="J221" s="617"/>
      <c r="K221" s="1693">
        <f t="shared" si="19"/>
        <v>117</v>
      </c>
      <c r="L221" s="466">
        <v>225</v>
      </c>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f>568+1143</f>
        <v>1711</v>
      </c>
      <c r="E223" s="617"/>
      <c r="F223" s="617"/>
      <c r="G223" s="617"/>
      <c r="H223" s="617"/>
      <c r="I223" s="617"/>
      <c r="J223" s="617"/>
      <c r="K223" s="1693">
        <f t="shared" si="19"/>
        <v>1711</v>
      </c>
      <c r="L223" s="466">
        <v>1950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52856</v>
      </c>
      <c r="E229" s="617"/>
      <c r="F229" s="617"/>
      <c r="G229" s="617"/>
      <c r="H229" s="617"/>
      <c r="I229" s="617"/>
      <c r="J229" s="617"/>
      <c r="K229" s="1692">
        <f>SUM(K215:K228)</f>
        <v>52856</v>
      </c>
      <c r="L229" s="1692">
        <f>SUM(L215:L228)</f>
        <v>53530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826</v>
      </c>
      <c r="E232" s="617"/>
      <c r="F232" s="617"/>
      <c r="G232" s="617"/>
      <c r="H232" s="617"/>
      <c r="I232" s="617"/>
      <c r="J232" s="617"/>
      <c r="K232" s="1693">
        <f t="shared" ref="K232:K237" si="20">D232</f>
        <v>826</v>
      </c>
      <c r="L232" s="466">
        <v>825</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581</v>
      </c>
      <c r="E234" s="617"/>
      <c r="F234" s="617"/>
      <c r="G234" s="617"/>
      <c r="H234" s="617"/>
      <c r="I234" s="617"/>
      <c r="J234" s="617"/>
      <c r="K234" s="1693">
        <f t="shared" si="20"/>
        <v>581</v>
      </c>
      <c r="L234" s="466">
        <v>600</v>
      </c>
    </row>
    <row r="235" spans="1:12" x14ac:dyDescent="0.2">
      <c r="A235" s="1526" t="s">
        <v>208</v>
      </c>
      <c r="B235" s="615">
        <v>2140</v>
      </c>
      <c r="C235" s="617"/>
      <c r="D235" s="466">
        <f>1379+2499+1868</f>
        <v>5746</v>
      </c>
      <c r="E235" s="617"/>
      <c r="F235" s="617"/>
      <c r="G235" s="617"/>
      <c r="H235" s="617"/>
      <c r="I235" s="617"/>
      <c r="J235" s="617"/>
      <c r="K235" s="1693">
        <f t="shared" si="20"/>
        <v>5746</v>
      </c>
      <c r="L235" s="466">
        <v>5746</v>
      </c>
    </row>
    <row r="236" spans="1:12" x14ac:dyDescent="0.2">
      <c r="A236" s="1526" t="s">
        <v>209</v>
      </c>
      <c r="B236" s="615">
        <v>2150</v>
      </c>
      <c r="C236" s="617"/>
      <c r="D236" s="466">
        <v>1669</v>
      </c>
      <c r="E236" s="617"/>
      <c r="F236" s="617"/>
      <c r="G236" s="617"/>
      <c r="H236" s="617"/>
      <c r="I236" s="617"/>
      <c r="J236" s="617"/>
      <c r="K236" s="1693">
        <f t="shared" si="20"/>
        <v>1669</v>
      </c>
      <c r="L236" s="466">
        <v>1669</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8822</v>
      </c>
      <c r="E238" s="617"/>
      <c r="F238" s="617"/>
      <c r="G238" s="617"/>
      <c r="H238" s="617"/>
      <c r="I238" s="617"/>
      <c r="J238" s="617"/>
      <c r="K238" s="1692">
        <f>SUM(K232:K237)</f>
        <v>8822</v>
      </c>
      <c r="L238" s="1692">
        <f>SUM(L232:L237)</f>
        <v>8840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f>5629+4207</f>
        <v>9836</v>
      </c>
      <c r="E241" s="617"/>
      <c r="F241" s="617"/>
      <c r="G241" s="617"/>
      <c r="H241" s="617"/>
      <c r="I241" s="617"/>
      <c r="J241" s="617"/>
      <c r="K241" s="1694">
        <f>D241</f>
        <v>9836</v>
      </c>
      <c r="L241" s="466">
        <v>10150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9836</v>
      </c>
      <c r="E243" s="617"/>
      <c r="F243" s="617"/>
      <c r="G243" s="617"/>
      <c r="H243" s="617"/>
      <c r="I243" s="617"/>
      <c r="J243" s="617"/>
      <c r="K243" s="1692">
        <f>SUM(K240:K242)</f>
        <v>9836</v>
      </c>
      <c r="L243" s="1692">
        <f>SUM(L240:L242)</f>
        <v>10150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199</v>
      </c>
      <c r="E245" s="617"/>
      <c r="F245" s="617"/>
      <c r="G245" s="617"/>
      <c r="H245" s="617"/>
      <c r="I245" s="617"/>
      <c r="J245" s="617"/>
      <c r="K245" s="1694">
        <f>D245</f>
        <v>199</v>
      </c>
      <c r="L245" s="481">
        <v>200</v>
      </c>
    </row>
    <row r="246" spans="1:12" x14ac:dyDescent="0.2">
      <c r="A246" s="1526" t="s">
        <v>872</v>
      </c>
      <c r="B246" s="615">
        <v>2320</v>
      </c>
      <c r="C246" s="617"/>
      <c r="D246" s="466">
        <v>726</v>
      </c>
      <c r="E246" s="617"/>
      <c r="F246" s="617"/>
      <c r="G246" s="617"/>
      <c r="H246" s="617"/>
      <c r="I246" s="617"/>
      <c r="J246" s="617"/>
      <c r="K246" s="1694">
        <f t="shared" ref="K246:K256" si="21">D246</f>
        <v>726</v>
      </c>
      <c r="L246" s="466">
        <v>800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f>1699+2721</f>
        <v>4420</v>
      </c>
      <c r="E254" s="617"/>
      <c r="F254" s="617"/>
      <c r="G254" s="617"/>
      <c r="H254" s="617"/>
      <c r="I254" s="617"/>
      <c r="J254" s="617"/>
      <c r="K254" s="1694">
        <f t="shared" si="21"/>
        <v>4420</v>
      </c>
      <c r="L254" s="466">
        <v>4600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5345</v>
      </c>
      <c r="E257" s="617"/>
      <c r="F257" s="617"/>
      <c r="G257" s="617"/>
      <c r="H257" s="617"/>
      <c r="I257" s="617"/>
      <c r="J257" s="617"/>
      <c r="K257" s="1692">
        <f>SUM(K245:K256)</f>
        <v>5345</v>
      </c>
      <c r="L257" s="1692">
        <f>SUM(L245:L256)</f>
        <v>5600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887</v>
      </c>
      <c r="E259" s="617"/>
      <c r="F259" s="617"/>
      <c r="G259" s="617"/>
      <c r="H259" s="617"/>
      <c r="I259" s="617"/>
      <c r="J259" s="617"/>
      <c r="K259" s="1694">
        <f>D259</f>
        <v>887</v>
      </c>
      <c r="L259" s="481">
        <v>925</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887</v>
      </c>
      <c r="E261" s="617"/>
      <c r="F261" s="617"/>
      <c r="G261" s="617"/>
      <c r="H261" s="617"/>
      <c r="I261" s="617"/>
      <c r="J261" s="617"/>
      <c r="K261" s="1692">
        <f>SUM(K259:K260)</f>
        <v>887</v>
      </c>
      <c r="L261" s="1692">
        <f>SUM(L259:L260)</f>
        <v>925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42</v>
      </c>
      <c r="E263" s="617"/>
      <c r="F263" s="617"/>
      <c r="G263" s="617"/>
      <c r="H263" s="617"/>
      <c r="I263" s="617"/>
      <c r="J263" s="617"/>
      <c r="K263" s="1694">
        <f>D263</f>
        <v>42</v>
      </c>
      <c r="L263" s="481">
        <v>100</v>
      </c>
    </row>
    <row r="264" spans="1:14" x14ac:dyDescent="0.2">
      <c r="A264" s="1526" t="s">
        <v>483</v>
      </c>
      <c r="B264" s="686">
        <v>2520</v>
      </c>
      <c r="C264" s="617"/>
      <c r="D264" s="466">
        <f>4730+3535</f>
        <v>8265</v>
      </c>
      <c r="E264" s="617"/>
      <c r="F264" s="617"/>
      <c r="G264" s="617"/>
      <c r="H264" s="617"/>
      <c r="I264" s="617"/>
      <c r="J264" s="617"/>
      <c r="K264" s="1694">
        <f t="shared" ref="K264:K269" si="22">D264</f>
        <v>8265</v>
      </c>
      <c r="L264" s="466">
        <v>9350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f>5887+7491</f>
        <v>13378</v>
      </c>
      <c r="E266" s="617"/>
      <c r="F266" s="617"/>
      <c r="G266" s="617"/>
      <c r="H266" s="617"/>
      <c r="I266" s="617"/>
      <c r="J266" s="617"/>
      <c r="K266" s="1694">
        <f t="shared" si="22"/>
        <v>13378</v>
      </c>
      <c r="L266" s="466">
        <v>13378</v>
      </c>
    </row>
    <row r="267" spans="1:14" x14ac:dyDescent="0.2">
      <c r="A267" s="1526" t="s">
        <v>1010</v>
      </c>
      <c r="B267" s="615">
        <v>2550</v>
      </c>
      <c r="C267" s="617"/>
      <c r="D267" s="466">
        <f>8203+11248</f>
        <v>19451</v>
      </c>
      <c r="E267" s="617"/>
      <c r="F267" s="617"/>
      <c r="G267" s="617"/>
      <c r="H267" s="617"/>
      <c r="I267" s="617"/>
      <c r="J267" s="617"/>
      <c r="K267" s="1694">
        <f t="shared" si="22"/>
        <v>19451</v>
      </c>
      <c r="L267" s="466">
        <v>19800</v>
      </c>
    </row>
    <row r="268" spans="1:14" x14ac:dyDescent="0.2">
      <c r="A268" s="1526" t="s">
        <v>102</v>
      </c>
      <c r="B268" s="615">
        <v>2560</v>
      </c>
      <c r="C268" s="617"/>
      <c r="D268" s="466">
        <f>3285+2664</f>
        <v>5949</v>
      </c>
      <c r="E268" s="617"/>
      <c r="F268" s="617"/>
      <c r="G268" s="617"/>
      <c r="H268" s="617"/>
      <c r="I268" s="617"/>
      <c r="J268" s="617"/>
      <c r="K268" s="1694">
        <f t="shared" si="22"/>
        <v>5949</v>
      </c>
      <c r="L268" s="466">
        <v>5950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47085</v>
      </c>
      <c r="E270" s="617"/>
      <c r="F270" s="617"/>
      <c r="G270" s="617"/>
      <c r="H270" s="617"/>
      <c r="I270" s="617"/>
      <c r="J270" s="617"/>
      <c r="K270" s="1692">
        <f>SUM(K263:K269)</f>
        <v>47085</v>
      </c>
      <c r="L270" s="1692">
        <f>SUM(L263:L269)</f>
        <v>48578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71975</v>
      </c>
      <c r="E279" s="617"/>
      <c r="F279" s="617"/>
      <c r="G279" s="617"/>
      <c r="H279" s="617"/>
      <c r="I279" s="617"/>
      <c r="J279" s="617"/>
      <c r="K279" s="1699">
        <f>SUM(K238,K243,K257,K261,K270,K277,K278)</f>
        <v>71975</v>
      </c>
      <c r="L279" s="1699">
        <f>SUM(L238,L243,L257,L261,L270,L277,L278)</f>
        <v>74093</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124831</v>
      </c>
      <c r="E295" s="617"/>
      <c r="F295" s="617"/>
      <c r="G295" s="617"/>
      <c r="H295" s="1692">
        <f>H293</f>
        <v>0</v>
      </c>
      <c r="I295" s="617"/>
      <c r="J295" s="617"/>
      <c r="K295" s="1692">
        <f>SUM(K229,K279,K280,K285,K293,K294)</f>
        <v>124831</v>
      </c>
      <c r="L295" s="1692">
        <f>SUM(L229,L279,L280,L285,L293,L294)</f>
        <v>127623</v>
      </c>
    </row>
    <row r="296" spans="1:14" ht="13.5" thickTop="1" x14ac:dyDescent="0.2">
      <c r="A296" s="2175" t="s">
        <v>1053</v>
      </c>
      <c r="B296" s="2176"/>
      <c r="C296" s="617"/>
      <c r="D296" s="619"/>
      <c r="E296" s="617"/>
      <c r="F296" s="617"/>
      <c r="G296" s="617"/>
      <c r="H296" s="688"/>
      <c r="I296" s="617"/>
      <c r="J296" s="617"/>
      <c r="K296" s="1706">
        <f>'Revenues 9-14'!G275-'Expenditures 15-22'!K295</f>
        <v>-2973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23259</v>
      </c>
      <c r="F320" s="467"/>
      <c r="G320" s="467"/>
      <c r="H320" s="467"/>
      <c r="I320" s="467"/>
      <c r="J320" s="467"/>
      <c r="K320" s="1693">
        <f t="shared" ref="K320:K327" si="24">SUM(C320:J320)</f>
        <v>23259</v>
      </c>
      <c r="L320" s="467">
        <v>23259</v>
      </c>
      <c r="M320" s="666"/>
      <c r="N320" s="666"/>
    </row>
    <row r="321" spans="1:14" s="675" customFormat="1" x14ac:dyDescent="0.2">
      <c r="A321" s="1541" t="s">
        <v>318</v>
      </c>
      <c r="B321" s="698" t="s">
        <v>301</v>
      </c>
      <c r="C321" s="467"/>
      <c r="D321" s="467"/>
      <c r="E321" s="467">
        <v>9952</v>
      </c>
      <c r="F321" s="467"/>
      <c r="G321" s="467"/>
      <c r="H321" s="467"/>
      <c r="I321" s="467"/>
      <c r="J321" s="467"/>
      <c r="K321" s="1693">
        <f t="shared" si="24"/>
        <v>9952</v>
      </c>
      <c r="L321" s="467">
        <v>9952</v>
      </c>
      <c r="M321" s="666"/>
      <c r="N321" s="666"/>
    </row>
    <row r="322" spans="1:14" s="675" customFormat="1" x14ac:dyDescent="0.2">
      <c r="A322" s="1541" t="s">
        <v>256</v>
      </c>
      <c r="B322" s="698" t="s">
        <v>302</v>
      </c>
      <c r="C322" s="467"/>
      <c r="D322" s="467"/>
      <c r="E322" s="467">
        <v>1312</v>
      </c>
      <c r="F322" s="467"/>
      <c r="G322" s="467"/>
      <c r="H322" s="467"/>
      <c r="I322" s="467"/>
      <c r="J322" s="467"/>
      <c r="K322" s="1693">
        <f t="shared" si="24"/>
        <v>1312</v>
      </c>
      <c r="L322" s="467">
        <v>1312</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47275</v>
      </c>
      <c r="D325" s="467">
        <v>7263</v>
      </c>
      <c r="E325" s="467"/>
      <c r="F325" s="467"/>
      <c r="G325" s="467"/>
      <c r="H325" s="467"/>
      <c r="I325" s="467"/>
      <c r="J325" s="467"/>
      <c r="K325" s="1693">
        <f t="shared" si="24"/>
        <v>54538</v>
      </c>
      <c r="L325" s="467">
        <v>54538</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969</v>
      </c>
      <c r="F327" s="467"/>
      <c r="G327" s="467"/>
      <c r="H327" s="467"/>
      <c r="I327" s="467"/>
      <c r="J327" s="467"/>
      <c r="K327" s="1693">
        <f t="shared" si="24"/>
        <v>969</v>
      </c>
      <c r="L327" s="467">
        <v>969</v>
      </c>
      <c r="M327" s="666"/>
      <c r="N327" s="666"/>
    </row>
    <row r="328" spans="1:14" s="675" customFormat="1" x14ac:dyDescent="0.2">
      <c r="A328" s="1542" t="s">
        <v>492</v>
      </c>
      <c r="B328" s="691" t="s">
        <v>1194</v>
      </c>
      <c r="C328" s="474"/>
      <c r="D328" s="474"/>
      <c r="E328" s="474">
        <v>22039</v>
      </c>
      <c r="F328" s="474"/>
      <c r="G328" s="474"/>
      <c r="H328" s="474"/>
      <c r="I328" s="474"/>
      <c r="J328" s="474"/>
      <c r="K328" s="1721">
        <f>SUM(C328:J328)</f>
        <v>22039</v>
      </c>
      <c r="L328" s="474">
        <v>22039</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47275</v>
      </c>
      <c r="D330" s="1692">
        <f t="shared" ref="D330:J330" si="25">SUM(D319:D329)</f>
        <v>7263</v>
      </c>
      <c r="E330" s="1692">
        <f t="shared" si="25"/>
        <v>57531</v>
      </c>
      <c r="F330" s="1692">
        <f t="shared" si="25"/>
        <v>0</v>
      </c>
      <c r="G330" s="1692">
        <f t="shared" si="25"/>
        <v>0</v>
      </c>
      <c r="H330" s="1692">
        <f t="shared" si="25"/>
        <v>0</v>
      </c>
      <c r="I330" s="1692">
        <f t="shared" si="25"/>
        <v>0</v>
      </c>
      <c r="J330" s="1692">
        <f t="shared" si="25"/>
        <v>0</v>
      </c>
      <c r="K330" s="1692">
        <f>SUM(K319:K329)</f>
        <v>112069</v>
      </c>
      <c r="L330" s="1692">
        <f>SUM(L319:L329)</f>
        <v>112069</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47275</v>
      </c>
      <c r="D342" s="1692">
        <f>SUM(D330)</f>
        <v>7263</v>
      </c>
      <c r="E342" s="1692">
        <f>SUM(E330)</f>
        <v>57531</v>
      </c>
      <c r="F342" s="1692">
        <f>SUM(F330)</f>
        <v>0</v>
      </c>
      <c r="G342" s="1692">
        <f>SUM(G330)</f>
        <v>0</v>
      </c>
      <c r="H342" s="1692">
        <f>SUM(H330,H334,H340)</f>
        <v>0</v>
      </c>
      <c r="I342" s="1692">
        <f>SUM(I330)</f>
        <v>0</v>
      </c>
      <c r="J342" s="1692">
        <f>SUM(J330)</f>
        <v>0</v>
      </c>
      <c r="K342" s="1692">
        <f>SUM(K330,K334,K340)</f>
        <v>112069</v>
      </c>
      <c r="L342" s="1699">
        <f>SUM(L330,L340,L341)</f>
        <v>112069</v>
      </c>
    </row>
    <row r="343" spans="1:14" ht="12.75" customHeight="1" thickTop="1" x14ac:dyDescent="0.2">
      <c r="A343" s="2188" t="s">
        <v>1053</v>
      </c>
      <c r="B343" s="2189"/>
      <c r="C343" s="617"/>
      <c r="D343" s="617"/>
      <c r="E343" s="617"/>
      <c r="F343" s="617"/>
      <c r="G343" s="617"/>
      <c r="H343" s="617"/>
      <c r="I343" s="617"/>
      <c r="J343" s="617"/>
      <c r="K343" s="1706">
        <f>'Revenues 9-14'!J275-'Expenditures 15-22'!K342</f>
        <v>-3805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12717</v>
      </c>
      <c r="F349" s="466"/>
      <c r="G349" s="466"/>
      <c r="H349" s="466"/>
      <c r="I349" s="467"/>
      <c r="J349" s="467"/>
      <c r="K349" s="1693">
        <f>SUM(C349:J349)</f>
        <v>12717</v>
      </c>
      <c r="L349" s="466">
        <v>12717</v>
      </c>
    </row>
    <row r="350" spans="1:14" ht="12.75" customHeight="1" thickBot="1" x14ac:dyDescent="0.25">
      <c r="A350" s="1690" t="s">
        <v>743</v>
      </c>
      <c r="B350" s="1691" t="s">
        <v>35</v>
      </c>
      <c r="C350" s="1692">
        <f>SUM(C348:C349)</f>
        <v>0</v>
      </c>
      <c r="D350" s="1692">
        <f t="shared" ref="D350:L350" si="26">SUM(D348:D349)</f>
        <v>0</v>
      </c>
      <c r="E350" s="1692">
        <f t="shared" si="26"/>
        <v>12717</v>
      </c>
      <c r="F350" s="1692">
        <f t="shared" si="26"/>
        <v>0</v>
      </c>
      <c r="G350" s="1692">
        <f t="shared" si="26"/>
        <v>0</v>
      </c>
      <c r="H350" s="1692">
        <f t="shared" si="26"/>
        <v>0</v>
      </c>
      <c r="I350" s="1692">
        <f t="shared" si="26"/>
        <v>0</v>
      </c>
      <c r="J350" s="1692">
        <f t="shared" si="26"/>
        <v>0</v>
      </c>
      <c r="K350" s="1692">
        <f t="shared" si="26"/>
        <v>12717</v>
      </c>
      <c r="L350" s="1692">
        <f t="shared" si="26"/>
        <v>12717</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12717</v>
      </c>
      <c r="F352" s="1692">
        <f t="shared" si="27"/>
        <v>0</v>
      </c>
      <c r="G352" s="1692">
        <f t="shared" si="27"/>
        <v>0</v>
      </c>
      <c r="H352" s="1692">
        <f t="shared" si="27"/>
        <v>0</v>
      </c>
      <c r="I352" s="1692">
        <f t="shared" si="27"/>
        <v>0</v>
      </c>
      <c r="J352" s="1692">
        <f t="shared" si="27"/>
        <v>0</v>
      </c>
      <c r="K352" s="1692">
        <f t="shared" si="27"/>
        <v>12717</v>
      </c>
      <c r="L352" s="1692">
        <f t="shared" si="27"/>
        <v>12717</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12717</v>
      </c>
      <c r="F367" s="1692">
        <f t="shared" si="28"/>
        <v>0</v>
      </c>
      <c r="G367" s="1692">
        <f t="shared" si="28"/>
        <v>0</v>
      </c>
      <c r="H367" s="1692">
        <f t="shared" si="28"/>
        <v>0</v>
      </c>
      <c r="I367" s="1692">
        <f t="shared" si="28"/>
        <v>0</v>
      </c>
      <c r="J367" s="1692">
        <f t="shared" si="28"/>
        <v>0</v>
      </c>
      <c r="K367" s="1692">
        <f t="shared" si="28"/>
        <v>12717</v>
      </c>
      <c r="L367" s="1692">
        <f t="shared" si="28"/>
        <v>12717</v>
      </c>
    </row>
    <row r="368" spans="1:14" ht="13.5" thickTop="1" x14ac:dyDescent="0.2">
      <c r="A368" s="2175" t="s">
        <v>1053</v>
      </c>
      <c r="B368" s="2176"/>
      <c r="C368" s="655"/>
      <c r="D368" s="655"/>
      <c r="E368" s="627"/>
      <c r="F368" s="627"/>
      <c r="G368" s="627"/>
      <c r="H368" s="627"/>
      <c r="I368" s="627"/>
      <c r="J368" s="624"/>
      <c r="K368" s="1693">
        <f>'Revenues 9-14'!K275-'Expenditures 15-22'!K367</f>
        <v>35116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1489492</v>
      </c>
      <c r="C4" s="1546"/>
      <c r="D4" s="1774">
        <f>B4-C4</f>
        <v>1489492</v>
      </c>
      <c r="E4" s="1546">
        <v>1520620</v>
      </c>
      <c r="F4" s="1774">
        <f>E4-C4</f>
        <v>1520620</v>
      </c>
    </row>
    <row r="5" spans="1:6" ht="13.7" customHeight="1" x14ac:dyDescent="0.2">
      <c r="A5" s="716" t="s">
        <v>925</v>
      </c>
      <c r="B5" s="1772">
        <f>'Revenues 9-14'!D5</f>
        <v>321804</v>
      </c>
      <c r="C5" s="585"/>
      <c r="D5" s="1775">
        <f t="shared" ref="D5:D18" si="0">B5-C5</f>
        <v>321804</v>
      </c>
      <c r="E5" s="585">
        <v>328529</v>
      </c>
      <c r="F5" s="1775">
        <f>E5-C5</f>
        <v>328529</v>
      </c>
    </row>
    <row r="6" spans="1:6" ht="13.7" customHeight="1" x14ac:dyDescent="0.2">
      <c r="A6" s="716" t="s">
        <v>431</v>
      </c>
      <c r="B6" s="1772">
        <f>'Revenues 9-14'!E5</f>
        <v>349581</v>
      </c>
      <c r="C6" s="585"/>
      <c r="D6" s="1775">
        <f t="shared" si="0"/>
        <v>349581</v>
      </c>
      <c r="E6" s="585">
        <v>358012</v>
      </c>
      <c r="F6" s="1775">
        <f t="shared" ref="F6:F18" si="1">E6-C6</f>
        <v>358012</v>
      </c>
    </row>
    <row r="7" spans="1:6" ht="13.7" customHeight="1" x14ac:dyDescent="0.2">
      <c r="A7" s="716" t="s">
        <v>157</v>
      </c>
      <c r="B7" s="1772">
        <f>'Revenues 9-14'!F5</f>
        <v>110333</v>
      </c>
      <c r="C7" s="585"/>
      <c r="D7" s="1775">
        <f t="shared" si="0"/>
        <v>110333</v>
      </c>
      <c r="E7" s="585">
        <v>112639</v>
      </c>
      <c r="F7" s="1775">
        <f t="shared" si="1"/>
        <v>112639</v>
      </c>
    </row>
    <row r="8" spans="1:6" ht="13.7" customHeight="1" x14ac:dyDescent="0.2">
      <c r="A8" s="716" t="s">
        <v>1241</v>
      </c>
      <c r="B8" s="1772">
        <f>'Revenues 9-14'!G5</f>
        <v>46800</v>
      </c>
      <c r="C8" s="585"/>
      <c r="D8" s="1775">
        <f t="shared" si="0"/>
        <v>46800</v>
      </c>
      <c r="E8" s="585">
        <v>46811</v>
      </c>
      <c r="F8" s="1775">
        <f t="shared" si="1"/>
        <v>46811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45972</v>
      </c>
      <c r="C10" s="585"/>
      <c r="D10" s="1775">
        <f t="shared" si="0"/>
        <v>45972</v>
      </c>
      <c r="E10" s="585">
        <v>46933</v>
      </c>
      <c r="F10" s="1775">
        <f t="shared" si="1"/>
        <v>46933</v>
      </c>
    </row>
    <row r="11" spans="1:6" x14ac:dyDescent="0.2">
      <c r="A11" s="716" t="s">
        <v>429</v>
      </c>
      <c r="B11" s="1772">
        <f>'Revenues 9-14'!J5</f>
        <v>106986</v>
      </c>
      <c r="C11" s="585"/>
      <c r="D11" s="1775">
        <f t="shared" si="0"/>
        <v>106986</v>
      </c>
      <c r="E11" s="585">
        <v>107007</v>
      </c>
      <c r="F11" s="1775">
        <f t="shared" si="1"/>
        <v>107007</v>
      </c>
    </row>
    <row r="12" spans="1:6" ht="13.7" customHeight="1" x14ac:dyDescent="0.2">
      <c r="A12" s="716" t="s">
        <v>159</v>
      </c>
      <c r="B12" s="1772">
        <f>'Revenues 9-14'!K5</f>
        <v>45972</v>
      </c>
      <c r="C12" s="585"/>
      <c r="D12" s="1775">
        <f t="shared" si="0"/>
        <v>45972</v>
      </c>
      <c r="E12" s="585">
        <v>46933</v>
      </c>
      <c r="F12" s="1775">
        <f t="shared" si="1"/>
        <v>46933</v>
      </c>
    </row>
    <row r="13" spans="1:6" ht="13.7" customHeight="1" x14ac:dyDescent="0.2">
      <c r="A13" s="716" t="s">
        <v>993</v>
      </c>
      <c r="B13" s="1772">
        <f>SUM('Revenues 9-14'!C6:D6)</f>
        <v>45972</v>
      </c>
      <c r="C13" s="585"/>
      <c r="D13" s="1775">
        <f t="shared" si="0"/>
        <v>45972</v>
      </c>
      <c r="E13" s="585">
        <v>46933</v>
      </c>
      <c r="F13" s="1775">
        <f t="shared" si="1"/>
        <v>46933</v>
      </c>
    </row>
    <row r="14" spans="1:6" ht="13.7" customHeight="1" x14ac:dyDescent="0.2">
      <c r="A14" s="716" t="s">
        <v>430</v>
      </c>
      <c r="B14" s="1772">
        <f>SUM('Revenues 9-14'!C7:D7,'Revenues 9-14'!F7:H7)</f>
        <v>18389</v>
      </c>
      <c r="C14" s="585"/>
      <c r="D14" s="1775">
        <f t="shared" si="0"/>
        <v>18389</v>
      </c>
      <c r="E14" s="585">
        <v>18773</v>
      </c>
      <c r="F14" s="1775">
        <f t="shared" si="1"/>
        <v>18773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73997</v>
      </c>
      <c r="C16" s="585"/>
      <c r="D16" s="1775">
        <f t="shared" si="0"/>
        <v>73997</v>
      </c>
      <c r="E16" s="585">
        <v>74013</v>
      </c>
      <c r="F16" s="1775">
        <f t="shared" si="1"/>
        <v>74013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2655298</v>
      </c>
      <c r="C19" s="1773">
        <f>SUM(C4:C18)</f>
        <v>0</v>
      </c>
      <c r="D19" s="1773">
        <f>SUM(D4:D18)</f>
        <v>2655298</v>
      </c>
      <c r="E19" s="1773">
        <f>SUM(E4:E18)</f>
        <v>2707203</v>
      </c>
      <c r="F19" s="1773">
        <f>SUM(F4:F18)</f>
        <v>2707203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I33" sqref="I33:I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9" t="s">
        <v>2038</v>
      </c>
      <c r="D2" s="724" t="s">
        <v>2045</v>
      </c>
      <c r="E2" s="724" t="s">
        <v>2046</v>
      </c>
      <c r="F2" s="1909" t="s">
        <v>2039</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7">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5" t="s">
        <v>652</v>
      </c>
      <c r="B15" s="2216"/>
      <c r="C15" s="1777">
        <f>SUM(C6:C14)</f>
        <v>0</v>
      </c>
      <c r="D15" s="1777">
        <f>SUM(D6:D14)</f>
        <v>0</v>
      </c>
      <c r="E15" s="1777">
        <f>SUM(E6:E14)</f>
        <v>0</v>
      </c>
      <c r="F15" s="1777">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7">
        <f>SUM(C17+D17)-E17</f>
        <v>0</v>
      </c>
    </row>
    <row r="18" spans="1:11" ht="12.75" customHeight="1" thickTop="1" thickBot="1" x14ac:dyDescent="0.25">
      <c r="A18" s="2210" t="s">
        <v>6</v>
      </c>
      <c r="B18" s="2211"/>
      <c r="C18" s="727"/>
      <c r="D18" s="585"/>
      <c r="E18" s="727"/>
      <c r="F18" s="1777">
        <f>SUM(C18+D18)-E18</f>
        <v>0</v>
      </c>
    </row>
    <row r="19" spans="1:11" ht="12.75" customHeight="1" thickTop="1" thickBot="1" x14ac:dyDescent="0.25">
      <c r="A19" s="2210" t="s">
        <v>406</v>
      </c>
      <c r="B19" s="2211"/>
      <c r="C19" s="727"/>
      <c r="D19" s="585"/>
      <c r="E19" s="727"/>
      <c r="F19" s="1777">
        <f>SUM(C19+D19)-E19</f>
        <v>0</v>
      </c>
    </row>
    <row r="20" spans="1:11" ht="12.75" customHeight="1" thickTop="1" thickBot="1" x14ac:dyDescent="0.25">
      <c r="A20" s="2210" t="s">
        <v>468</v>
      </c>
      <c r="B20" s="2211"/>
      <c r="C20" s="727"/>
      <c r="D20" s="585"/>
      <c r="E20" s="727"/>
      <c r="F20" s="1777">
        <f>SUM(C20+D20)-E20</f>
        <v>0</v>
      </c>
    </row>
    <row r="21" spans="1:11" ht="14.25" thickTop="1" thickBot="1" x14ac:dyDescent="0.25">
      <c r="A21" s="2215" t="s">
        <v>653</v>
      </c>
      <c r="B21" s="2216"/>
      <c r="C21" s="1777">
        <f>SUM(C17:C20)</f>
        <v>0</v>
      </c>
      <c r="D21" s="1777">
        <f>SUM(D17:D20)</f>
        <v>0</v>
      </c>
      <c r="E21" s="1777">
        <f>SUM(E17:E20)</f>
        <v>0</v>
      </c>
      <c r="F21" s="1777">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7">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7">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7">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2095</v>
      </c>
      <c r="B31" s="734">
        <v>39873</v>
      </c>
      <c r="C31" s="735">
        <v>3000000</v>
      </c>
      <c r="D31" s="736">
        <v>7</v>
      </c>
      <c r="E31" s="735">
        <v>555000</v>
      </c>
      <c r="F31" s="735"/>
      <c r="G31" s="735"/>
      <c r="H31" s="735">
        <v>225000</v>
      </c>
      <c r="I31" s="1778">
        <f>((E31+F31)-H31)+G31</f>
        <v>330000</v>
      </c>
      <c r="J31" s="735">
        <v>330000</v>
      </c>
      <c r="K31" s="737"/>
    </row>
    <row r="32" spans="1:11" ht="12" customHeight="1" x14ac:dyDescent="0.2">
      <c r="A32" s="733" t="s">
        <v>2096</v>
      </c>
      <c r="B32" s="734">
        <v>39873</v>
      </c>
      <c r="C32" s="735">
        <v>4585000</v>
      </c>
      <c r="D32" s="736">
        <v>3</v>
      </c>
      <c r="E32" s="735">
        <v>1005000</v>
      </c>
      <c r="F32" s="735"/>
      <c r="G32" s="735"/>
      <c r="H32" s="735">
        <v>180000</v>
      </c>
      <c r="I32" s="1778">
        <f>((E32+F32)-H32)+G32</f>
        <v>825000</v>
      </c>
      <c r="J32" s="735">
        <v>825000</v>
      </c>
      <c r="K32" s="737"/>
    </row>
    <row r="33" spans="1:11" ht="12" customHeight="1" x14ac:dyDescent="0.2">
      <c r="A33" s="733" t="s">
        <v>2097</v>
      </c>
      <c r="B33" s="734">
        <v>42487</v>
      </c>
      <c r="C33" s="735">
        <v>2965000</v>
      </c>
      <c r="D33" s="736">
        <v>3</v>
      </c>
      <c r="E33" s="735">
        <v>2945000</v>
      </c>
      <c r="F33" s="735"/>
      <c r="G33" s="735"/>
      <c r="H33" s="735">
        <v>25000</v>
      </c>
      <c r="I33" s="1778">
        <f t="shared" ref="I33:I48" si="1">((E33+F33)-H33)+G33</f>
        <v>2920000</v>
      </c>
      <c r="J33" s="735">
        <v>2920000</v>
      </c>
      <c r="K33" s="737"/>
    </row>
    <row r="34" spans="1:11" ht="12" customHeight="1" x14ac:dyDescent="0.2">
      <c r="A34" s="733" t="s">
        <v>2098</v>
      </c>
      <c r="B34" s="734">
        <v>42487</v>
      </c>
      <c r="C34" s="735">
        <v>1215000</v>
      </c>
      <c r="D34" s="736">
        <v>3</v>
      </c>
      <c r="E34" s="735">
        <v>1200000</v>
      </c>
      <c r="F34" s="735"/>
      <c r="G34" s="735"/>
      <c r="H34" s="735">
        <v>15000</v>
      </c>
      <c r="I34" s="1778">
        <f t="shared" si="1"/>
        <v>1185000</v>
      </c>
      <c r="J34" s="735">
        <v>1185000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11765000</v>
      </c>
      <c r="D49" s="746"/>
      <c r="E49" s="1778">
        <f t="shared" ref="E49:J49" si="2">SUM(E31:E48)</f>
        <v>5705000</v>
      </c>
      <c r="F49" s="1778">
        <f t="shared" si="2"/>
        <v>0</v>
      </c>
      <c r="G49" s="1778">
        <f t="shared" si="2"/>
        <v>0</v>
      </c>
      <c r="H49" s="1778">
        <f t="shared" si="2"/>
        <v>445000</v>
      </c>
      <c r="I49" s="1778">
        <f t="shared" si="2"/>
        <v>5260000</v>
      </c>
      <c r="J49" s="1778">
        <f t="shared" si="2"/>
        <v>5260000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18389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9"/>
      <c r="G12" s="1780">
        <f>SUM(G5:G11)</f>
        <v>0</v>
      </c>
      <c r="H12" s="1780">
        <f>SUM(H5:H11)</f>
        <v>18389</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18389</v>
      </c>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81"/>
      <c r="G21" s="793"/>
      <c r="H21" s="797"/>
      <c r="I21" s="797"/>
      <c r="J21" s="1782">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3"/>
      <c r="G23" s="1780">
        <f>SUM(G14:G16,G21,G22)</f>
        <v>0</v>
      </c>
      <c r="H23" s="1780">
        <f>SUM(H14:H16,H21,H22)</f>
        <v>18389</v>
      </c>
      <c r="I23" s="1780">
        <f>SUM(I14:I16,I21,I22)</f>
        <v>0</v>
      </c>
      <c r="J23" s="1780">
        <f>SUM(J14:J16,J21,J22)</f>
        <v>0</v>
      </c>
      <c r="K23" s="1780">
        <f>SUM(K14:K16,K21,K22)</f>
        <v>0</v>
      </c>
    </row>
    <row r="24" spans="1:11" ht="14.25" thickTop="1" thickBot="1" x14ac:dyDescent="0.25">
      <c r="A24" s="2267" t="s">
        <v>2026</v>
      </c>
      <c r="B24" s="2266"/>
      <c r="C24" s="2266"/>
      <c r="D24" s="2266"/>
      <c r="E24" s="226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E27" sqref="E2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5375</v>
      </c>
      <c r="D5" s="842"/>
      <c r="E5" s="842"/>
      <c r="F5" s="1782">
        <f>(C5+D5)-E5</f>
        <v>5375</v>
      </c>
      <c r="G5" s="838"/>
      <c r="H5" s="843"/>
      <c r="I5" s="843"/>
      <c r="J5" s="843"/>
      <c r="K5" s="794"/>
      <c r="L5" s="1791">
        <f>F5-K5</f>
        <v>5375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9205518</v>
      </c>
      <c r="D8" s="845"/>
      <c r="E8" s="845"/>
      <c r="F8" s="1782">
        <f>(C8+D8)-E8</f>
        <v>9205518</v>
      </c>
      <c r="G8" s="844">
        <v>50</v>
      </c>
      <c r="H8" s="766">
        <v>2682824</v>
      </c>
      <c r="I8" s="766">
        <v>184110</v>
      </c>
      <c r="J8" s="766"/>
      <c r="K8" s="1791">
        <f>(H8+I8)-J8</f>
        <v>2866934</v>
      </c>
      <c r="L8" s="1791">
        <f>F8-K8</f>
        <v>6338584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796432</v>
      </c>
      <c r="D10" s="847">
        <f>7414+6712</f>
        <v>14126</v>
      </c>
      <c r="E10" s="847"/>
      <c r="F10" s="1786">
        <f>(C10+D10)-E10</f>
        <v>810558</v>
      </c>
      <c r="G10" s="844">
        <v>20</v>
      </c>
      <c r="H10" s="848">
        <v>157431</v>
      </c>
      <c r="I10" s="848">
        <v>39510</v>
      </c>
      <c r="J10" s="848"/>
      <c r="K10" s="1791">
        <f>(H10+I10)-J10</f>
        <v>196941</v>
      </c>
      <c r="L10" s="1791">
        <f>F10-K10</f>
        <v>613617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746973</v>
      </c>
      <c r="D12" s="845">
        <f>10251+10420</f>
        <v>20671</v>
      </c>
      <c r="E12" s="845"/>
      <c r="F12" s="1782">
        <f>(C12+D12)-E12</f>
        <v>767644</v>
      </c>
      <c r="G12" s="844">
        <v>10</v>
      </c>
      <c r="H12" s="766">
        <v>693939</v>
      </c>
      <c r="I12" s="766">
        <v>11098</v>
      </c>
      <c r="J12" s="766"/>
      <c r="K12" s="1791">
        <f>(H12+I12)-J12</f>
        <v>705037</v>
      </c>
      <c r="L12" s="1791">
        <f>F12-K12</f>
        <v>62607</v>
      </c>
    </row>
    <row r="13" spans="1:14" ht="14.25" thickTop="1" thickBot="1" x14ac:dyDescent="0.25">
      <c r="A13" s="849" t="s">
        <v>1184</v>
      </c>
      <c r="B13" s="841">
        <v>252</v>
      </c>
      <c r="C13" s="845">
        <v>662910</v>
      </c>
      <c r="D13" s="845">
        <v>368832</v>
      </c>
      <c r="E13" s="845">
        <f>163640+177094</f>
        <v>340734</v>
      </c>
      <c r="F13" s="1782">
        <f>(C13+D13)-E13</f>
        <v>691008</v>
      </c>
      <c r="G13" s="844">
        <v>5</v>
      </c>
      <c r="H13" s="766">
        <v>391626</v>
      </c>
      <c r="I13" s="766">
        <v>128237</v>
      </c>
      <c r="J13" s="766">
        <f>163640+106257</f>
        <v>269897</v>
      </c>
      <c r="K13" s="1791">
        <f>(H13+I13)-J13</f>
        <v>249966</v>
      </c>
      <c r="L13" s="1791">
        <f>F13-K13</f>
        <v>441042</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11417208</v>
      </c>
      <c r="D16" s="1782">
        <f>SUM(D3,D5:D6,D8:D10,D12:D15)</f>
        <v>403629</v>
      </c>
      <c r="E16" s="1782">
        <f>SUM(E3,E5:E6,E8:E10,E12:E15)</f>
        <v>340734</v>
      </c>
      <c r="F16" s="1782">
        <f>SUM(F3,F5:F6,F8:F10,F12:F15)</f>
        <v>11480103</v>
      </c>
      <c r="G16" s="844"/>
      <c r="H16" s="1782">
        <f>SUM(H3,H6,H8:H10,H12:H14,)</f>
        <v>3925820</v>
      </c>
      <c r="I16" s="1782">
        <f>SUM(I3,I6,I8:I10,I12:I14,)</f>
        <v>362955</v>
      </c>
      <c r="J16" s="1782">
        <f>SUM(J3,J6,J8:J10,J12:J14,)</f>
        <v>269897</v>
      </c>
      <c r="K16" s="1782">
        <f>(H16+I16)-J16</f>
        <v>4018878</v>
      </c>
      <c r="L16" s="1782">
        <f>F16-K16</f>
        <v>7461225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362955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31"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3243042</v>
      </c>
      <c r="G8" s="866"/>
    </row>
    <row r="9" spans="1:7" x14ac:dyDescent="0.2">
      <c r="A9" s="870" t="s">
        <v>480</v>
      </c>
      <c r="B9" s="871" t="s">
        <v>1989</v>
      </c>
      <c r="C9" s="872"/>
      <c r="D9" s="870" t="s">
        <v>522</v>
      </c>
      <c r="E9" s="869"/>
      <c r="F9" s="1935">
        <f>'Expenditures 15-22'!K151</f>
        <v>323630</v>
      </c>
      <c r="G9" s="873"/>
    </row>
    <row r="10" spans="1:7" x14ac:dyDescent="0.2">
      <c r="A10" s="870" t="s">
        <v>520</v>
      </c>
      <c r="B10" s="871" t="s">
        <v>1990</v>
      </c>
      <c r="C10" s="872"/>
      <c r="D10" s="870" t="s">
        <v>522</v>
      </c>
      <c r="E10" s="869"/>
      <c r="F10" s="1935">
        <f>'Expenditures 15-22'!K174</f>
        <v>644225</v>
      </c>
      <c r="G10" s="873"/>
    </row>
    <row r="11" spans="1:7" x14ac:dyDescent="0.2">
      <c r="A11" s="870" t="s">
        <v>481</v>
      </c>
      <c r="B11" s="871" t="s">
        <v>1991</v>
      </c>
      <c r="C11" s="872"/>
      <c r="D11" s="870" t="s">
        <v>522</v>
      </c>
      <c r="E11" s="869"/>
      <c r="F11" s="1935">
        <f>'Expenditures 15-22'!K210</f>
        <v>305082</v>
      </c>
      <c r="G11" s="873"/>
    </row>
    <row r="12" spans="1:7" x14ac:dyDescent="0.2">
      <c r="A12" s="870" t="s">
        <v>482</v>
      </c>
      <c r="B12" s="871" t="s">
        <v>1992</v>
      </c>
      <c r="C12" s="872"/>
      <c r="D12" s="870" t="s">
        <v>522</v>
      </c>
      <c r="E12" s="869"/>
      <c r="F12" s="1935">
        <f>'Expenditures 15-22'!K295</f>
        <v>124831</v>
      </c>
      <c r="G12" s="873"/>
    </row>
    <row r="13" spans="1:7" x14ac:dyDescent="0.2">
      <c r="A13" s="870" t="s">
        <v>108</v>
      </c>
      <c r="B13" s="871" t="s">
        <v>1993</v>
      </c>
      <c r="C13" s="872"/>
      <c r="D13" s="870" t="s">
        <v>522</v>
      </c>
      <c r="E13" s="869"/>
      <c r="F13" s="1935">
        <f>'Expenditures 15-22'!K342</f>
        <v>112069</v>
      </c>
      <c r="G13" s="874"/>
    </row>
    <row r="14" spans="1:7" ht="12" customHeight="1" thickBot="1" x14ac:dyDescent="0.25">
      <c r="A14" s="1792"/>
      <c r="B14" s="1793"/>
      <c r="C14" s="1794"/>
      <c r="D14" s="1795" t="s">
        <v>522</v>
      </c>
      <c r="E14" s="1796" t="s">
        <v>1015</v>
      </c>
      <c r="F14" s="1797">
        <f>SUM(F8:F13)</f>
        <v>4752879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4622</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79530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106243</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12590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66550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21996</v>
      </c>
      <c r="G53" s="866"/>
    </row>
    <row r="54" spans="1:7" x14ac:dyDescent="0.2">
      <c r="A54" s="870" t="s">
        <v>479</v>
      </c>
      <c r="B54" s="870" t="s">
        <v>1552</v>
      </c>
      <c r="C54" s="890" t="s">
        <v>1039</v>
      </c>
      <c r="D54" s="886" t="s">
        <v>1157</v>
      </c>
      <c r="E54" s="869"/>
      <c r="F54" s="1939">
        <f>'Expenditures 15-22'!G114</f>
        <v>20671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14126</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445000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93668</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3410</v>
      </c>
      <c r="G67" s="866"/>
    </row>
    <row r="68" spans="1:8" x14ac:dyDescent="0.2">
      <c r="A68" s="870" t="s">
        <v>482</v>
      </c>
      <c r="B68" s="870" t="s">
        <v>1555</v>
      </c>
      <c r="C68" s="887" t="str">
        <f>'Expenditures 15-22'!B218</f>
        <v>1225</v>
      </c>
      <c r="D68" s="893" t="str">
        <f>'Expenditures 15-22'!A218</f>
        <v>Special Education Programs - Pre-K</v>
      </c>
      <c r="E68" s="869"/>
      <c r="F68" s="1939">
        <f>'Expenditures 15-22'!K218</f>
        <v>4345</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117</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872868</v>
      </c>
      <c r="G76" s="866"/>
    </row>
    <row r="77" spans="1:8" s="894" customFormat="1" ht="12" customHeight="1" thickTop="1" thickBot="1" x14ac:dyDescent="0.25">
      <c r="A77" s="1801"/>
      <c r="B77" s="1798"/>
      <c r="C77" s="1794"/>
      <c r="D77" s="1799" t="s">
        <v>2012</v>
      </c>
      <c r="E77" s="1796"/>
      <c r="F77" s="1802">
        <f>(F14-F76)</f>
        <v>3880011</v>
      </c>
      <c r="G77" s="870"/>
    </row>
    <row r="78" spans="1:8" s="894" customFormat="1" ht="12" customHeight="1" thickTop="1" x14ac:dyDescent="0.2">
      <c r="A78" s="1803"/>
      <c r="B78" s="1798"/>
      <c r="C78" s="1794"/>
      <c r="D78" s="1799" t="s">
        <v>2059</v>
      </c>
      <c r="E78" s="1796"/>
      <c r="F78" s="899">
        <v>314.55</v>
      </c>
      <c r="G78" s="900"/>
      <c r="H78" s="870"/>
    </row>
    <row r="79" spans="1:8" s="894" customFormat="1" ht="12" customHeight="1" thickBot="1" x14ac:dyDescent="0.25">
      <c r="A79" s="1804"/>
      <c r="B79" s="1798"/>
      <c r="C79" s="1794"/>
      <c r="D79" s="1799" t="s">
        <v>2013</v>
      </c>
      <c r="E79" s="1796" t="s">
        <v>1015</v>
      </c>
      <c r="F79" s="1805">
        <f>IF(F78&gt;0,F77/F78," Complete Line 78")</f>
        <v>12335.116833571768</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2750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48217</v>
      </c>
      <c r="G94" s="913"/>
    </row>
    <row r="95" spans="1:7" x14ac:dyDescent="0.2">
      <c r="A95" s="909" t="s">
        <v>142</v>
      </c>
      <c r="B95" s="909" t="s">
        <v>177</v>
      </c>
      <c r="C95" s="911">
        <v>1700</v>
      </c>
      <c r="D95" s="919" t="str">
        <f>'Revenues 9-14'!A82</f>
        <v>Total District/School Activity Income</v>
      </c>
      <c r="E95" s="907"/>
      <c r="F95" s="1811">
        <f>SUM('Revenues 9-14'!C82,'Revenues 9-14'!D82)</f>
        <v>17348</v>
      </c>
      <c r="G95" s="913"/>
    </row>
    <row r="96" spans="1:7" x14ac:dyDescent="0.2">
      <c r="A96" s="909" t="s">
        <v>479</v>
      </c>
      <c r="B96" s="909" t="s">
        <v>178</v>
      </c>
      <c r="C96" s="911">
        <f>'Revenues 9-14'!B84</f>
        <v>1811</v>
      </c>
      <c r="D96" s="912" t="str">
        <f>'Revenues 9-14'!A84</f>
        <v>Rentals - Regular Textbooks</v>
      </c>
      <c r="E96" s="907"/>
      <c r="F96" s="1811">
        <f>'Revenues 9-14'!C84</f>
        <v>29515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7775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294746</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99113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515</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206904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28649</v>
      </c>
      <c r="G128" s="931"/>
    </row>
    <row r="129" spans="1:7" x14ac:dyDescent="0.2">
      <c r="A129" s="928" t="s">
        <v>685</v>
      </c>
      <c r="B129" s="928" t="s">
        <v>803</v>
      </c>
      <c r="C129" s="933">
        <v>4200</v>
      </c>
      <c r="D129" s="930" t="str">
        <f>'Revenues 9-14'!A201</f>
        <v>Total Food Service</v>
      </c>
      <c r="E129" s="907"/>
      <c r="F129" s="1811">
        <f>SUM('Revenues 9-14'!C201,'Revenues 9-14'!G201)</f>
        <v>42784</v>
      </c>
      <c r="G129" s="931"/>
    </row>
    <row r="130" spans="1:7" x14ac:dyDescent="0.2">
      <c r="A130" s="928" t="s">
        <v>689</v>
      </c>
      <c r="B130" s="928" t="s">
        <v>804</v>
      </c>
      <c r="C130" s="933">
        <v>4300</v>
      </c>
      <c r="D130" s="934" t="str">
        <f>'Revenues 9-14'!A211</f>
        <v>Total Title I</v>
      </c>
      <c r="E130" s="907"/>
      <c r="F130" s="1811">
        <f>SUM('Revenues 9-14'!C211,'Revenues 9-14'!D211,'Revenues 9-14'!F211,'Revenues 9-14'!G211)</f>
        <v>33005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3135</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125515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6599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52190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8132</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1007642</v>
      </c>
    </row>
    <row r="179" spans="1:7" ht="12" customHeight="1" x14ac:dyDescent="0.2">
      <c r="A179" s="1792"/>
      <c r="B179" s="1806"/>
      <c r="C179" s="1807"/>
      <c r="D179" s="1808" t="s">
        <v>2015</v>
      </c>
      <c r="E179" s="1809"/>
      <c r="F179" s="1811">
        <f>'PCTC-OEPP 27-28'!F77-F178</f>
        <v>2872369</v>
      </c>
    </row>
    <row r="180" spans="1:7" ht="12" customHeight="1" x14ac:dyDescent="0.2">
      <c r="A180" s="1792"/>
      <c r="B180" s="1806"/>
      <c r="C180" s="1807"/>
      <c r="D180" s="1808" t="s">
        <v>1924</v>
      </c>
      <c r="E180" s="1809"/>
      <c r="F180" s="1811">
        <f>'Cap Outlay Deprec 26'!I18</f>
        <v>362955</v>
      </c>
    </row>
    <row r="181" spans="1:7" ht="12" customHeight="1" x14ac:dyDescent="0.2">
      <c r="A181" s="1792"/>
      <c r="B181" s="1806"/>
      <c r="C181" s="1807"/>
      <c r="D181" s="1808" t="s">
        <v>2016</v>
      </c>
      <c r="E181" s="1809"/>
      <c r="F181" s="1811">
        <f>F179+F180</f>
        <v>3235324</v>
      </c>
    </row>
    <row r="182" spans="1:7" ht="12" customHeight="1" x14ac:dyDescent="0.2">
      <c r="A182" s="1792"/>
      <c r="B182" s="1812"/>
      <c r="C182" s="1807"/>
      <c r="D182" s="1808" t="str">
        <f>D78</f>
        <v>9 Month ADA from District Average Daily Attendance/Prior General State Aid Inquiry 2017-2018</v>
      </c>
      <c r="E182" s="1809"/>
      <c r="F182" s="1813">
        <f>'PCTC-OEPP 27-28'!F78</f>
        <v>314.55</v>
      </c>
      <c r="G182" s="931"/>
    </row>
    <row r="183" spans="1:7" ht="12" customHeight="1" thickBot="1" x14ac:dyDescent="0.25">
      <c r="A183" s="1792"/>
      <c r="B183" s="1812"/>
      <c r="C183" s="1807"/>
      <c r="D183" s="1808" t="s">
        <v>2017</v>
      </c>
      <c r="E183" s="1809" t="s">
        <v>1626</v>
      </c>
      <c r="F183" s="1814">
        <f>F181/F182</f>
        <v>10285.563503417581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D21" sqref="D21"/>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2099</v>
      </c>
      <c r="B17" s="1955" t="s">
        <v>2100</v>
      </c>
      <c r="C17" s="1956" t="s">
        <v>2101</v>
      </c>
      <c r="D17" s="1867">
        <v>668</v>
      </c>
      <c r="E17" s="1562">
        <f t="shared" ref="E17:E141" si="1">IF(D17&lt;=25000,D17,IF(D17&gt;25000,25000,0))</f>
        <v>668</v>
      </c>
      <c r="F17" s="1815">
        <f t="shared" si="0"/>
        <v>668</v>
      </c>
      <c r="G17" s="1816">
        <f>IF(F17=0,0,D17-F17)</f>
        <v>0</v>
      </c>
      <c r="H17" s="1669"/>
    </row>
    <row r="18" spans="1:8" x14ac:dyDescent="0.25">
      <c r="A18" s="1954" t="s">
        <v>2099</v>
      </c>
      <c r="B18" s="1955" t="s">
        <v>2100</v>
      </c>
      <c r="C18" s="1956" t="s">
        <v>2102</v>
      </c>
      <c r="D18" s="1867">
        <v>22271</v>
      </c>
      <c r="E18" s="1562">
        <f t="shared" ref="E18:E140" si="2">IF(D18&lt;=25000,D18,IF(D18&gt;25000,25000,0))</f>
        <v>22271</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22271</v>
      </c>
      <c r="G18" s="1816">
        <f t="shared" ref="G18:G140" si="4">IF(F18=0,0,D18-F18)</f>
        <v>0</v>
      </c>
    </row>
    <row r="19" spans="1:8" x14ac:dyDescent="0.25">
      <c r="A19" s="1954" t="s">
        <v>2099</v>
      </c>
      <c r="B19" s="1955" t="s">
        <v>2100</v>
      </c>
      <c r="C19" s="1956" t="s">
        <v>2103</v>
      </c>
      <c r="D19" s="1867">
        <v>3729</v>
      </c>
      <c r="E19" s="1562">
        <f t="shared" si="2"/>
        <v>3729</v>
      </c>
      <c r="F19" s="1815">
        <f t="shared" si="3"/>
        <v>3729</v>
      </c>
      <c r="G19" s="1816">
        <f t="shared" si="4"/>
        <v>0</v>
      </c>
    </row>
    <row r="20" spans="1:8" x14ac:dyDescent="0.25">
      <c r="A20" s="1954" t="s">
        <v>2099</v>
      </c>
      <c r="B20" s="1955" t="s">
        <v>2100</v>
      </c>
      <c r="C20" s="1956" t="s">
        <v>2104</v>
      </c>
      <c r="D20" s="1867">
        <v>4819</v>
      </c>
      <c r="E20" s="1562">
        <f t="shared" si="2"/>
        <v>4819</v>
      </c>
      <c r="F20" s="1815">
        <f t="shared" si="3"/>
        <v>4819</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hidden="1"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31487</v>
      </c>
      <c r="E141" s="1563">
        <f t="shared" si="1"/>
        <v>25000</v>
      </c>
      <c r="F141" s="1817">
        <f>SUM(F17:F140)</f>
        <v>31487</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11" sqref="L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v>9801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2358906</v>
      </c>
      <c r="F19" s="1822"/>
      <c r="G19" s="1824">
        <f>'Expenditures 15-22'!K33-SUM('Expenditures 15-22'!G33,'Expenditures 15-22'!I33)+'Expenditures 15-22'!D229</f>
        <v>2358906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481109</v>
      </c>
      <c r="F21" s="1825"/>
      <c r="G21" s="1828">
        <f>'Expenditures 15-22'!K42-SUM('Expenditures 15-22'!G42,'Expenditures 15-22'!I42)+'Expenditures 15-22'!K120-SUM('Expenditures 15-22'!G120,'Expenditures 15-22'!I120)+'Expenditures 15-22'!K180-SUM('Expenditures 15-22'!G180,'Expenditures 15-22'!I180)+'Expenditures 15-22'!D238</f>
        <v>481109</v>
      </c>
      <c r="H21" s="988"/>
      <c r="I21" s="162"/>
    </row>
    <row r="22" spans="1:9" s="669" customFormat="1" ht="12" customHeight="1" x14ac:dyDescent="0.2">
      <c r="A22" s="995" t="s">
        <v>585</v>
      </c>
      <c r="B22" s="996"/>
      <c r="C22" s="994">
        <v>2200</v>
      </c>
      <c r="D22" s="1825"/>
      <c r="E22" s="1827">
        <f>'Expenditures 15-22'!K47-SUM('Expenditures 15-22'!G47,'Expenditures 15-22'!I47)+'Expenditures 15-22'!D243</f>
        <v>79984</v>
      </c>
      <c r="F22" s="1825"/>
      <c r="G22" s="1828">
        <f>'Expenditures 15-22'!K47-SUM('Expenditures 15-22'!G47,'Expenditures 15-22'!I47)+'Expenditures 15-22'!D243</f>
        <v>79984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224622</v>
      </c>
      <c r="F23" s="1825"/>
      <c r="G23" s="1827">
        <f>'Expenditures 15-22'!K53-SUM('Expenditures 15-22'!G53,'Expenditures 15-22'!I53)+'Expenditures 15-22'!D257+'Expenditures 15-22'!K330-SUM('Expenditures 15-22'!G330,'Expenditures 15-22'!I330)</f>
        <v>224622</v>
      </c>
      <c r="H23" s="988"/>
      <c r="I23" s="162"/>
    </row>
    <row r="24" spans="1:9" s="669" customFormat="1" ht="12" customHeight="1" x14ac:dyDescent="0.2">
      <c r="A24" s="995" t="s">
        <v>587</v>
      </c>
      <c r="B24" s="996"/>
      <c r="C24" s="994">
        <v>2400</v>
      </c>
      <c r="D24" s="1825"/>
      <c r="E24" s="1827">
        <f>'Expenditures 15-22'!K57-SUM('Expenditures 15-22'!G57,'Expenditures 15-22'!I57)+'Expenditures 15-22'!D261</f>
        <v>86944</v>
      </c>
      <c r="F24" s="1825"/>
      <c r="G24" s="1828">
        <f>'Expenditures 15-22'!K57-SUM('Expenditures 15-22'!G57,'Expenditures 15-22'!I57)+'Expenditures 15-22'!D261</f>
        <v>86944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42</v>
      </c>
      <c r="E26" s="1827">
        <f>'Expenditures 15-22'!K122-SUM('Expenditures 15-22'!G122,'Expenditures 15-22'!I122)+E7</f>
        <v>4361</v>
      </c>
      <c r="F26" s="1827">
        <f>'Expenditures 15-22'!K59-SUM('Expenditures 15-22'!G59,'Expenditures 15-22'!I59)+'Expenditures 15-22'!D263-E7</f>
        <v>42</v>
      </c>
      <c r="G26" s="1828">
        <f>'Expenditures 15-22'!K122-SUM('Expenditures 15-22'!G122,'Expenditures 15-22'!I122)+E7</f>
        <v>4361</v>
      </c>
      <c r="H26" s="988"/>
      <c r="I26" s="162"/>
    </row>
    <row r="27" spans="1:9" s="669" customFormat="1" ht="12" customHeight="1" x14ac:dyDescent="0.2">
      <c r="A27" s="995" t="s">
        <v>483</v>
      </c>
      <c r="B27" s="998"/>
      <c r="C27" s="994">
        <v>2520</v>
      </c>
      <c r="D27" s="1827">
        <f>'Expenditures 15-22'!K60-SUM('Expenditures 15-22'!G60,'Expenditures 15-22'!I60)+'Expenditures 15-22'!D264-E8</f>
        <v>66025</v>
      </c>
      <c r="E27" s="1827">
        <f>E8</f>
        <v>0</v>
      </c>
      <c r="F27" s="1827">
        <f>'Expenditures 15-22'!K60-SUM('Expenditures 15-22'!G60,'Expenditures 15-22'!I60)+'Expenditures 15-22'!D264-E8</f>
        <v>66025</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318521</v>
      </c>
      <c r="F28" s="1829">
        <f>'Expenditures 15-22'!K61-SUM('Expenditures 15-22'!G61,'Expenditures 15-22'!I61)+'Expenditures 15-22'!K124-SUM('Expenditures 15-22'!G124,'Expenditures 15-22'!I124)+'Expenditures 15-22'!D266-E9</f>
        <v>318521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226534</v>
      </c>
      <c r="F29" s="1825"/>
      <c r="G29" s="1828">
        <f>'Expenditures 15-22'!K62-SUM('Expenditures 15-22'!G62,'Expenditures 15-22'!I62)+'Expenditures 15-22'!K125-SUM('Expenditures 15-22'!G125,'Expenditures 15-22'!I125)+'Expenditures 15-22'!K182-SUM('Expenditures 15-22'!G182,'Expenditures 15-22'!I182)+'Expenditures 15-22'!D267</f>
        <v>226534</v>
      </c>
      <c r="H29" s="986"/>
    </row>
    <row r="30" spans="1:9" ht="12" customHeight="1" x14ac:dyDescent="0.2">
      <c r="A30" s="995" t="s">
        <v>102</v>
      </c>
      <c r="B30" s="998"/>
      <c r="C30" s="994">
        <v>2560</v>
      </c>
      <c r="D30" s="1825"/>
      <c r="E30" s="1827">
        <f>'Expenditures 15-22'!K63-SUM('Expenditures 15-22'!G63,'Expenditures 15-22'!I63)+'Expenditures 15-22'!D268-E10</f>
        <v>106814</v>
      </c>
      <c r="F30" s="1825"/>
      <c r="G30" s="1827">
        <f>'Expenditures 15-22'!K63-SUM('Expenditures 15-22'!G63,'Expenditures 15-22'!I63)+'Expenditures 15-22'!D268-E10</f>
        <v>106814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66067</v>
      </c>
      <c r="E41" s="1829">
        <f>SUM(E19:E40)</f>
        <v>3887795</v>
      </c>
      <c r="F41" s="1829">
        <f>SUM(F19:F39)</f>
        <v>384588</v>
      </c>
      <c r="G41" s="1829">
        <f>SUM(G19:G40)</f>
        <v>3569274</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66067</v>
      </c>
      <c r="F43" s="1830" t="s">
        <v>495</v>
      </c>
      <c r="G43" s="1831">
        <f>F41</f>
        <v>384588</v>
      </c>
    </row>
    <row r="44" spans="1:7" ht="12" customHeight="1" x14ac:dyDescent="0.2">
      <c r="A44" s="988"/>
      <c r="B44" s="162"/>
      <c r="C44" s="1002"/>
      <c r="D44" s="1830" t="s">
        <v>494</v>
      </c>
      <c r="E44" s="1831">
        <f>E41</f>
        <v>3887795</v>
      </c>
      <c r="F44" s="1830" t="s">
        <v>494</v>
      </c>
      <c r="G44" s="1831">
        <f>G41</f>
        <v>3569274</v>
      </c>
    </row>
    <row r="45" spans="1:7" ht="12" customHeight="1" x14ac:dyDescent="0.2">
      <c r="A45" s="988"/>
      <c r="B45" s="162"/>
      <c r="C45" s="162"/>
      <c r="D45" s="1832" t="s">
        <v>1063</v>
      </c>
      <c r="E45" s="1833">
        <f>(E43/E44)</f>
        <v>1.6993437153965164E-2</v>
      </c>
      <c r="F45" s="1832" t="s">
        <v>1063</v>
      </c>
      <c r="G45" s="1833">
        <f>(G43/G44)</f>
        <v>0.10774964320475257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M27" sqref="M2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9" width="4" style="1903" bestFit="1" customWidth="1"/>
    <col min="10" max="10" width="2.7109375" style="1903" bestFit="1" customWidth="1"/>
    <col min="11" max="11" width="9" style="1903" customWidth="1"/>
    <col min="12" max="16384" width="9.140625" style="1872"/>
  </cols>
  <sheetData>
    <row r="1" spans="1:10" x14ac:dyDescent="0.2">
      <c r="A1" s="2323" t="s">
        <v>1446</v>
      </c>
      <c r="B1" s="2323"/>
      <c r="C1" s="2323"/>
      <c r="D1" s="2323"/>
      <c r="E1" s="2323"/>
      <c r="F1" s="232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4" t="s">
        <v>1627</v>
      </c>
      <c r="B5" s="2325"/>
      <c r="C5" s="2326"/>
      <c r="D5" s="2326"/>
      <c r="E5" s="2326"/>
      <c r="F5" s="2326"/>
    </row>
    <row r="6" spans="1:10" ht="12" customHeight="1" x14ac:dyDescent="0.25">
      <c r="A6" s="1875"/>
      <c r="B6" s="1876"/>
      <c r="C6" s="2327" t="str">
        <f>COVER!A17</f>
        <v>Wallace CCSD 195</v>
      </c>
      <c r="D6" s="2327"/>
      <c r="E6" s="2327"/>
      <c r="F6" s="1877"/>
    </row>
    <row r="7" spans="1:10" ht="11.25" customHeight="1" thickBot="1" x14ac:dyDescent="0.3">
      <c r="A7" s="1875"/>
      <c r="B7" s="1876"/>
      <c r="C7" s="2328">
        <f>COVER!A13</f>
        <v>35050195004</v>
      </c>
      <c r="D7" s="2328"/>
      <c r="E7" s="232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2077</v>
      </c>
      <c r="D11" s="1890" t="s">
        <v>2077</v>
      </c>
      <c r="E11" s="1891"/>
      <c r="F11" s="1892" t="s">
        <v>2105</v>
      </c>
      <c r="H11" s="1903">
        <f>IF(C11="X",5,0)</f>
        <v>5</v>
      </c>
      <c r="I11" s="1903">
        <f>IF(D11="X",5,0)</f>
        <v>5</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c r="F13" s="1892" t="s">
        <v>2106</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2077</v>
      </c>
      <c r="D16" s="1890" t="s">
        <v>2077</v>
      </c>
      <c r="E16" s="1893"/>
      <c r="F16" s="1892" t="s">
        <v>2107</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2105</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2108</v>
      </c>
      <c r="H26" s="1903">
        <f t="shared" si="0"/>
        <v>5</v>
      </c>
      <c r="I26" s="1903">
        <f t="shared" si="1"/>
        <v>5</v>
      </c>
      <c r="J26" s="1903">
        <f t="shared" si="2"/>
        <v>0</v>
      </c>
    </row>
    <row r="27" spans="1:12" ht="18.75" x14ac:dyDescent="0.2">
      <c r="A27" s="1888" t="s">
        <v>1616</v>
      </c>
      <c r="B27" s="1889"/>
      <c r="C27" s="1890" t="s">
        <v>2077</v>
      </c>
      <c r="D27" s="1890" t="s">
        <v>2077</v>
      </c>
      <c r="E27" s="1893"/>
      <c r="F27" s="1892" t="s">
        <v>2109</v>
      </c>
      <c r="H27" s="1903">
        <f t="shared" si="0"/>
        <v>5</v>
      </c>
      <c r="I27" s="1903">
        <f t="shared" si="1"/>
        <v>5</v>
      </c>
      <c r="J27" s="1903">
        <f t="shared" si="2"/>
        <v>0</v>
      </c>
    </row>
    <row r="28" spans="1:12" ht="12" customHeight="1" x14ac:dyDescent="0.2">
      <c r="A28" s="1888" t="s">
        <v>1617</v>
      </c>
      <c r="B28" s="1889"/>
      <c r="C28" s="1890" t="s">
        <v>2077</v>
      </c>
      <c r="D28" s="1890" t="s">
        <v>2077</v>
      </c>
      <c r="E28" s="1893"/>
      <c r="F28" s="1892" t="s">
        <v>2110</v>
      </c>
      <c r="H28" s="1903">
        <f t="shared" si="0"/>
        <v>5</v>
      </c>
      <c r="I28" s="1903">
        <f t="shared" si="1"/>
        <v>5</v>
      </c>
      <c r="J28" s="1903">
        <f t="shared" si="2"/>
        <v>0</v>
      </c>
    </row>
    <row r="29" spans="1:12" ht="12" customHeight="1" x14ac:dyDescent="0.2">
      <c r="A29" s="1888" t="s">
        <v>1618</v>
      </c>
      <c r="B29" s="1889"/>
      <c r="C29" s="1890" t="s">
        <v>2077</v>
      </c>
      <c r="D29" s="1890" t="s">
        <v>2077</v>
      </c>
      <c r="E29" s="1893"/>
      <c r="F29" s="1892" t="s">
        <v>2105</v>
      </c>
      <c r="H29" s="1903">
        <f t="shared" si="0"/>
        <v>5</v>
      </c>
      <c r="I29" s="1903">
        <f t="shared" si="1"/>
        <v>5</v>
      </c>
      <c r="J29" s="1903">
        <f t="shared" si="2"/>
        <v>0</v>
      </c>
    </row>
    <row r="30" spans="1:12" ht="12" customHeight="1" x14ac:dyDescent="0.2">
      <c r="A30" s="1888" t="s">
        <v>1619</v>
      </c>
      <c r="B30" s="1889"/>
      <c r="C30" s="1890" t="s">
        <v>2077</v>
      </c>
      <c r="D30" s="1890" t="s">
        <v>2077</v>
      </c>
      <c r="E30" s="1893"/>
      <c r="F30" s="1892" t="s">
        <v>2111</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2077</v>
      </c>
      <c r="D32" s="1890" t="s">
        <v>2077</v>
      </c>
      <c r="E32" s="1893"/>
      <c r="F32" s="1892" t="s">
        <v>2109</v>
      </c>
      <c r="H32" s="1903">
        <f t="shared" si="0"/>
        <v>5</v>
      </c>
      <c r="I32" s="1903">
        <f t="shared" si="1"/>
        <v>5</v>
      </c>
      <c r="J32" s="1903">
        <f t="shared" si="2"/>
        <v>0</v>
      </c>
    </row>
    <row r="33" spans="1:11" ht="12" customHeight="1" x14ac:dyDescent="0.2">
      <c r="A33" s="1888" t="s">
        <v>1622</v>
      </c>
      <c r="B33" s="1889"/>
      <c r="C33" s="1890" t="s">
        <v>2077</v>
      </c>
      <c r="D33" s="1890" t="s">
        <v>2077</v>
      </c>
      <c r="E33" s="1893"/>
      <c r="F33" s="1892" t="s">
        <v>2112</v>
      </c>
      <c r="H33" s="1903">
        <f t="shared" si="0"/>
        <v>5</v>
      </c>
      <c r="I33" s="1903">
        <f t="shared" si="1"/>
        <v>5</v>
      </c>
      <c r="J33" s="1903">
        <f t="shared" si="2"/>
        <v>0</v>
      </c>
    </row>
    <row r="34" spans="1:11" ht="12" customHeight="1" x14ac:dyDescent="0.25">
      <c r="A34" s="1895"/>
      <c r="B34" s="1895"/>
      <c r="C34" s="1895"/>
      <c r="D34" s="1895"/>
      <c r="E34" s="1895"/>
      <c r="F34" s="1895"/>
      <c r="H34" s="1903">
        <f>SUM(H11:H32)</f>
        <v>50</v>
      </c>
      <c r="I34" s="1903">
        <f>SUM(I11:I32)</f>
        <v>50</v>
      </c>
      <c r="J34" s="1903">
        <f>SUM(J11:J32)</f>
        <v>0</v>
      </c>
      <c r="K34" s="1903">
        <f>SUM(H34:J34)</f>
        <v>100</v>
      </c>
    </row>
    <row r="35" spans="1:11" ht="12" customHeight="1" x14ac:dyDescent="0.2">
      <c r="A35" s="1896" t="s">
        <v>1459</v>
      </c>
      <c r="B35" s="1897"/>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09"/>
      <c r="B43" s="2310"/>
      <c r="C43" s="2310"/>
      <c r="D43" s="2310"/>
      <c r="E43" s="2310"/>
      <c r="F43" s="2311"/>
      <c r="H43" s="1904"/>
      <c r="I43" s="1904"/>
      <c r="J43" s="1904"/>
      <c r="K43" s="1904"/>
    </row>
    <row r="44" spans="1:11" s="1895" customFormat="1" ht="12" hidden="1" customHeight="1" x14ac:dyDescent="0.25">
      <c r="A44" s="2309"/>
      <c r="B44" s="2310"/>
      <c r="C44" s="2310"/>
      <c r="D44" s="2310"/>
      <c r="E44" s="2310"/>
      <c r="F44" s="231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9" orientation="landscape" r:id="rId1"/>
  <headerFooter>
    <oddFooter>&amp;C&amp;8Page 31</oddFooter>
  </headerFooter>
  <colBreaks count="1" manualBreakCount="1">
    <brk id="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Wallace CCSD 195</v>
      </c>
      <c r="J6" s="2337"/>
      <c r="Q6" s="1686"/>
    </row>
    <row r="7" spans="1:17" x14ac:dyDescent="0.2">
      <c r="A7" s="2338" t="s">
        <v>924</v>
      </c>
      <c r="B7" s="2339"/>
      <c r="C7" s="2339"/>
      <c r="D7" s="2339"/>
      <c r="E7" s="2340"/>
      <c r="F7" s="1018"/>
      <c r="G7" s="1010"/>
      <c r="H7" s="1017" t="s">
        <v>390</v>
      </c>
      <c r="I7" s="2341">
        <f>COVER!A13</f>
        <v>35050195004</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77784</v>
      </c>
      <c r="F12" s="1040"/>
      <c r="G12" s="1834">
        <f t="shared" ref="G12:G18" si="0">SUM(E12:F12)</f>
        <v>77784</v>
      </c>
      <c r="H12" s="1041">
        <v>79780</v>
      </c>
      <c r="I12" s="1040"/>
      <c r="J12" s="1834">
        <f t="shared" ref="J12:J18" si="1">SUM(H12:I12)</f>
        <v>79780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4361</v>
      </c>
      <c r="G15" s="1834">
        <f t="shared" si="0"/>
        <v>4361</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77784</v>
      </c>
      <c r="F19" s="1836">
        <f t="shared" si="2"/>
        <v>4361</v>
      </c>
      <c r="G19" s="1836">
        <f t="shared" si="2"/>
        <v>82145</v>
      </c>
      <c r="H19" s="1836">
        <f t="shared" si="2"/>
        <v>79780</v>
      </c>
      <c r="I19" s="1836">
        <f t="shared" si="2"/>
        <v>0</v>
      </c>
      <c r="J19" s="1836">
        <f t="shared" si="2"/>
        <v>79780</v>
      </c>
    </row>
    <row r="20" spans="1:10" ht="13.5" thickTop="1" x14ac:dyDescent="0.2">
      <c r="A20" s="1036">
        <v>9</v>
      </c>
      <c r="B20" s="2348" t="s">
        <v>1703</v>
      </c>
      <c r="C20" s="2348"/>
      <c r="D20" s="2349"/>
      <c r="E20" s="1047"/>
      <c r="F20" s="1047"/>
      <c r="G20" s="1047"/>
      <c r="H20" s="1047"/>
      <c r="I20" s="1047"/>
      <c r="J20" s="1837">
        <f>IF(AND(G19&gt;0,J19&gt;0),(((J19-G19)/G19)),"Enter Budget Data")</f>
        <v>-2.8790553289914176E-2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4" sqref="B1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2114</v>
      </c>
    </row>
    <row r="6" spans="1:2" x14ac:dyDescent="0.2">
      <c r="A6" s="1069">
        <v>2</v>
      </c>
      <c r="B6" s="329" t="s">
        <v>2115</v>
      </c>
    </row>
    <row r="7" spans="1:2" x14ac:dyDescent="0.2">
      <c r="A7" s="1069">
        <v>3</v>
      </c>
      <c r="B7" s="1957" t="s">
        <v>2116</v>
      </c>
    </row>
    <row r="8" spans="1:2" x14ac:dyDescent="0.2">
      <c r="A8" s="1069">
        <v>4</v>
      </c>
      <c r="B8" s="329" t="s">
        <v>2117</v>
      </c>
    </row>
    <row r="9" spans="1:2" x14ac:dyDescent="0.2">
      <c r="A9" s="1069">
        <v>5</v>
      </c>
      <c r="B9" s="329" t="s">
        <v>2118</v>
      </c>
    </row>
    <row r="10" spans="1:2" x14ac:dyDescent="0.2">
      <c r="A10" s="1069">
        <v>6</v>
      </c>
      <c r="B10" s="329" t="s">
        <v>2119</v>
      </c>
    </row>
    <row r="11" spans="1:2" x14ac:dyDescent="0.2">
      <c r="A11" s="1069">
        <v>7</v>
      </c>
      <c r="B11" s="329" t="s">
        <v>2120</v>
      </c>
    </row>
    <row r="12" spans="1:2" x14ac:dyDescent="0.2">
      <c r="A12" s="1069">
        <v>8</v>
      </c>
      <c r="B12" s="329" t="s">
        <v>2121</v>
      </c>
    </row>
    <row r="13" spans="1:2" x14ac:dyDescent="0.2">
      <c r="A13" s="1070">
        <v>9</v>
      </c>
      <c r="B13" s="329" t="s">
        <v>2122</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Wallace CCSD 195</v>
      </c>
    </row>
    <row r="65" spans="2:2" x14ac:dyDescent="0.2">
      <c r="B65" s="1071">
        <f>COVER!A13</f>
        <v>35050195004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0</xdr:col>
                <xdr:colOff>0</xdr:colOff>
                <xdr:row>5</xdr:row>
                <xdr:rowOff>0</xdr:rowOff>
              </from>
              <to>
                <xdr:col>1</xdr:col>
                <xdr:colOff>790575</xdr:colOff>
                <xdr:row>9</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1085850</xdr:colOff>
                <xdr:row>0</xdr:row>
                <xdr:rowOff>0</xdr:rowOff>
              </from>
              <to>
                <xdr:col>1</xdr:col>
                <xdr:colOff>2000250</xdr:colOff>
                <xdr:row>4</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3336801</v>
      </c>
      <c r="C8" s="1838">
        <f>'Acct Summary 7-8'!D8</f>
        <v>337026</v>
      </c>
      <c r="D8" s="1838">
        <f>'Acct Summary 7-8'!F8</f>
        <v>327657</v>
      </c>
      <c r="E8" s="1838">
        <f>'Acct Summary 7-8'!I8</f>
        <v>45991</v>
      </c>
      <c r="F8" s="1838">
        <f>SUM(B8:E8)</f>
        <v>4047475</v>
      </c>
    </row>
    <row r="9" spans="1:8" s="1080" customFormat="1" ht="14.25" customHeight="1" thickBot="1" x14ac:dyDescent="0.25">
      <c r="A9" s="1079" t="s">
        <v>1436</v>
      </c>
      <c r="B9" s="1839">
        <f>'Acct Summary 7-8'!C17</f>
        <v>3243042</v>
      </c>
      <c r="C9" s="1839">
        <f>'Acct Summary 7-8'!D17</f>
        <v>323630</v>
      </c>
      <c r="D9" s="1839">
        <f>'Acct Summary 7-8'!F17</f>
        <v>305082</v>
      </c>
      <c r="E9" s="1838"/>
      <c r="F9" s="1838">
        <f>SUM(B9:E9)</f>
        <v>3871754</v>
      </c>
    </row>
    <row r="10" spans="1:8" s="1080" customFormat="1" ht="14.25" thickTop="1" thickBot="1" x14ac:dyDescent="0.25">
      <c r="A10" s="1081" t="s">
        <v>1437</v>
      </c>
      <c r="B10" s="1840">
        <f>(B8-B9)</f>
        <v>93759</v>
      </c>
      <c r="C10" s="1840">
        <f>(C8-C9)</f>
        <v>13396</v>
      </c>
      <c r="D10" s="1840">
        <f>(D8-D9)</f>
        <v>22575</v>
      </c>
      <c r="E10" s="1839">
        <f>(E8-E9)</f>
        <v>45991</v>
      </c>
      <c r="F10" s="1841">
        <f>SUM(F8-F9)</f>
        <v>175721</v>
      </c>
    </row>
    <row r="11" spans="1:8" s="1080" customFormat="1" ht="14.25" thickTop="1" thickBot="1" x14ac:dyDescent="0.25">
      <c r="A11" s="1082" t="s">
        <v>1785</v>
      </c>
      <c r="B11" s="1842">
        <f>'Acct Summary 7-8'!C81</f>
        <v>662615</v>
      </c>
      <c r="C11" s="1842">
        <f>'Acct Summary 7-8'!D81</f>
        <v>203303</v>
      </c>
      <c r="D11" s="1842">
        <f>'Acct Summary 7-8'!F81</f>
        <v>247564</v>
      </c>
      <c r="E11" s="1842">
        <f>'Acct Summary 7-8'!I81</f>
        <v>0</v>
      </c>
      <c r="F11" s="1843">
        <f>SUM(B11:E11)</f>
        <v>1113482</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33" sqref="D3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35050195004</v>
      </c>
    </row>
    <row r="3" spans="1:2" x14ac:dyDescent="0.2">
      <c r="A3" t="s">
        <v>1013</v>
      </c>
      <c r="B3" s="138" t="str">
        <f>COVER!A15</f>
        <v xml:space="preserve">LASALLE </v>
      </c>
    </row>
    <row r="4" spans="1:2" x14ac:dyDescent="0.2">
      <c r="A4" t="s">
        <v>1064</v>
      </c>
      <c r="B4" s="138" t="str">
        <f>COVER!A17</f>
        <v>Wallace CCSD 195</v>
      </c>
    </row>
    <row r="5" spans="1:2" x14ac:dyDescent="0.2">
      <c r="A5" t="s">
        <v>728</v>
      </c>
      <c r="B5" s="138" t="str">
        <f>COVER!A38</f>
        <v xml:space="preserve">MICHAEL MATTESON </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066-004501</v>
      </c>
    </row>
    <row r="16" spans="1:2" x14ac:dyDescent="0.2">
      <c r="A16" t="s">
        <v>442</v>
      </c>
      <c r="B16" s="138" t="str">
        <f>COVER!T13</f>
        <v>HOPKINS &amp; ASSOCIATES, CPAS</v>
      </c>
    </row>
    <row r="17" spans="1:2" x14ac:dyDescent="0.2">
      <c r="A17" t="s">
        <v>939</v>
      </c>
      <c r="B17" s="138" t="str">
        <f>COVER!T15</f>
        <v xml:space="preserve">JOEL HOPKINS </v>
      </c>
    </row>
    <row r="18" spans="1:2" x14ac:dyDescent="0.2">
      <c r="A18" t="s">
        <v>1212</v>
      </c>
      <c r="B18" s="138" t="str">
        <f>COVER!T17</f>
        <v xml:space="preserve">314 MCCOY ST </v>
      </c>
    </row>
    <row r="19" spans="1:2" x14ac:dyDescent="0.2">
      <c r="A19" t="s">
        <v>941</v>
      </c>
      <c r="B19" s="138" t="str">
        <f>COVER!T25</f>
        <v>KIM@HOPKINSOFFICECOM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662615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659772</v>
      </c>
      <c r="D92" s="2" t="str">
        <f t="shared" si="0"/>
        <v>Error?</v>
      </c>
    </row>
    <row r="93" spans="1:4" x14ac:dyDescent="0.2">
      <c r="A93" s="5">
        <v>32</v>
      </c>
      <c r="B93" s="138">
        <f>'Assets-Liab 5-6'!C41</f>
        <v>662615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203303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203303</v>
      </c>
      <c r="D123" s="2" t="str">
        <f t="shared" si="0"/>
        <v>Error?</v>
      </c>
    </row>
    <row r="124" spans="1:4" x14ac:dyDescent="0.2">
      <c r="A124" s="5">
        <v>63</v>
      </c>
      <c r="B124" s="138">
        <f>'Assets-Liab 5-6'!D41</f>
        <v>203303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247564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247564</v>
      </c>
      <c r="D170" s="2" t="str">
        <f t="shared" si="1"/>
        <v>Error?</v>
      </c>
    </row>
    <row r="171" spans="1:4" x14ac:dyDescent="0.2">
      <c r="A171" s="5">
        <v>110</v>
      </c>
      <c r="B171" s="138">
        <f>'Assets-Liab 5-6'!F41</f>
        <v>247564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31077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14065</v>
      </c>
      <c r="D189" s="2" t="str">
        <f t="shared" si="1"/>
        <v>Error?</v>
      </c>
    </row>
    <row r="190" spans="1:4" x14ac:dyDescent="0.2">
      <c r="A190" s="5">
        <v>129</v>
      </c>
      <c r="B190" s="138">
        <f>'Assets-Liab 5-6'!G41</f>
        <v>31077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5375</v>
      </c>
      <c r="D273" s="2" t="str">
        <f t="shared" si="3"/>
        <v>Error?</v>
      </c>
    </row>
    <row r="274" spans="1:4" x14ac:dyDescent="0.2">
      <c r="A274" s="5">
        <v>213</v>
      </c>
      <c r="B274" s="138">
        <f>'Assets-Liab 5-6'!M17</f>
        <v>9205518</v>
      </c>
      <c r="D274" s="2" t="str">
        <f t="shared" si="3"/>
        <v>Error?</v>
      </c>
    </row>
    <row r="275" spans="1:4" x14ac:dyDescent="0.2">
      <c r="A275" s="5">
        <v>214</v>
      </c>
      <c r="B275" s="138">
        <f>'Assets-Liab 5-6'!M18</f>
        <v>810558</v>
      </c>
      <c r="D275" s="2" t="str">
        <f t="shared" si="3"/>
        <v>Error?</v>
      </c>
    </row>
    <row r="276" spans="1:4" x14ac:dyDescent="0.2">
      <c r="A276" s="5">
        <v>215</v>
      </c>
      <c r="B276" s="138">
        <f>'Assets-Liab 5-6'!M19</f>
        <v>1458652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11480103</v>
      </c>
      <c r="C279" s="2" t="s">
        <v>594</v>
      </c>
      <c r="D279" s="2" t="str">
        <f t="shared" si="3"/>
        <v>Error?</v>
      </c>
    </row>
    <row r="280" spans="1:4" x14ac:dyDescent="0.2">
      <c r="A280" s="5">
        <v>219</v>
      </c>
      <c r="B280" s="138">
        <f>'Assets-Liab 5-6'!M40</f>
        <v>11480103</v>
      </c>
      <c r="D280" s="2" t="str">
        <f t="shared" si="3"/>
        <v>Error?</v>
      </c>
    </row>
    <row r="281" spans="1:4" x14ac:dyDescent="0.2">
      <c r="A281" s="5">
        <v>220</v>
      </c>
      <c r="B281" s="138">
        <f>'Assets-Liab 5-6'!M41</f>
        <v>11480103</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5260000</v>
      </c>
      <c r="D283" s="2" t="str">
        <f t="shared" si="3"/>
        <v>Error?</v>
      </c>
    </row>
    <row r="284" spans="1:4" x14ac:dyDescent="0.2">
      <c r="A284" s="5">
        <v>223</v>
      </c>
      <c r="B284" s="138">
        <f>'Assets-Liab 5-6'!N23</f>
        <v>5260000</v>
      </c>
      <c r="C284" s="2" t="s">
        <v>594</v>
      </c>
      <c r="D284" s="2" t="str">
        <f t="shared" si="3"/>
        <v>Error?</v>
      </c>
    </row>
    <row r="285" spans="1:4" x14ac:dyDescent="0.2">
      <c r="A285" s="5">
        <v>224</v>
      </c>
      <c r="B285" s="138">
        <f>'Assets-Liab 5-6'!N36</f>
        <v>5260000</v>
      </c>
      <c r="D285" s="2" t="str">
        <f t="shared" si="3"/>
        <v>Error?</v>
      </c>
    </row>
    <row r="286" spans="1:4" x14ac:dyDescent="0.2">
      <c r="A286" s="10">
        <v>225</v>
      </c>
      <c r="D286" s="2" t="str">
        <f t="shared" si="3"/>
        <v>OK</v>
      </c>
    </row>
    <row r="287" spans="1:4" x14ac:dyDescent="0.2">
      <c r="A287" s="5">
        <v>226</v>
      </c>
      <c r="B287" s="138">
        <f>'Assets-Liab 5-6'!N37</f>
        <v>5260000</v>
      </c>
      <c r="C287" s="2" t="s">
        <v>594</v>
      </c>
      <c r="D287" s="2" t="str">
        <f t="shared" si="3"/>
        <v>Error?</v>
      </c>
    </row>
    <row r="288" spans="1:4" x14ac:dyDescent="0.2">
      <c r="A288" s="5">
        <v>227</v>
      </c>
      <c r="B288" s="138">
        <f>'Assets-Liab 5-6'!N41</f>
        <v>5260000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45991</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1223020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8101</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27450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1754357</v>
      </c>
      <c r="C720" s="2" t="s">
        <v>594</v>
      </c>
      <c r="D720" s="2" t="str">
        <f t="shared" si="10"/>
        <v>Error?</v>
      </c>
    </row>
    <row r="721" spans="1:4" x14ac:dyDescent="0.2">
      <c r="A721" s="5">
        <v>660</v>
      </c>
      <c r="B721" s="138">
        <f>'Expenditures 15-22'!C36</f>
        <v>56998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40102</v>
      </c>
      <c r="D723" s="2" t="str">
        <f t="shared" si="10"/>
        <v>Error?</v>
      </c>
    </row>
    <row r="724" spans="1:4" x14ac:dyDescent="0.2">
      <c r="A724" s="5">
        <v>663</v>
      </c>
      <c r="B724" s="138">
        <f>'Expenditures 15-22'!C39</f>
        <v>119535</v>
      </c>
      <c r="D724" s="2" t="str">
        <f t="shared" si="10"/>
        <v>Error?</v>
      </c>
    </row>
    <row r="725" spans="1:4" x14ac:dyDescent="0.2">
      <c r="A725" s="5">
        <v>664</v>
      </c>
      <c r="B725" s="138">
        <f>'Expenditures 15-22'!C40</f>
        <v>115110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331745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54992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54992</v>
      </c>
      <c r="C731" s="2" t="s">
        <v>594</v>
      </c>
      <c r="D731" s="2" t="str">
        <f t="shared" si="10"/>
        <v>Error?</v>
      </c>
    </row>
    <row r="732" spans="1:4" x14ac:dyDescent="0.2">
      <c r="A732" s="5">
        <v>671</v>
      </c>
      <c r="B732" s="138">
        <f>'Expenditures 15-22'!C49</f>
        <v>2600</v>
      </c>
      <c r="D732" s="2" t="str">
        <f t="shared" si="10"/>
        <v>Error?</v>
      </c>
    </row>
    <row r="733" spans="1:4" x14ac:dyDescent="0.2">
      <c r="A733" s="5">
        <v>672</v>
      </c>
      <c r="B733" s="138">
        <f>'Expenditures 15-22'!C50</f>
        <v>50045</v>
      </c>
      <c r="D733" s="2" t="str">
        <f t="shared" si="10"/>
        <v>Error?</v>
      </c>
    </row>
    <row r="734" spans="1:4" x14ac:dyDescent="0.2">
      <c r="A734" s="5">
        <v>673</v>
      </c>
      <c r="B734" s="138">
        <f>'Expenditures 15-22'!C53</f>
        <v>52645</v>
      </c>
      <c r="C734" s="2" t="s">
        <v>594</v>
      </c>
      <c r="D734" s="2" t="str">
        <f t="shared" si="10"/>
        <v>Error?</v>
      </c>
    </row>
    <row r="735" spans="1:4" x14ac:dyDescent="0.2">
      <c r="A735" s="5">
        <v>674</v>
      </c>
      <c r="B735" s="138">
        <f>'Expenditures 15-22'!C55</f>
        <v>61154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61154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46214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34820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81034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581570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2335927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278335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4410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1746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354382</v>
      </c>
      <c r="C778" s="2" t="s">
        <v>594</v>
      </c>
      <c r="D778" s="2" t="str">
        <f t="shared" si="11"/>
        <v>Error?</v>
      </c>
    </row>
    <row r="779" spans="1:4" x14ac:dyDescent="0.2">
      <c r="A779" s="5">
        <v>718</v>
      </c>
      <c r="B779" s="138">
        <f>'Expenditures 15-22'!D36</f>
        <v>30629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5263</v>
      </c>
      <c r="D781" s="2" t="str">
        <f t="shared" si="11"/>
        <v>Error?</v>
      </c>
    </row>
    <row r="782" spans="1:4" x14ac:dyDescent="0.2">
      <c r="A782" s="5">
        <v>721</v>
      </c>
      <c r="B782" s="138">
        <f>'Expenditures 15-22'!D39</f>
        <v>42913</v>
      </c>
      <c r="D782" s="2" t="str">
        <f t="shared" si="11"/>
        <v>Error?</v>
      </c>
    </row>
    <row r="783" spans="1:4" x14ac:dyDescent="0.2">
      <c r="A783" s="5">
        <v>722</v>
      </c>
      <c r="B783" s="138">
        <f>'Expenditures 15-22'!D40</f>
        <v>21818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100623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7384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7384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26710</v>
      </c>
      <c r="D791" s="2" t="str">
        <f t="shared" si="11"/>
        <v>Error?</v>
      </c>
    </row>
    <row r="792" spans="1:4" x14ac:dyDescent="0.2">
      <c r="A792" s="5">
        <v>731</v>
      </c>
      <c r="B792" s="138">
        <f>'Expenditures 15-22'!D53</f>
        <v>26710</v>
      </c>
      <c r="C792" s="2" t="s">
        <v>594</v>
      </c>
      <c r="D792" s="2" t="str">
        <f t="shared" si="11"/>
        <v>Error?</v>
      </c>
    </row>
    <row r="793" spans="1:4" x14ac:dyDescent="0.2">
      <c r="A793" s="5">
        <v>732</v>
      </c>
      <c r="B793" s="138">
        <f>'Expenditures 15-22'!D55</f>
        <v>24584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24584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7744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7384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15128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174429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528811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676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79</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4795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20570</v>
      </c>
      <c r="C836" s="2" t="s">
        <v>594</v>
      </c>
      <c r="D836" s="2" t="str">
        <f t="shared" si="12"/>
        <v>Error?</v>
      </c>
    </row>
    <row r="837" spans="1:4" x14ac:dyDescent="0.2">
      <c r="A837" s="5">
        <v>776</v>
      </c>
      <c r="B837" s="138">
        <f>'Expenditures 15-22'!E36</f>
        <v>1237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601</v>
      </c>
      <c r="D839" s="2" t="str">
        <f t="shared" si="12"/>
        <v>Error?</v>
      </c>
    </row>
    <row r="840" spans="1:4" x14ac:dyDescent="0.2">
      <c r="A840" s="5">
        <v>779</v>
      </c>
      <c r="B840" s="138">
        <f>'Expenditures 15-22'!E39</f>
        <v>5515</v>
      </c>
      <c r="D840" s="2" t="str">
        <f t="shared" si="12"/>
        <v>Error?</v>
      </c>
    </row>
    <row r="841" spans="1:4" x14ac:dyDescent="0.2">
      <c r="A841" s="5">
        <v>780</v>
      </c>
      <c r="B841" s="138">
        <f>'Expenditures 15-22'!E40</f>
        <v>2034</v>
      </c>
      <c r="D841" s="2" t="str">
        <f t="shared" si="12"/>
        <v>Error?</v>
      </c>
    </row>
    <row r="842" spans="1:4" x14ac:dyDescent="0.2">
      <c r="A842" s="5">
        <v>781</v>
      </c>
      <c r="B842" s="138">
        <f>'Expenditures 15-22'!E41</f>
        <v>28554</v>
      </c>
      <c r="D842" s="2" t="str">
        <f t="shared" si="12"/>
        <v>Error?</v>
      </c>
    </row>
    <row r="843" spans="1:4" x14ac:dyDescent="0.2">
      <c r="A843" s="5">
        <v>782</v>
      </c>
      <c r="B843" s="138">
        <f>'Expenditures 15-22'!E42</f>
        <v>37941</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14775</v>
      </c>
      <c r="D848" s="2" t="str">
        <f t="shared" si="12"/>
        <v>Error?</v>
      </c>
    </row>
    <row r="849" spans="1:4" x14ac:dyDescent="0.2">
      <c r="A849" s="5">
        <v>788</v>
      </c>
      <c r="B849" s="138">
        <f>'Expenditures 15-22'!E50</f>
        <v>1029</v>
      </c>
      <c r="D849" s="2" t="str">
        <f t="shared" si="12"/>
        <v>Error?</v>
      </c>
    </row>
    <row r="850" spans="1:4" x14ac:dyDescent="0.2">
      <c r="A850" s="5">
        <v>789</v>
      </c>
      <c r="B850" s="138">
        <f>'Expenditures 15-22'!E53</f>
        <v>15804</v>
      </c>
      <c r="C850" s="2" t="s">
        <v>594</v>
      </c>
      <c r="D850" s="2" t="str">
        <f t="shared" si="12"/>
        <v>Error?</v>
      </c>
    </row>
    <row r="851" spans="1:4" x14ac:dyDescent="0.2">
      <c r="A851" s="5">
        <v>790</v>
      </c>
      <c r="B851" s="138">
        <f>'Expenditures 15-22'!E55</f>
        <v>319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842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54906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97472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99871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107333</v>
      </c>
      <c r="C894" s="2" t="s">
        <v>594</v>
      </c>
      <c r="D894" s="2" t="str">
        <f t="shared" si="12"/>
        <v>Error?</v>
      </c>
    </row>
    <row r="895" spans="1:4" x14ac:dyDescent="0.2">
      <c r="A895" s="5">
        <v>834</v>
      </c>
      <c r="B895" s="138">
        <f>'Expenditures 15-22'!F36</f>
        <v>175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95</v>
      </c>
      <c r="D897" s="2" t="str">
        <f t="shared" si="13"/>
        <v>Error?</v>
      </c>
    </row>
    <row r="898" spans="1:4" x14ac:dyDescent="0.2">
      <c r="A898" s="5">
        <v>837</v>
      </c>
      <c r="B898" s="138">
        <f>'Expenditures 15-22'!F39</f>
        <v>1120</v>
      </c>
      <c r="D898" s="2" t="str">
        <f t="shared" si="13"/>
        <v>Error?</v>
      </c>
    </row>
    <row r="899" spans="1:4" x14ac:dyDescent="0.2">
      <c r="A899" s="5">
        <v>838</v>
      </c>
      <c r="B899" s="138">
        <f>'Expenditures 15-22'!F40</f>
        <v>588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1978</v>
      </c>
      <c r="C901" s="2" t="s">
        <v>594</v>
      </c>
      <c r="D901" s="2" t="str">
        <f t="shared" si="13"/>
        <v>Error?</v>
      </c>
    </row>
    <row r="902" spans="1:4" x14ac:dyDescent="0.2">
      <c r="A902" s="5">
        <v>841</v>
      </c>
      <c r="B902" s="138">
        <f>'Expenditures 15-22'!F44</f>
        <v>1720</v>
      </c>
      <c r="D902" s="2" t="str">
        <f t="shared" si="13"/>
        <v>Error?</v>
      </c>
    </row>
    <row r="903" spans="1:4" x14ac:dyDescent="0.2">
      <c r="A903" s="5">
        <v>842</v>
      </c>
      <c r="B903" s="138">
        <f>'Expenditures 15-22'!F45</f>
        <v>6052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7772</v>
      </c>
      <c r="C905" s="2" t="s">
        <v>594</v>
      </c>
      <c r="D905" s="2" t="str">
        <f t="shared" si="13"/>
        <v>Error?</v>
      </c>
    </row>
    <row r="906" spans="1:4" x14ac:dyDescent="0.2">
      <c r="A906" s="5">
        <v>845</v>
      </c>
      <c r="B906" s="138">
        <f>'Expenditures 15-22'!F49</f>
        <v>5101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5101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3802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57819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61621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76472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183805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20671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20671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20671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2858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69408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6948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6948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6948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76356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1622573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12590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39019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2326721</v>
      </c>
      <c r="C1108" s="2" t="s">
        <v>594</v>
      </c>
      <c r="D1108" s="2" t="str">
        <f t="shared" si="16"/>
        <v>Error?</v>
      </c>
    </row>
    <row r="1109" spans="1:4" x14ac:dyDescent="0.2">
      <c r="A1109" s="5">
        <v>1048</v>
      </c>
      <c r="B1109" s="138">
        <f>'Expenditures 15-22'!K36</f>
        <v>89039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46061</v>
      </c>
      <c r="C1111" s="2" t="s">
        <v>594</v>
      </c>
      <c r="D1111" s="2" t="str">
        <f t="shared" si="16"/>
        <v>Error?</v>
      </c>
    </row>
    <row r="1112" spans="1:4" x14ac:dyDescent="0.2">
      <c r="A1112" s="5">
        <v>1051</v>
      </c>
      <c r="B1112" s="138">
        <f>'Expenditures 15-22'!K39</f>
        <v>169083</v>
      </c>
      <c r="C1112" s="2" t="s">
        <v>594</v>
      </c>
      <c r="D1112" s="2" t="str">
        <f t="shared" si="16"/>
        <v>Error?</v>
      </c>
    </row>
    <row r="1113" spans="1:4" x14ac:dyDescent="0.2">
      <c r="A1113" s="5">
        <v>1052</v>
      </c>
      <c r="B1113" s="138">
        <f>'Expenditures 15-22'!K40</f>
        <v>139550</v>
      </c>
      <c r="C1113" s="2" t="s">
        <v>594</v>
      </c>
      <c r="D1113" s="2" t="str">
        <f t="shared" si="16"/>
        <v>Error?</v>
      </c>
    </row>
    <row r="1114" spans="1:4" x14ac:dyDescent="0.2">
      <c r="A1114" s="5">
        <v>1053</v>
      </c>
      <c r="B1114" s="138">
        <f>'Expenditures 15-22'!K41</f>
        <v>28554</v>
      </c>
      <c r="C1114" s="2" t="s">
        <v>594</v>
      </c>
      <c r="D1114" s="2" t="str">
        <f t="shared" si="16"/>
        <v>Error?</v>
      </c>
    </row>
    <row r="1115" spans="1:4" x14ac:dyDescent="0.2">
      <c r="A1115" s="5">
        <v>1054</v>
      </c>
      <c r="B1115" s="138">
        <f>'Expenditures 15-22'!K42</f>
        <v>472287</v>
      </c>
      <c r="C1115" s="2" t="s">
        <v>594</v>
      </c>
      <c r="D1115" s="2" t="str">
        <f t="shared" si="16"/>
        <v>Error?</v>
      </c>
    </row>
    <row r="1116" spans="1:4" x14ac:dyDescent="0.2">
      <c r="A1116" s="5">
        <v>1055</v>
      </c>
      <c r="B1116" s="138">
        <f>'Expenditures 15-22'!K44</f>
        <v>1720</v>
      </c>
      <c r="C1116" s="2" t="s">
        <v>594</v>
      </c>
      <c r="D1116" s="2" t="str">
        <f t="shared" si="16"/>
        <v>Error?</v>
      </c>
    </row>
    <row r="1117" spans="1:4" x14ac:dyDescent="0.2">
      <c r="A1117" s="5">
        <v>1056</v>
      </c>
      <c r="B1117" s="138">
        <f>'Expenditures 15-22'!K45</f>
        <v>68428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70148</v>
      </c>
      <c r="C1119" s="2" t="s">
        <v>594</v>
      </c>
      <c r="D1119" s="2" t="str">
        <f t="shared" si="16"/>
        <v>Error?</v>
      </c>
    </row>
    <row r="1120" spans="1:4" x14ac:dyDescent="0.2">
      <c r="A1120" s="5">
        <v>1059</v>
      </c>
      <c r="B1120" s="138">
        <f>'Expenditures 15-22'!K49</f>
        <v>29424</v>
      </c>
      <c r="C1120" s="2" t="s">
        <v>594</v>
      </c>
      <c r="D1120" s="2" t="str">
        <f t="shared" si="16"/>
        <v>Error?</v>
      </c>
    </row>
    <row r="1121" spans="1:4" x14ac:dyDescent="0.2">
      <c r="A1121" s="5">
        <v>1060</v>
      </c>
      <c r="B1121" s="138">
        <f>'Expenditures 15-22'!K50</f>
        <v>77784</v>
      </c>
      <c r="C1121" s="2" t="s">
        <v>594</v>
      </c>
      <c r="D1121" s="2" t="str">
        <f t="shared" si="16"/>
        <v>Error?</v>
      </c>
    </row>
    <row r="1122" spans="1:4" x14ac:dyDescent="0.2">
      <c r="A1122" s="5">
        <v>1061</v>
      </c>
      <c r="B1122" s="138">
        <f>'Expenditures 15-22'!K53</f>
        <v>107208</v>
      </c>
      <c r="C1122" s="2" t="s">
        <v>594</v>
      </c>
      <c r="D1122" s="2" t="str">
        <f t="shared" si="16"/>
        <v>Error?</v>
      </c>
    </row>
    <row r="1123" spans="1:4" x14ac:dyDescent="0.2">
      <c r="A1123" s="5">
        <v>1062</v>
      </c>
      <c r="B1123" s="138">
        <f>'Expenditures 15-22'!K55</f>
        <v>86057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86057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57760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100865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158625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894325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21996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3243042</v>
      </c>
      <c r="C1152" s="2" t="s">
        <v>594</v>
      </c>
      <c r="D1152" s="2" t="str">
        <f t="shared" si="17"/>
        <v>Error?</v>
      </c>
    </row>
    <row r="1153" spans="1:4" x14ac:dyDescent="0.2">
      <c r="A1153" s="5">
        <v>1092</v>
      </c>
      <c r="B1153" s="138">
        <f>'Expenditures 15-22'!K115</f>
        <v>93759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2900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101412</v>
      </c>
      <c r="D1221" s="2" t="str">
        <f t="shared" si="18"/>
        <v>Error?</v>
      </c>
    </row>
    <row r="1222" spans="1:4" x14ac:dyDescent="0.2">
      <c r="A1222" s="10">
        <v>1161</v>
      </c>
      <c r="D1222" s="2" t="str">
        <f t="shared" si="18"/>
        <v>OK</v>
      </c>
    </row>
    <row r="1223" spans="1:4" x14ac:dyDescent="0.2">
      <c r="A1223" s="5">
        <v>1162</v>
      </c>
      <c r="B1223" s="138">
        <f>'Expenditures 15-22'!C127</f>
        <v>104312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104312</v>
      </c>
      <c r="C1225" s="2" t="s">
        <v>594</v>
      </c>
      <c r="D1225" s="2" t="str">
        <f t="shared" si="18"/>
        <v>Error?</v>
      </c>
    </row>
    <row r="1226" spans="1:4" x14ac:dyDescent="0.2">
      <c r="A1226" s="5">
        <v>1165</v>
      </c>
      <c r="B1226" s="138">
        <f>'Expenditures 15-22'!C151</f>
        <v>104312</v>
      </c>
      <c r="C1226" s="2" t="s">
        <v>594</v>
      </c>
      <c r="D1226" s="2" t="str">
        <f t="shared" si="18"/>
        <v>Error?</v>
      </c>
    </row>
    <row r="1227" spans="1:4" x14ac:dyDescent="0.2">
      <c r="A1227" s="5">
        <v>1166</v>
      </c>
      <c r="B1227" s="138">
        <f>'Expenditures 15-22'!D122</f>
        <v>1461</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5699</v>
      </c>
      <c r="D1229" s="2" t="str">
        <f t="shared" si="18"/>
        <v>Error?</v>
      </c>
    </row>
    <row r="1230" spans="1:4" x14ac:dyDescent="0.2">
      <c r="A1230" s="10">
        <v>1169</v>
      </c>
      <c r="D1230" s="2" t="str">
        <f t="shared" si="18"/>
        <v>OK</v>
      </c>
    </row>
    <row r="1231" spans="1:4" x14ac:dyDescent="0.2">
      <c r="A1231" s="5">
        <v>1170</v>
      </c>
      <c r="B1231" s="138">
        <f>'Expenditures 15-22'!D127</f>
        <v>7160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7160</v>
      </c>
      <c r="C1233" s="2" t="s">
        <v>594</v>
      </c>
      <c r="D1233" s="2" t="str">
        <f t="shared" si="18"/>
        <v>Error?</v>
      </c>
    </row>
    <row r="1234" spans="1:4" x14ac:dyDescent="0.2">
      <c r="A1234" s="5">
        <v>1173</v>
      </c>
      <c r="B1234" s="138">
        <f>'Expenditures 15-22'!D151</f>
        <v>7160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78192</v>
      </c>
      <c r="D1237" s="2" t="str">
        <f t="shared" si="18"/>
        <v>Error?</v>
      </c>
    </row>
    <row r="1238" spans="1:4" x14ac:dyDescent="0.2">
      <c r="A1238" s="10">
        <v>1177</v>
      </c>
      <c r="D1238" s="2" t="str">
        <f t="shared" si="18"/>
        <v>OK</v>
      </c>
    </row>
    <row r="1239" spans="1:4" x14ac:dyDescent="0.2">
      <c r="A1239" s="5">
        <v>1178</v>
      </c>
      <c r="B1239" s="138">
        <f>'Expenditures 15-22'!E127</f>
        <v>78192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78192</v>
      </c>
      <c r="C1241" s="2" t="s">
        <v>594</v>
      </c>
      <c r="D1241" s="2" t="str">
        <f t="shared" si="18"/>
        <v>Error?</v>
      </c>
    </row>
    <row r="1242" spans="1:4" x14ac:dyDescent="0.2">
      <c r="A1242" s="5">
        <v>1181</v>
      </c>
      <c r="B1242" s="138">
        <f>'Expenditures 15-22'!E151</f>
        <v>78192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118521</v>
      </c>
      <c r="D1245" s="2" t="str">
        <f t="shared" si="18"/>
        <v>Error?</v>
      </c>
    </row>
    <row r="1246" spans="1:4" x14ac:dyDescent="0.2">
      <c r="A1246" s="10">
        <v>1185</v>
      </c>
      <c r="D1246" s="2" t="str">
        <f t="shared" si="18"/>
        <v>OK</v>
      </c>
    </row>
    <row r="1247" spans="1:4" x14ac:dyDescent="0.2">
      <c r="A1247" s="5">
        <v>1186</v>
      </c>
      <c r="B1247" s="138">
        <f>'Expenditures 15-22'!F127</f>
        <v>118521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118521</v>
      </c>
      <c r="C1249" s="2" t="s">
        <v>594</v>
      </c>
      <c r="D1249" s="2" t="str">
        <f t="shared" si="18"/>
        <v>Error?</v>
      </c>
    </row>
    <row r="1250" spans="1:4" x14ac:dyDescent="0.2">
      <c r="A1250" s="5">
        <v>1189</v>
      </c>
      <c r="B1250" s="138">
        <f>'Expenditures 15-22'!F151</f>
        <v>118521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14126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14126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14126</v>
      </c>
      <c r="C1258" s="2" t="s">
        <v>594</v>
      </c>
      <c r="D1258" s="2" t="str">
        <f t="shared" si="18"/>
        <v>Error?</v>
      </c>
    </row>
    <row r="1259" spans="1:4" x14ac:dyDescent="0.2">
      <c r="A1259" s="5">
        <v>1198</v>
      </c>
      <c r="B1259" s="138">
        <f>'Expenditures 15-22'!G151</f>
        <v>14126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1319</v>
      </c>
      <c r="D1262" s="2" t="str">
        <f t="shared" si="18"/>
        <v>Error?</v>
      </c>
    </row>
    <row r="1263" spans="1:4" x14ac:dyDescent="0.2">
      <c r="A1263" s="10">
        <v>1202</v>
      </c>
      <c r="D1263" s="2" t="str">
        <f t="shared" si="18"/>
        <v>OK</v>
      </c>
    </row>
    <row r="1264" spans="1:4" x14ac:dyDescent="0.2">
      <c r="A1264" s="5">
        <v>1203</v>
      </c>
      <c r="B1264" s="138">
        <f>'Expenditures 15-22'!H127</f>
        <v>1319</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1319</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1319</v>
      </c>
      <c r="C1273" s="2" t="s">
        <v>594</v>
      </c>
      <c r="D1273" s="2" t="str">
        <f t="shared" si="18"/>
        <v>Error?</v>
      </c>
    </row>
    <row r="1274" spans="1:4" x14ac:dyDescent="0.2">
      <c r="A1274" s="5">
        <v>1213</v>
      </c>
      <c r="B1274" s="138">
        <f>'Expenditures 15-22'!K122</f>
        <v>4361</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319269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323630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323630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323630</v>
      </c>
      <c r="C1288" s="2" t="s">
        <v>594</v>
      </c>
      <c r="D1288" s="2" t="str">
        <f t="shared" si="19"/>
        <v>Error?</v>
      </c>
    </row>
    <row r="1289" spans="1:4" x14ac:dyDescent="0.2">
      <c r="A1289" s="5">
        <v>1228</v>
      </c>
      <c r="B1289" s="138">
        <f>'Expenditures 15-22'!K152</f>
        <v>13396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197225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445000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644225</v>
      </c>
      <c r="C1317" s="2" t="s">
        <v>594</v>
      </c>
      <c r="D1317" s="2" t="str">
        <f t="shared" si="19"/>
        <v>Error?</v>
      </c>
    </row>
    <row r="1318" spans="1:4" x14ac:dyDescent="0.2">
      <c r="A1318" s="5">
        <v>1257</v>
      </c>
      <c r="B1318" s="138">
        <f>'Expenditures 15-22'!H174</f>
        <v>644225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197225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445000</v>
      </c>
      <c r="C1329" s="2" t="s">
        <v>594</v>
      </c>
      <c r="D1329" s="2" t="str">
        <f t="shared" si="19"/>
        <v>Error?</v>
      </c>
    </row>
    <row r="1330" spans="1:4" x14ac:dyDescent="0.2">
      <c r="A1330" s="5">
        <v>1269</v>
      </c>
      <c r="B1330" s="138">
        <f>'Expenditures 15-22'!K171</f>
        <v>2000</v>
      </c>
      <c r="C1330" s="2" t="s">
        <v>594</v>
      </c>
      <c r="D1330" s="2" t="str">
        <f t="shared" si="19"/>
        <v>Error?</v>
      </c>
    </row>
    <row r="1331" spans="1:4" x14ac:dyDescent="0.2">
      <c r="A1331" s="5">
        <v>1270</v>
      </c>
      <c r="B1331" s="138">
        <f>'Expenditures 15-22'!K172</f>
        <v>644225</v>
      </c>
      <c r="C1331" s="2" t="s">
        <v>594</v>
      </c>
      <c r="D1331" s="2" t="str">
        <f t="shared" si="19"/>
        <v>Error?</v>
      </c>
    </row>
    <row r="1332" spans="1:4" x14ac:dyDescent="0.2">
      <c r="A1332" s="5">
        <v>1271</v>
      </c>
      <c r="B1332" s="138">
        <f>'Expenditures 15-22'!K174</f>
        <v>644225</v>
      </c>
      <c r="C1332" s="2" t="s">
        <v>594</v>
      </c>
      <c r="D1332" s="2" t="str">
        <f t="shared" si="19"/>
        <v>Error?</v>
      </c>
    </row>
    <row r="1333" spans="1:4" x14ac:dyDescent="0.2">
      <c r="A1333" s="5">
        <v>1272</v>
      </c>
      <c r="B1333" s="138">
        <f>'Expenditures 15-22'!K175</f>
        <v>-293837</v>
      </c>
      <c r="C1333" s="2" t="s">
        <v>594</v>
      </c>
      <c r="D1333" s="2" t="str">
        <f t="shared" si="19"/>
        <v>Error?</v>
      </c>
    </row>
    <row r="1334" spans="1:4" x14ac:dyDescent="0.2">
      <c r="A1334" s="10">
        <v>1273</v>
      </c>
      <c r="D1334" s="2" t="str">
        <f t="shared" si="19"/>
        <v>OK</v>
      </c>
    </row>
    <row r="1335" spans="1:4" x14ac:dyDescent="0.2">
      <c r="A1335" s="5">
        <v>1274</v>
      </c>
      <c r="B1335" s="138">
        <f>'Expenditures 15-22'!C182</f>
        <v>157516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157516</v>
      </c>
      <c r="C1339" s="2" t="s">
        <v>594</v>
      </c>
      <c r="D1339" s="2" t="str">
        <f t="shared" si="19"/>
        <v>Error?</v>
      </c>
    </row>
    <row r="1340" spans="1:4" x14ac:dyDescent="0.2">
      <c r="A1340" s="5">
        <v>1279</v>
      </c>
      <c r="B1340" s="138">
        <f>'Expenditures 15-22'!C210</f>
        <v>157516</v>
      </c>
      <c r="C1340" s="2" t="s">
        <v>594</v>
      </c>
      <c r="D1340" s="2" t="str">
        <f t="shared" si="19"/>
        <v>Error?</v>
      </c>
    </row>
    <row r="1341" spans="1:4" x14ac:dyDescent="0.2">
      <c r="A1341" s="5">
        <v>1280</v>
      </c>
      <c r="B1341" s="138">
        <f>'Expenditures 15-22'!D182</f>
        <v>5424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5424</v>
      </c>
      <c r="C1345" s="2" t="s">
        <v>594</v>
      </c>
      <c r="D1345" s="2" t="str">
        <f t="shared" si="20"/>
        <v>Error?</v>
      </c>
    </row>
    <row r="1346" spans="1:4" x14ac:dyDescent="0.2">
      <c r="A1346" s="5">
        <v>1285</v>
      </c>
      <c r="B1346" s="138">
        <f>'Expenditures 15-22'!D210</f>
        <v>5424</v>
      </c>
      <c r="C1346" s="2" t="s">
        <v>594</v>
      </c>
      <c r="D1346" s="2" t="str">
        <f t="shared" si="20"/>
        <v>Error?</v>
      </c>
    </row>
    <row r="1347" spans="1:4" x14ac:dyDescent="0.2">
      <c r="A1347" s="5">
        <v>1286</v>
      </c>
      <c r="B1347" s="138">
        <f>'Expenditures 15-22'!E182</f>
        <v>22055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22055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22055</v>
      </c>
      <c r="C1353" s="2" t="s">
        <v>594</v>
      </c>
      <c r="D1353" s="2" t="str">
        <f t="shared" si="20"/>
        <v>Error?</v>
      </c>
    </row>
    <row r="1354" spans="1:4" x14ac:dyDescent="0.2">
      <c r="A1354" s="5">
        <v>1293</v>
      </c>
      <c r="B1354" s="138">
        <f>'Expenditures 15-22'!F182</f>
        <v>22088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22088</v>
      </c>
      <c r="C1358" s="2" t="s">
        <v>594</v>
      </c>
      <c r="D1358" s="2" t="str">
        <f t="shared" si="20"/>
        <v>Error?</v>
      </c>
    </row>
    <row r="1359" spans="1:4" x14ac:dyDescent="0.2">
      <c r="A1359" s="5">
        <v>1298</v>
      </c>
      <c r="B1359" s="138">
        <f>'Expenditures 15-22'!F210</f>
        <v>22088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97999</v>
      </c>
      <c r="C1375" s="2" t="s">
        <v>594</v>
      </c>
      <c r="D1375" s="2" t="str">
        <f t="shared" si="20"/>
        <v>Error?</v>
      </c>
    </row>
    <row r="1376" spans="1:4" x14ac:dyDescent="0.2">
      <c r="A1376" s="5">
        <v>1315</v>
      </c>
      <c r="B1376" s="138">
        <f>'Expenditures 15-22'!H210</f>
        <v>97999</v>
      </c>
      <c r="C1376" s="2" t="s">
        <v>594</v>
      </c>
      <c r="D1376" s="2" t="str">
        <f t="shared" si="20"/>
        <v>Error?</v>
      </c>
    </row>
    <row r="1377" spans="1:4" x14ac:dyDescent="0.2">
      <c r="A1377" s="5">
        <v>1316</v>
      </c>
      <c r="B1377" s="138">
        <f>'Expenditures 15-22'!K182</f>
        <v>207083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207083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97999</v>
      </c>
      <c r="C1387" s="2" t="s">
        <v>594</v>
      </c>
      <c r="D1387" s="2" t="str">
        <f t="shared" si="20"/>
        <v>Error?</v>
      </c>
    </row>
    <row r="1388" spans="1:4" x14ac:dyDescent="0.2">
      <c r="A1388" s="5">
        <v>1327</v>
      </c>
      <c r="B1388" s="138">
        <f>'Expenditures 15-22'!K210</f>
        <v>305082</v>
      </c>
      <c r="C1388" s="2" t="s">
        <v>594</v>
      </c>
      <c r="D1388" s="2" t="str">
        <f t="shared" si="20"/>
        <v>Error?</v>
      </c>
    </row>
    <row r="1389" spans="1:4" x14ac:dyDescent="0.2">
      <c r="A1389" s="5">
        <v>1328</v>
      </c>
      <c r="B1389" s="138">
        <f>'Expenditures 15-22'!K211</f>
        <v>22575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117</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1711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52856</v>
      </c>
      <c r="C1410" s="2" t="s">
        <v>594</v>
      </c>
      <c r="D1410" s="2" t="str">
        <f t="shared" si="21"/>
        <v>Error?</v>
      </c>
    </row>
    <row r="1411" spans="1:4" x14ac:dyDescent="0.2">
      <c r="A1411" s="5">
        <v>1350</v>
      </c>
      <c r="B1411" s="138">
        <f>'Expenditures 15-22'!D232</f>
        <v>826</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581</v>
      </c>
      <c r="D1413" s="2" t="str">
        <f t="shared" si="21"/>
        <v>Error?</v>
      </c>
    </row>
    <row r="1414" spans="1:4" x14ac:dyDescent="0.2">
      <c r="A1414" s="5">
        <v>1353</v>
      </c>
      <c r="B1414" s="138">
        <f>'Expenditures 15-22'!D235</f>
        <v>5746</v>
      </c>
      <c r="D1414" s="2" t="str">
        <f t="shared" si="21"/>
        <v>Error?</v>
      </c>
    </row>
    <row r="1415" spans="1:4" x14ac:dyDescent="0.2">
      <c r="A1415" s="5">
        <v>1354</v>
      </c>
      <c r="B1415" s="138">
        <f>'Expenditures 15-22'!D236</f>
        <v>1669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8822</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9836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9836</v>
      </c>
      <c r="C1421" s="2" t="s">
        <v>594</v>
      </c>
      <c r="D1421" s="2" t="str">
        <f t="shared" si="21"/>
        <v>Error?</v>
      </c>
    </row>
    <row r="1422" spans="1:4" x14ac:dyDescent="0.2">
      <c r="A1422" s="5">
        <v>1361</v>
      </c>
      <c r="B1422" s="138">
        <f>'Expenditures 15-22'!D245</f>
        <v>199</v>
      </c>
      <c r="D1422" s="2" t="str">
        <f t="shared" si="21"/>
        <v>Error?</v>
      </c>
    </row>
    <row r="1423" spans="1:4" x14ac:dyDescent="0.2">
      <c r="A1423" s="5">
        <v>1362</v>
      </c>
      <c r="B1423" s="138">
        <f>'Expenditures 15-22'!D246</f>
        <v>726</v>
      </c>
      <c r="D1423" s="2" t="str">
        <f t="shared" si="21"/>
        <v>Error?</v>
      </c>
    </row>
    <row r="1424" spans="1:4" x14ac:dyDescent="0.2">
      <c r="A1424" s="5">
        <v>1363</v>
      </c>
      <c r="B1424" s="138">
        <f>'Expenditures 15-22'!D257</f>
        <v>5345</v>
      </c>
      <c r="C1424" s="2" t="s">
        <v>594</v>
      </c>
      <c r="D1424" s="2" t="str">
        <f t="shared" si="21"/>
        <v>Error?</v>
      </c>
    </row>
    <row r="1425" spans="1:4" x14ac:dyDescent="0.2">
      <c r="A1425" s="5">
        <v>1364</v>
      </c>
      <c r="B1425" s="138">
        <f>'Expenditures 15-22'!D259</f>
        <v>887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887</v>
      </c>
      <c r="C1427" s="2" t="s">
        <v>594</v>
      </c>
      <c r="D1427" s="2" t="str">
        <f t="shared" si="21"/>
        <v>Error?</v>
      </c>
    </row>
    <row r="1428" spans="1:4" x14ac:dyDescent="0.2">
      <c r="A1428" s="5">
        <v>1367</v>
      </c>
      <c r="B1428" s="138">
        <f>'Expenditures 15-22'!D263</f>
        <v>42</v>
      </c>
      <c r="D1428" s="2" t="str">
        <f t="shared" si="21"/>
        <v>Error?</v>
      </c>
    </row>
    <row r="1429" spans="1:4" x14ac:dyDescent="0.2">
      <c r="A1429" s="5">
        <v>1368</v>
      </c>
      <c r="B1429" s="138">
        <f>'Expenditures 15-22'!D264</f>
        <v>8265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13378</v>
      </c>
      <c r="D1431" s="2" t="str">
        <f t="shared" si="21"/>
        <v>Error?</v>
      </c>
    </row>
    <row r="1432" spans="1:4" x14ac:dyDescent="0.2">
      <c r="A1432" s="5">
        <v>1371</v>
      </c>
      <c r="B1432" s="138">
        <f>'Expenditures 15-22'!D267</f>
        <v>19451</v>
      </c>
      <c r="D1432" s="2" t="str">
        <f t="shared" si="21"/>
        <v>Error?</v>
      </c>
    </row>
    <row r="1433" spans="1:4" x14ac:dyDescent="0.2">
      <c r="A1433" s="5">
        <v>1372</v>
      </c>
      <c r="B1433" s="138">
        <f>'Expenditures 15-22'!D268</f>
        <v>5949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47085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71975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124831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117</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1711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52856</v>
      </c>
      <c r="C1474" s="2" t="s">
        <v>594</v>
      </c>
      <c r="D1474" s="2" t="str">
        <f t="shared" si="22"/>
        <v>Error?</v>
      </c>
    </row>
    <row r="1475" spans="1:4" x14ac:dyDescent="0.2">
      <c r="A1475" s="5">
        <v>1414</v>
      </c>
      <c r="B1475" s="138">
        <f>'Expenditures 15-22'!K232</f>
        <v>826</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581</v>
      </c>
      <c r="C1477" s="2" t="s">
        <v>594</v>
      </c>
      <c r="D1477" s="2" t="str">
        <f t="shared" si="22"/>
        <v>Error?</v>
      </c>
    </row>
    <row r="1478" spans="1:4" x14ac:dyDescent="0.2">
      <c r="A1478" s="5">
        <v>1417</v>
      </c>
      <c r="B1478" s="138">
        <f>'Expenditures 15-22'!K235</f>
        <v>5746</v>
      </c>
      <c r="C1478" s="2" t="s">
        <v>594</v>
      </c>
      <c r="D1478" s="2" t="str">
        <f t="shared" si="22"/>
        <v>Error?</v>
      </c>
    </row>
    <row r="1479" spans="1:4" x14ac:dyDescent="0.2">
      <c r="A1479" s="5">
        <v>1418</v>
      </c>
      <c r="B1479" s="138">
        <f>'Expenditures 15-22'!K236</f>
        <v>1669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8822</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9836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9836</v>
      </c>
      <c r="C1485" s="2" t="s">
        <v>594</v>
      </c>
      <c r="D1485" s="2" t="str">
        <f t="shared" si="22"/>
        <v>Error?</v>
      </c>
    </row>
    <row r="1486" spans="1:4" x14ac:dyDescent="0.2">
      <c r="A1486" s="5">
        <v>1425</v>
      </c>
      <c r="B1486" s="138">
        <f>'Expenditures 15-22'!K245</f>
        <v>199</v>
      </c>
      <c r="C1486" s="2" t="s">
        <v>594</v>
      </c>
      <c r="D1486" s="2" t="str">
        <f t="shared" si="22"/>
        <v>Error?</v>
      </c>
    </row>
    <row r="1487" spans="1:4" x14ac:dyDescent="0.2">
      <c r="A1487" s="5">
        <v>1426</v>
      </c>
      <c r="B1487" s="138">
        <f>'Expenditures 15-22'!K246</f>
        <v>726</v>
      </c>
      <c r="C1487" s="2" t="s">
        <v>594</v>
      </c>
      <c r="D1487" s="2" t="str">
        <f t="shared" si="22"/>
        <v>Error?</v>
      </c>
    </row>
    <row r="1488" spans="1:4" x14ac:dyDescent="0.2">
      <c r="A1488" s="5">
        <v>1427</v>
      </c>
      <c r="B1488" s="138">
        <f>'Expenditures 15-22'!K257</f>
        <v>5345</v>
      </c>
      <c r="C1488" s="2" t="s">
        <v>594</v>
      </c>
      <c r="D1488" s="2" t="str">
        <f t="shared" si="22"/>
        <v>Error?</v>
      </c>
    </row>
    <row r="1489" spans="1:4" x14ac:dyDescent="0.2">
      <c r="A1489" s="5">
        <v>1428</v>
      </c>
      <c r="B1489" s="138">
        <f>'Expenditures 15-22'!K259</f>
        <v>887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887</v>
      </c>
      <c r="C1491" s="2" t="s">
        <v>594</v>
      </c>
      <c r="D1491" s="2" t="str">
        <f t="shared" si="22"/>
        <v>Error?</v>
      </c>
    </row>
    <row r="1492" spans="1:4" x14ac:dyDescent="0.2">
      <c r="A1492" s="5">
        <v>1431</v>
      </c>
      <c r="B1492" s="138">
        <f>'Expenditures 15-22'!K263</f>
        <v>42</v>
      </c>
      <c r="C1492" s="2" t="s">
        <v>594</v>
      </c>
      <c r="D1492" s="2" t="str">
        <f t="shared" si="22"/>
        <v>Error?</v>
      </c>
    </row>
    <row r="1493" spans="1:4" x14ac:dyDescent="0.2">
      <c r="A1493" s="5">
        <v>1432</v>
      </c>
      <c r="B1493" s="138">
        <f>'Expenditures 15-22'!K264</f>
        <v>8265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13378</v>
      </c>
      <c r="C1495" s="2" t="s">
        <v>594</v>
      </c>
      <c r="D1495" s="2" t="str">
        <f t="shared" si="22"/>
        <v>Error?</v>
      </c>
    </row>
    <row r="1496" spans="1:4" x14ac:dyDescent="0.2">
      <c r="A1496" s="5">
        <v>1435</v>
      </c>
      <c r="B1496" s="138">
        <f>'Expenditures 15-22'!K267</f>
        <v>19451</v>
      </c>
      <c r="C1496" s="2" t="s">
        <v>594</v>
      </c>
      <c r="D1496" s="2" t="str">
        <f t="shared" si="22"/>
        <v>Error?</v>
      </c>
    </row>
    <row r="1497" spans="1:4" x14ac:dyDescent="0.2">
      <c r="A1497" s="5">
        <v>1436</v>
      </c>
      <c r="B1497" s="138">
        <f>'Expenditures 15-22'!K268</f>
        <v>5949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47085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71975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124831</v>
      </c>
      <c r="C1517" s="2" t="s">
        <v>594</v>
      </c>
      <c r="D1517" s="2" t="str">
        <f t="shared" si="22"/>
        <v>Error?</v>
      </c>
    </row>
    <row r="1518" spans="1:4" x14ac:dyDescent="0.2">
      <c r="A1518" s="5">
        <v>1457</v>
      </c>
      <c r="B1518" s="138">
        <f>'Expenditures 15-22'!K296</f>
        <v>-2973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816702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662615</v>
      </c>
      <c r="C1630" s="2" t="s">
        <v>594</v>
      </c>
      <c r="D1630" s="2" t="str">
        <f t="shared" si="24"/>
        <v>Error?</v>
      </c>
    </row>
    <row r="1631" spans="1:4" x14ac:dyDescent="0.2">
      <c r="A1631" s="5">
        <v>1570</v>
      </c>
      <c r="B1631" s="138">
        <f>'Acct Summary 7-8'!D79</f>
        <v>189907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203303</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222989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247564</v>
      </c>
      <c r="C1672" s="2" t="s">
        <v>594</v>
      </c>
      <c r="D1672" s="2" t="str">
        <f t="shared" si="25"/>
        <v>Error?</v>
      </c>
    </row>
    <row r="1673" spans="1:4" x14ac:dyDescent="0.2">
      <c r="A1673" s="5">
        <v>1612</v>
      </c>
      <c r="B1673" s="138">
        <f>'Acct Summary 7-8'!G79</f>
        <v>34050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31077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1489492</v>
      </c>
      <c r="C1744" s="2" t="s">
        <v>594</v>
      </c>
      <c r="D1744" s="2" t="str">
        <f t="shared" si="26"/>
        <v>Error?</v>
      </c>
    </row>
    <row r="1745" spans="1:5" x14ac:dyDescent="0.2">
      <c r="A1745" s="5">
        <v>1684</v>
      </c>
      <c r="B1745" s="138">
        <f>'Tax Sched 23'!B5</f>
        <v>321804</v>
      </c>
      <c r="C1745" s="2" t="s">
        <v>594</v>
      </c>
      <c r="D1745" s="2" t="str">
        <f t="shared" si="26"/>
        <v>Error?</v>
      </c>
    </row>
    <row r="1746" spans="1:5" x14ac:dyDescent="0.2">
      <c r="A1746" s="5">
        <v>1685</v>
      </c>
      <c r="B1746" s="138">
        <f>'Tax Sched 23'!B6</f>
        <v>349581</v>
      </c>
      <c r="C1746" s="2" t="s">
        <v>594</v>
      </c>
      <c r="D1746" s="2" t="str">
        <f t="shared" si="26"/>
        <v>Error?</v>
      </c>
    </row>
    <row r="1747" spans="1:5" x14ac:dyDescent="0.2">
      <c r="A1747" s="5">
        <v>1686</v>
      </c>
      <c r="B1747" s="138">
        <f>'Tax Sched 23'!B7</f>
        <v>110333</v>
      </c>
      <c r="C1747" s="2" t="s">
        <v>594</v>
      </c>
      <c r="D1747" s="2" t="str">
        <f t="shared" si="26"/>
        <v>Error?</v>
      </c>
    </row>
    <row r="1748" spans="1:5" x14ac:dyDescent="0.2">
      <c r="A1748" s="5">
        <v>1687</v>
      </c>
      <c r="B1748" s="138">
        <f>'Tax Sched 23'!B8</f>
        <v>46800</v>
      </c>
      <c r="C1748" s="2" t="s">
        <v>594</v>
      </c>
      <c r="D1748" s="2" t="str">
        <f t="shared" si="26"/>
        <v>Error?</v>
      </c>
    </row>
    <row r="1749" spans="1:5" x14ac:dyDescent="0.2">
      <c r="A1749" s="5">
        <v>1688</v>
      </c>
      <c r="B1749" s="138">
        <f>'Tax Sched 23'!B10</f>
        <v>45972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106986</v>
      </c>
      <c r="C1752" s="2" t="s">
        <v>594</v>
      </c>
      <c r="D1752" s="2" t="str">
        <f t="shared" si="26"/>
        <v>Error?</v>
      </c>
    </row>
    <row r="1753" spans="1:5" x14ac:dyDescent="0.2">
      <c r="A1753" s="5">
        <v>1692</v>
      </c>
      <c r="B1753" s="138">
        <f>'Tax Sched 23'!B12</f>
        <v>45972</v>
      </c>
      <c r="C1753" s="2" t="s">
        <v>594</v>
      </c>
      <c r="D1753" s="2" t="str">
        <f t="shared" si="26"/>
        <v>Error?</v>
      </c>
    </row>
    <row r="1754" spans="1:5" x14ac:dyDescent="0.2">
      <c r="A1754" s="5">
        <v>1693</v>
      </c>
      <c r="B1754" s="138">
        <f>'Tax Sched 23'!B14</f>
        <v>18389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2655298</v>
      </c>
      <c r="C1759" s="2" t="s">
        <v>594</v>
      </c>
      <c r="D1759" s="2" t="str">
        <f t="shared" si="26"/>
        <v>Error?</v>
      </c>
    </row>
    <row r="1760" spans="1:5" x14ac:dyDescent="0.2">
      <c r="A1760" s="5">
        <v>1699</v>
      </c>
      <c r="B1760" s="138">
        <f>'Tax Sched 23'!D4</f>
        <v>1489492</v>
      </c>
      <c r="C1760" s="2" t="s">
        <v>594</v>
      </c>
      <c r="D1760" s="2" t="str">
        <f t="shared" si="26"/>
        <v>Error?</v>
      </c>
    </row>
    <row r="1761" spans="1:5" x14ac:dyDescent="0.2">
      <c r="A1761" s="5">
        <v>1700</v>
      </c>
      <c r="B1761" s="138">
        <f>'Tax Sched 23'!D5</f>
        <v>321804</v>
      </c>
      <c r="C1761" s="2" t="s">
        <v>594</v>
      </c>
      <c r="D1761" s="2" t="str">
        <f t="shared" si="26"/>
        <v>Error?</v>
      </c>
    </row>
    <row r="1762" spans="1:5" s="8" customFormat="1" x14ac:dyDescent="0.2">
      <c r="A1762" s="5">
        <v>1701</v>
      </c>
      <c r="B1762" s="138">
        <f>'Tax Sched 23'!D6</f>
        <v>349581</v>
      </c>
      <c r="C1762" s="2" t="s">
        <v>594</v>
      </c>
      <c r="D1762" s="2" t="str">
        <f t="shared" si="26"/>
        <v>Error?</v>
      </c>
      <c r="E1762" s="9"/>
    </row>
    <row r="1763" spans="1:5" x14ac:dyDescent="0.2">
      <c r="A1763" s="5">
        <v>1702</v>
      </c>
      <c r="B1763" s="138">
        <f>'Tax Sched 23'!D7</f>
        <v>110333</v>
      </c>
      <c r="C1763" s="2" t="s">
        <v>594</v>
      </c>
      <c r="D1763" s="2" t="str">
        <f t="shared" si="26"/>
        <v>Error?</v>
      </c>
    </row>
    <row r="1764" spans="1:5" x14ac:dyDescent="0.2">
      <c r="A1764" s="5">
        <v>1703</v>
      </c>
      <c r="B1764" s="138">
        <f>'Tax Sched 23'!D8</f>
        <v>46800</v>
      </c>
      <c r="C1764" s="2" t="s">
        <v>594</v>
      </c>
      <c r="D1764" s="2" t="str">
        <f t="shared" si="26"/>
        <v>Error?</v>
      </c>
    </row>
    <row r="1765" spans="1:5" x14ac:dyDescent="0.2">
      <c r="A1765" s="5">
        <v>1704</v>
      </c>
      <c r="B1765" s="138">
        <f>'Tax Sched 23'!D10</f>
        <v>45972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106986</v>
      </c>
      <c r="C1768" s="2" t="s">
        <v>594</v>
      </c>
      <c r="D1768" s="2" t="str">
        <f t="shared" si="26"/>
        <v>Error?</v>
      </c>
    </row>
    <row r="1769" spans="1:5" x14ac:dyDescent="0.2">
      <c r="A1769" s="5">
        <v>1708</v>
      </c>
      <c r="B1769" s="138">
        <f>'Tax Sched 23'!D12</f>
        <v>45972</v>
      </c>
      <c r="C1769" s="2" t="s">
        <v>594</v>
      </c>
      <c r="D1769" s="2" t="str">
        <f t="shared" si="26"/>
        <v>Error?</v>
      </c>
    </row>
    <row r="1770" spans="1:5" x14ac:dyDescent="0.2">
      <c r="A1770" s="5">
        <v>1709</v>
      </c>
      <c r="B1770" s="138">
        <f>'Tax Sched 23'!D14</f>
        <v>18389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2655298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1520620</v>
      </c>
      <c r="C1792" s="2" t="s">
        <v>594</v>
      </c>
      <c r="D1792" s="2" t="str">
        <f t="shared" si="27"/>
        <v>Error?</v>
      </c>
    </row>
    <row r="1793" spans="1:4" x14ac:dyDescent="0.2">
      <c r="A1793" s="5">
        <v>1732</v>
      </c>
      <c r="B1793" s="138">
        <f>'Tax Sched 23'!F5</f>
        <v>328529</v>
      </c>
      <c r="C1793" s="2" t="s">
        <v>594</v>
      </c>
      <c r="D1793" s="2" t="str">
        <f t="shared" si="27"/>
        <v>Error?</v>
      </c>
    </row>
    <row r="1794" spans="1:4" x14ac:dyDescent="0.2">
      <c r="A1794" s="5">
        <v>1733</v>
      </c>
      <c r="B1794" s="138">
        <f>'Tax Sched 23'!F6</f>
        <v>358012</v>
      </c>
      <c r="C1794" s="2" t="s">
        <v>594</v>
      </c>
      <c r="D1794" s="2" t="str">
        <f t="shared" si="27"/>
        <v>Error?</v>
      </c>
    </row>
    <row r="1795" spans="1:4" x14ac:dyDescent="0.2">
      <c r="A1795" s="5">
        <v>1734</v>
      </c>
      <c r="B1795" s="138">
        <f>'Tax Sched 23'!F7</f>
        <v>112639</v>
      </c>
      <c r="C1795" s="2" t="s">
        <v>594</v>
      </c>
      <c r="D1795" s="2" t="str">
        <f t="shared" si="27"/>
        <v>Error?</v>
      </c>
    </row>
    <row r="1796" spans="1:4" x14ac:dyDescent="0.2">
      <c r="A1796" s="5">
        <v>1735</v>
      </c>
      <c r="B1796" s="138">
        <f>'Tax Sched 23'!F8</f>
        <v>46811</v>
      </c>
      <c r="C1796" s="2" t="s">
        <v>594</v>
      </c>
      <c r="D1796" s="2" t="str">
        <f t="shared" si="27"/>
        <v>Error?</v>
      </c>
    </row>
    <row r="1797" spans="1:4" x14ac:dyDescent="0.2">
      <c r="A1797" s="5">
        <v>1736</v>
      </c>
      <c r="B1797" s="138">
        <f>'Tax Sched 23'!F10</f>
        <v>46933</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107007</v>
      </c>
      <c r="C1800" s="2" t="s">
        <v>594</v>
      </c>
      <c r="D1800" s="2" t="str">
        <f t="shared" si="27"/>
        <v>Error?</v>
      </c>
    </row>
    <row r="1801" spans="1:4" x14ac:dyDescent="0.2">
      <c r="A1801" s="5">
        <v>1740</v>
      </c>
      <c r="B1801" s="138">
        <f>'Tax Sched 23'!F12</f>
        <v>46933</v>
      </c>
      <c r="C1801" s="2" t="s">
        <v>594</v>
      </c>
      <c r="D1801" s="2" t="str">
        <f t="shared" si="27"/>
        <v>Error?</v>
      </c>
    </row>
    <row r="1802" spans="1:4" x14ac:dyDescent="0.2">
      <c r="A1802" s="5">
        <v>1741</v>
      </c>
      <c r="B1802" s="138">
        <f>'Tax Sched 23'!F14</f>
        <v>18773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2707203</v>
      </c>
      <c r="C1807" s="2" t="s">
        <v>594</v>
      </c>
      <c r="D1807" s="2" t="str">
        <f t="shared" si="27"/>
        <v>Error?</v>
      </c>
    </row>
    <row r="1808" spans="1:4" x14ac:dyDescent="0.2">
      <c r="A1808" s="5">
        <v>1747</v>
      </c>
      <c r="B1808" s="138">
        <f>'Tax Sched 23'!E4</f>
        <v>1520620</v>
      </c>
      <c r="D1808" s="2" t="str">
        <f t="shared" si="27"/>
        <v>Error?</v>
      </c>
    </row>
    <row r="1809" spans="1:4" x14ac:dyDescent="0.2">
      <c r="A1809" s="5">
        <v>1748</v>
      </c>
      <c r="B1809" s="138">
        <f>'Tax Sched 23'!E5</f>
        <v>328529</v>
      </c>
      <c r="D1809" s="2" t="str">
        <f t="shared" si="27"/>
        <v>Error?</v>
      </c>
    </row>
    <row r="1810" spans="1:4" x14ac:dyDescent="0.2">
      <c r="A1810" s="5">
        <v>1749</v>
      </c>
      <c r="B1810" s="138">
        <f>'Tax Sched 23'!E6</f>
        <v>358012</v>
      </c>
      <c r="D1810" s="2" t="str">
        <f t="shared" si="27"/>
        <v>Error?</v>
      </c>
    </row>
    <row r="1811" spans="1:4" x14ac:dyDescent="0.2">
      <c r="A1811" s="5">
        <v>1750</v>
      </c>
      <c r="B1811" s="138">
        <f>'Tax Sched 23'!E7</f>
        <v>112639</v>
      </c>
      <c r="D1811" s="2" t="str">
        <f t="shared" si="27"/>
        <v>Error?</v>
      </c>
    </row>
    <row r="1812" spans="1:4" x14ac:dyDescent="0.2">
      <c r="A1812" s="5">
        <v>1751</v>
      </c>
      <c r="B1812" s="138">
        <f>'Tax Sched 23'!E8</f>
        <v>46811</v>
      </c>
      <c r="D1812" s="2" t="str">
        <f t="shared" si="27"/>
        <v>Error?</v>
      </c>
    </row>
    <row r="1813" spans="1:4" x14ac:dyDescent="0.2">
      <c r="A1813" s="5">
        <v>1752</v>
      </c>
      <c r="B1813" s="138">
        <f>'Tax Sched 23'!E10</f>
        <v>46933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107007</v>
      </c>
      <c r="D1816" s="2" t="str">
        <f t="shared" si="27"/>
        <v>Error?</v>
      </c>
    </row>
    <row r="1817" spans="1:4" x14ac:dyDescent="0.2">
      <c r="A1817" s="5">
        <v>1756</v>
      </c>
      <c r="B1817" s="138">
        <f>'Tax Sched 23'!E12</f>
        <v>46933</v>
      </c>
      <c r="D1817" s="2" t="str">
        <f t="shared" si="27"/>
        <v>Error?</v>
      </c>
    </row>
    <row r="1818" spans="1:4" x14ac:dyDescent="0.2">
      <c r="A1818" s="5">
        <v>1757</v>
      </c>
      <c r="B1818" s="138">
        <f>'Tax Sched 23'!E14</f>
        <v>18773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2707203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5705000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18389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18389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18389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5375</v>
      </c>
      <c r="D2008" s="2" t="str">
        <f t="shared" si="30"/>
        <v>Error?</v>
      </c>
    </row>
    <row r="2009" spans="1:4" x14ac:dyDescent="0.2">
      <c r="A2009" s="5">
        <v>1948</v>
      </c>
      <c r="B2009" s="138">
        <f>'Cap Outlay Deprec 26'!C8</f>
        <v>9205518</v>
      </c>
      <c r="D2009" s="2" t="str">
        <f t="shared" si="30"/>
        <v>Error?</v>
      </c>
    </row>
    <row r="2010" spans="1:4" x14ac:dyDescent="0.2">
      <c r="A2010" s="5">
        <v>1949</v>
      </c>
      <c r="B2010" s="138">
        <f>'Cap Outlay Deprec 26'!C10</f>
        <v>796432</v>
      </c>
      <c r="D2010" s="2" t="str">
        <f t="shared" si="30"/>
        <v>Error?</v>
      </c>
    </row>
    <row r="2011" spans="1:4" x14ac:dyDescent="0.2">
      <c r="A2011" s="5">
        <v>1950</v>
      </c>
      <c r="B2011" s="138">
        <f>'Cap Outlay Deprec 26'!C12</f>
        <v>746973</v>
      </c>
      <c r="D2011" s="2" t="str">
        <f t="shared" si="30"/>
        <v>Error?</v>
      </c>
    </row>
    <row r="2012" spans="1:4" x14ac:dyDescent="0.2">
      <c r="A2012" s="5">
        <v>1951</v>
      </c>
      <c r="B2012" s="138">
        <f>'Cap Outlay Deprec 26'!C13</f>
        <v>662910</v>
      </c>
      <c r="D2012" s="2" t="str">
        <f t="shared" si="30"/>
        <v>Error?</v>
      </c>
    </row>
    <row r="2013" spans="1:4" x14ac:dyDescent="0.2">
      <c r="A2013" s="5">
        <v>1952</v>
      </c>
      <c r="B2013" s="138">
        <f>'Cap Outlay Deprec 26'!C16</f>
        <v>11417208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14126</v>
      </c>
      <c r="D2016" s="2" t="str">
        <f t="shared" si="30"/>
        <v>Error?</v>
      </c>
    </row>
    <row r="2017" spans="1:4" x14ac:dyDescent="0.2">
      <c r="A2017" s="5">
        <v>1956</v>
      </c>
      <c r="B2017" s="138">
        <f>'Cap Outlay Deprec 26'!D12</f>
        <v>20671</v>
      </c>
      <c r="D2017" s="2" t="str">
        <f t="shared" si="30"/>
        <v>Error?</v>
      </c>
    </row>
    <row r="2018" spans="1:4" x14ac:dyDescent="0.2">
      <c r="A2018" s="5">
        <v>1957</v>
      </c>
      <c r="B2018" s="138">
        <f>'Cap Outlay Deprec 26'!D13</f>
        <v>368832</v>
      </c>
      <c r="D2018" s="2" t="str">
        <f t="shared" si="30"/>
        <v>Error?</v>
      </c>
    </row>
    <row r="2019" spans="1:4" x14ac:dyDescent="0.2">
      <c r="A2019" s="5">
        <v>1958</v>
      </c>
      <c r="B2019" s="138">
        <f>'Cap Outlay Deprec 26'!D16</f>
        <v>403629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340734</v>
      </c>
      <c r="D2024" s="2" t="str">
        <f t="shared" si="30"/>
        <v>Error?</v>
      </c>
    </row>
    <row r="2025" spans="1:4" x14ac:dyDescent="0.2">
      <c r="A2025" s="5">
        <v>1964</v>
      </c>
      <c r="B2025" s="138">
        <f>'Cap Outlay Deprec 26'!E16</f>
        <v>340734</v>
      </c>
      <c r="C2025" s="2" t="s">
        <v>594</v>
      </c>
      <c r="D2025" s="2" t="str">
        <f t="shared" si="30"/>
        <v>Error?</v>
      </c>
    </row>
    <row r="2026" spans="1:4" x14ac:dyDescent="0.2">
      <c r="A2026" s="5">
        <v>1965</v>
      </c>
      <c r="B2026" s="138">
        <f>'Cap Outlay Deprec 26'!F5</f>
        <v>5375</v>
      </c>
      <c r="C2026" s="2" t="s">
        <v>594</v>
      </c>
      <c r="D2026" s="2" t="str">
        <f t="shared" si="30"/>
        <v>Error?</v>
      </c>
    </row>
    <row r="2027" spans="1:4" x14ac:dyDescent="0.2">
      <c r="A2027" s="5">
        <v>1966</v>
      </c>
      <c r="B2027" s="138">
        <f>'Cap Outlay Deprec 26'!F8</f>
        <v>9205518</v>
      </c>
      <c r="C2027" s="2" t="s">
        <v>594</v>
      </c>
      <c r="D2027" s="2" t="str">
        <f t="shared" si="30"/>
        <v>Error?</v>
      </c>
    </row>
    <row r="2028" spans="1:4" x14ac:dyDescent="0.2">
      <c r="A2028" s="5">
        <v>1967</v>
      </c>
      <c r="B2028" s="138">
        <f>'Cap Outlay Deprec 26'!F10</f>
        <v>810558</v>
      </c>
      <c r="C2028" s="2" t="s">
        <v>594</v>
      </c>
      <c r="D2028" s="2" t="str">
        <f t="shared" si="30"/>
        <v>Error?</v>
      </c>
    </row>
    <row r="2029" spans="1:4" x14ac:dyDescent="0.2">
      <c r="A2029" s="5">
        <v>1968</v>
      </c>
      <c r="B2029" s="138">
        <f>'Cap Outlay Deprec 26'!F12</f>
        <v>767644</v>
      </c>
      <c r="C2029" s="2" t="s">
        <v>594</v>
      </c>
      <c r="D2029" s="2" t="str">
        <f t="shared" si="30"/>
        <v>Error?</v>
      </c>
    </row>
    <row r="2030" spans="1:4" x14ac:dyDescent="0.2">
      <c r="A2030" s="5">
        <v>1969</v>
      </c>
      <c r="B2030" s="138">
        <f>'Cap Outlay Deprec 26'!F13</f>
        <v>691008</v>
      </c>
      <c r="C2030" s="2" t="s">
        <v>594</v>
      </c>
      <c r="D2030" s="2" t="str">
        <f t="shared" si="30"/>
        <v>Error?</v>
      </c>
    </row>
    <row r="2031" spans="1:4" x14ac:dyDescent="0.2">
      <c r="A2031" s="5">
        <v>1970</v>
      </c>
      <c r="B2031" s="138">
        <f>'Cap Outlay Deprec 26'!F16</f>
        <v>11480103</v>
      </c>
      <c r="C2031" s="2" t="s">
        <v>594</v>
      </c>
      <c r="D2031" s="2" t="str">
        <f t="shared" si="30"/>
        <v>Error?</v>
      </c>
    </row>
    <row r="2032" spans="1:4" x14ac:dyDescent="0.2">
      <c r="A2032" s="10">
        <v>1971</v>
      </c>
      <c r="D2032" s="2" t="str">
        <f t="shared" si="30"/>
        <v>OK</v>
      </c>
    </row>
    <row r="2033" spans="1:4" x14ac:dyDescent="0.2">
      <c r="A2033" s="5">
        <v>1972</v>
      </c>
      <c r="B2033" s="138">
        <f>'Cap Outlay Deprec 26'!H8</f>
        <v>2682824</v>
      </c>
      <c r="D2033" s="2" t="str">
        <f t="shared" si="30"/>
        <v>Error?</v>
      </c>
    </row>
    <row r="2034" spans="1:4" x14ac:dyDescent="0.2">
      <c r="A2034" s="5">
        <v>1973</v>
      </c>
      <c r="B2034" s="138">
        <f>'Cap Outlay Deprec 26'!H10</f>
        <v>157431</v>
      </c>
      <c r="D2034" s="2" t="str">
        <f t="shared" si="30"/>
        <v>Error?</v>
      </c>
    </row>
    <row r="2035" spans="1:4" x14ac:dyDescent="0.2">
      <c r="A2035" s="5">
        <v>1974</v>
      </c>
      <c r="B2035" s="138">
        <f>'Cap Outlay Deprec 26'!H12</f>
        <v>693939</v>
      </c>
      <c r="D2035" s="2" t="str">
        <f t="shared" si="30"/>
        <v>Error?</v>
      </c>
    </row>
    <row r="2036" spans="1:4" x14ac:dyDescent="0.2">
      <c r="A2036" s="5">
        <v>1975</v>
      </c>
      <c r="B2036" s="138">
        <f>'Cap Outlay Deprec 26'!H13</f>
        <v>391626</v>
      </c>
      <c r="D2036" s="2" t="str">
        <f t="shared" si="30"/>
        <v>Error?</v>
      </c>
    </row>
    <row r="2037" spans="1:4" x14ac:dyDescent="0.2">
      <c r="A2037" s="5">
        <v>1976</v>
      </c>
      <c r="B2037" s="138">
        <f>'Cap Outlay Deprec 26'!H16</f>
        <v>3925820</v>
      </c>
      <c r="C2037" s="2" t="s">
        <v>594</v>
      </c>
      <c r="D2037" s="2" t="str">
        <f t="shared" si="30"/>
        <v>Error?</v>
      </c>
    </row>
    <row r="2038" spans="1:4" x14ac:dyDescent="0.2">
      <c r="A2038" s="10">
        <v>1977</v>
      </c>
      <c r="D2038" s="2" t="str">
        <f t="shared" si="30"/>
        <v>OK</v>
      </c>
    </row>
    <row r="2039" spans="1:4" x14ac:dyDescent="0.2">
      <c r="A2039" s="5">
        <v>1978</v>
      </c>
      <c r="B2039" s="138">
        <f>'Cap Outlay Deprec 26'!I8</f>
        <v>184110</v>
      </c>
      <c r="D2039" s="2" t="str">
        <f t="shared" si="30"/>
        <v>Error?</v>
      </c>
    </row>
    <row r="2040" spans="1:4" x14ac:dyDescent="0.2">
      <c r="A2040" s="5">
        <v>1979</v>
      </c>
      <c r="B2040" s="138">
        <f>'Cap Outlay Deprec 26'!I10</f>
        <v>39510</v>
      </c>
      <c r="D2040" s="2" t="str">
        <f t="shared" si="30"/>
        <v>Error?</v>
      </c>
    </row>
    <row r="2041" spans="1:4" x14ac:dyDescent="0.2">
      <c r="A2041" s="5">
        <v>1980</v>
      </c>
      <c r="B2041" s="138">
        <f>'Cap Outlay Deprec 26'!I12</f>
        <v>11098</v>
      </c>
      <c r="D2041" s="2" t="str">
        <f t="shared" si="30"/>
        <v>Error?</v>
      </c>
    </row>
    <row r="2042" spans="1:4" x14ac:dyDescent="0.2">
      <c r="A2042" s="5">
        <v>1981</v>
      </c>
      <c r="B2042" s="138">
        <f>'Cap Outlay Deprec 26'!I13</f>
        <v>128237</v>
      </c>
      <c r="D2042" s="2" t="str">
        <f t="shared" si="30"/>
        <v>Error?</v>
      </c>
    </row>
    <row r="2043" spans="1:4" x14ac:dyDescent="0.2">
      <c r="A2043" s="5">
        <v>1982</v>
      </c>
      <c r="B2043" s="138">
        <f>'Cap Outlay Deprec 26'!I16</f>
        <v>362955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269897</v>
      </c>
      <c r="D2048" s="2" t="str">
        <f t="shared" si="31"/>
        <v>Error?</v>
      </c>
    </row>
    <row r="2049" spans="1:4" x14ac:dyDescent="0.2">
      <c r="A2049" s="5">
        <v>1988</v>
      </c>
      <c r="B2049" s="138">
        <f>'Cap Outlay Deprec 26'!J16</f>
        <v>269897</v>
      </c>
      <c r="C2049" s="2" t="s">
        <v>594</v>
      </c>
      <c r="D2049" s="2" t="str">
        <f t="shared" si="31"/>
        <v>Error?</v>
      </c>
    </row>
    <row r="2050" spans="1:4" x14ac:dyDescent="0.2">
      <c r="A2050" s="10">
        <v>1989</v>
      </c>
      <c r="D2050" s="2" t="str">
        <f t="shared" si="31"/>
        <v>OK</v>
      </c>
    </row>
    <row r="2051" spans="1:4" x14ac:dyDescent="0.2">
      <c r="A2051" s="5">
        <v>1990</v>
      </c>
      <c r="B2051" s="138">
        <f>'Cap Outlay Deprec 26'!K8</f>
        <v>2866934</v>
      </c>
      <c r="C2051" s="2" t="s">
        <v>594</v>
      </c>
      <c r="D2051" s="2" t="str">
        <f t="shared" si="31"/>
        <v>Error?</v>
      </c>
    </row>
    <row r="2052" spans="1:4" x14ac:dyDescent="0.2">
      <c r="A2052" s="5">
        <v>1991</v>
      </c>
      <c r="B2052" s="138">
        <f>'Cap Outlay Deprec 26'!K10</f>
        <v>196941</v>
      </c>
      <c r="C2052" s="2" t="s">
        <v>594</v>
      </c>
      <c r="D2052" s="2" t="str">
        <f t="shared" si="31"/>
        <v>Error?</v>
      </c>
    </row>
    <row r="2053" spans="1:4" x14ac:dyDescent="0.2">
      <c r="A2053" s="5">
        <v>1992</v>
      </c>
      <c r="B2053" s="138">
        <f>'Cap Outlay Deprec 26'!K12</f>
        <v>705037</v>
      </c>
      <c r="C2053" s="2" t="s">
        <v>594</v>
      </c>
      <c r="D2053" s="2" t="str">
        <f t="shared" si="31"/>
        <v>Error?</v>
      </c>
    </row>
    <row r="2054" spans="1:4" x14ac:dyDescent="0.2">
      <c r="A2054" s="5">
        <v>1993</v>
      </c>
      <c r="B2054" s="138">
        <f>'Cap Outlay Deprec 26'!K13</f>
        <v>249966</v>
      </c>
      <c r="C2054" s="2" t="s">
        <v>594</v>
      </c>
      <c r="D2054" s="2" t="str">
        <f t="shared" si="31"/>
        <v>Error?</v>
      </c>
    </row>
    <row r="2055" spans="1:4" x14ac:dyDescent="0.2">
      <c r="A2055" s="5">
        <v>1994</v>
      </c>
      <c r="B2055" s="138">
        <f>'Cap Outlay Deprec 26'!K16</f>
        <v>4018878</v>
      </c>
      <c r="C2055" s="2" t="s">
        <v>594</v>
      </c>
      <c r="D2055" s="2" t="str">
        <f t="shared" si="31"/>
        <v>Error?</v>
      </c>
    </row>
    <row r="2056" spans="1:4" x14ac:dyDescent="0.2">
      <c r="A2056" s="5">
        <v>1995</v>
      </c>
      <c r="B2056" s="138">
        <f>'Cap Outlay Deprec 26'!L5</f>
        <v>5375</v>
      </c>
      <c r="C2056" s="2" t="s">
        <v>594</v>
      </c>
      <c r="D2056" s="2" t="str">
        <f t="shared" si="31"/>
        <v>Error?</v>
      </c>
    </row>
    <row r="2057" spans="1:4" x14ac:dyDescent="0.2">
      <c r="A2057" s="5">
        <v>1996</v>
      </c>
      <c r="B2057" s="138">
        <f>'Cap Outlay Deprec 26'!L8</f>
        <v>6338584</v>
      </c>
      <c r="C2057" s="2" t="s">
        <v>594</v>
      </c>
      <c r="D2057" s="2" t="str">
        <f t="shared" si="31"/>
        <v>Error?</v>
      </c>
    </row>
    <row r="2058" spans="1:4" x14ac:dyDescent="0.2">
      <c r="A2058" s="5">
        <v>1997</v>
      </c>
      <c r="B2058" s="138">
        <f>'Cap Outlay Deprec 26'!L10</f>
        <v>613617</v>
      </c>
      <c r="C2058" s="2" t="s">
        <v>594</v>
      </c>
      <c r="D2058" s="2" t="str">
        <f t="shared" si="31"/>
        <v>Error?</v>
      </c>
    </row>
    <row r="2059" spans="1:4" x14ac:dyDescent="0.2">
      <c r="A2059" s="5">
        <v>1998</v>
      </c>
      <c r="B2059" s="138">
        <f>'Cap Outlay Deprec 26'!L12</f>
        <v>62607</v>
      </c>
      <c r="C2059" s="2" t="s">
        <v>594</v>
      </c>
      <c r="D2059" s="2" t="str">
        <f t="shared" si="31"/>
        <v>Error?</v>
      </c>
    </row>
    <row r="2060" spans="1:4" x14ac:dyDescent="0.2">
      <c r="A2060" s="5">
        <v>1999</v>
      </c>
      <c r="B2060" s="138">
        <f>'Cap Outlay Deprec 26'!L13</f>
        <v>441042</v>
      </c>
      <c r="C2060" s="2" t="s">
        <v>594</v>
      </c>
      <c r="D2060" s="2" t="str">
        <f t="shared" si="31"/>
        <v>Error?</v>
      </c>
    </row>
    <row r="2061" spans="1:4" x14ac:dyDescent="0.2">
      <c r="A2061" s="5">
        <v>2000</v>
      </c>
      <c r="B2061" s="138">
        <f>'Cap Outlay Deprec 26'!L16</f>
        <v>7461225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21996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45991</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2843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17012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2626413</v>
      </c>
      <c r="C2551" s="2" t="s">
        <v>594</v>
      </c>
      <c r="D2551" s="2" t="str">
        <f t="shared" si="38"/>
        <v>Error?</v>
      </c>
    </row>
    <row r="2552" spans="1:4" x14ac:dyDescent="0.2">
      <c r="A2552" s="10">
        <v>2491</v>
      </c>
      <c r="D2552" s="2" t="str">
        <f t="shared" si="38"/>
        <v>OK</v>
      </c>
    </row>
    <row r="2553" spans="1:4" x14ac:dyDescent="0.2">
      <c r="A2553" s="5">
        <v>2492</v>
      </c>
      <c r="B2553" s="138">
        <f>'Acct Summary 7-8'!C6</f>
        <v>418511</v>
      </c>
      <c r="C2553" s="2" t="s">
        <v>594</v>
      </c>
      <c r="D2553" s="2" t="str">
        <f t="shared" si="38"/>
        <v>Error?</v>
      </c>
    </row>
    <row r="2554" spans="1:4" x14ac:dyDescent="0.2">
      <c r="A2554" s="5">
        <v>2493</v>
      </c>
      <c r="B2554" s="138">
        <f>'Acct Summary 7-8'!C7</f>
        <v>291877</v>
      </c>
      <c r="C2554" s="2" t="s">
        <v>594</v>
      </c>
      <c r="D2554" s="2" t="str">
        <f t="shared" si="38"/>
        <v>Error?</v>
      </c>
    </row>
    <row r="2555" spans="1:4" x14ac:dyDescent="0.2">
      <c r="A2555" s="5">
        <v>2494</v>
      </c>
      <c r="B2555" s="138">
        <f>'Acct Summary 7-8'!C8</f>
        <v>3336801</v>
      </c>
      <c r="C2555" s="2" t="s">
        <v>594</v>
      </c>
      <c r="D2555" s="2" t="str">
        <f t="shared" si="38"/>
        <v>Error?</v>
      </c>
    </row>
    <row r="2556" spans="1:4" x14ac:dyDescent="0.2">
      <c r="A2556" s="5">
        <v>2495</v>
      </c>
      <c r="B2556" s="138">
        <f>'Acct Summary 7-8'!C12</f>
        <v>2326721</v>
      </c>
      <c r="C2556" s="2" t="s">
        <v>594</v>
      </c>
      <c r="D2556" s="2" t="str">
        <f t="shared" si="38"/>
        <v>Error?</v>
      </c>
    </row>
    <row r="2557" spans="1:4" x14ac:dyDescent="0.2">
      <c r="A2557" s="5">
        <v>2496</v>
      </c>
      <c r="B2557" s="138">
        <f>'Acct Summary 7-8'!C13</f>
        <v>894325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21996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3243042</v>
      </c>
      <c r="C2561" s="2" t="s">
        <v>594</v>
      </c>
      <c r="D2561" s="2" t="str">
        <f t="shared" si="39"/>
        <v>Error?</v>
      </c>
    </row>
    <row r="2562" spans="1:4" x14ac:dyDescent="0.2">
      <c r="A2562" s="5">
        <v>2501</v>
      </c>
      <c r="B2562" s="138">
        <f>'Acct Summary 7-8'!C20</f>
        <v>93759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328894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8132</v>
      </c>
      <c r="C2567" s="2" t="s">
        <v>594</v>
      </c>
      <c r="D2567" s="2" t="str">
        <f t="shared" si="39"/>
        <v>Error?</v>
      </c>
    </row>
    <row r="2568" spans="1:4" x14ac:dyDescent="0.2">
      <c r="A2568" s="5">
        <v>2507</v>
      </c>
      <c r="B2568" s="138">
        <f>'Acct Summary 7-8'!D8</f>
        <v>337026</v>
      </c>
      <c r="C2568" s="2" t="s">
        <v>594</v>
      </c>
      <c r="D2568" s="2" t="str">
        <f t="shared" si="39"/>
        <v>Error?</v>
      </c>
    </row>
    <row r="2569" spans="1:4" x14ac:dyDescent="0.2">
      <c r="A2569" s="5">
        <v>2508</v>
      </c>
      <c r="B2569" s="138">
        <f>'Acct Summary 7-8'!D13</f>
        <v>323630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323630</v>
      </c>
      <c r="C2573" s="2" t="s">
        <v>594</v>
      </c>
      <c r="D2573" s="2" t="str">
        <f t="shared" si="39"/>
        <v>Error?</v>
      </c>
    </row>
    <row r="2574" spans="1:4" x14ac:dyDescent="0.2">
      <c r="A2574" s="5">
        <v>2513</v>
      </c>
      <c r="B2574" s="138">
        <f>'Acct Summary 7-8'!D20</f>
        <v>13396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120753</v>
      </c>
      <c r="C2591" s="2" t="s">
        <v>594</v>
      </c>
      <c r="D2591" s="2" t="str">
        <f t="shared" si="39"/>
        <v>Error?</v>
      </c>
    </row>
    <row r="2592" spans="1:4" x14ac:dyDescent="0.2">
      <c r="A2592" s="10">
        <v>2531</v>
      </c>
      <c r="D2592" s="2" t="str">
        <f t="shared" si="39"/>
        <v>OK</v>
      </c>
    </row>
    <row r="2593" spans="1:4" x14ac:dyDescent="0.2">
      <c r="A2593" s="5">
        <v>2532</v>
      </c>
      <c r="B2593" s="138">
        <f>'Acct Summary 7-8'!F6</f>
        <v>206904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327657</v>
      </c>
      <c r="C2595" s="2" t="s">
        <v>594</v>
      </c>
      <c r="D2595" s="2" t="str">
        <f t="shared" si="39"/>
        <v>Error?</v>
      </c>
    </row>
    <row r="2596" spans="1:4" x14ac:dyDescent="0.2">
      <c r="A2596" s="5">
        <v>2535</v>
      </c>
      <c r="B2596" s="138">
        <f>'Acct Summary 7-8'!F13</f>
        <v>207083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97999</v>
      </c>
      <c r="C2599" s="2" t="s">
        <v>594</v>
      </c>
      <c r="D2599" s="2" t="str">
        <f t="shared" si="39"/>
        <v>Error?</v>
      </c>
    </row>
    <row r="2600" spans="1:4" x14ac:dyDescent="0.2">
      <c r="A2600" s="5">
        <v>2539</v>
      </c>
      <c r="B2600" s="138">
        <f>'Acct Summary 7-8'!F17</f>
        <v>305082</v>
      </c>
      <c r="C2600" s="2" t="s">
        <v>594</v>
      </c>
      <c r="D2600" s="2" t="str">
        <f t="shared" si="39"/>
        <v>Error?</v>
      </c>
    </row>
    <row r="2601" spans="1:4" x14ac:dyDescent="0.2">
      <c r="A2601" s="5">
        <v>2540</v>
      </c>
      <c r="B2601" s="138">
        <f>'Acct Summary 7-8'!F20</f>
        <v>22575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121858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121858</v>
      </c>
      <c r="C2606" s="2" t="s">
        <v>594</v>
      </c>
      <c r="D2606" s="2" t="str">
        <f t="shared" si="39"/>
        <v>Error?</v>
      </c>
    </row>
    <row r="2607" spans="1:4" x14ac:dyDescent="0.2">
      <c r="A2607" s="5">
        <v>2546</v>
      </c>
      <c r="B2607" s="138">
        <f>'Acct Summary 7-8'!G12</f>
        <v>52856</v>
      </c>
      <c r="C2607" s="2" t="s">
        <v>594</v>
      </c>
      <c r="D2607" s="2" t="str">
        <f t="shared" si="39"/>
        <v>Error?</v>
      </c>
    </row>
    <row r="2608" spans="1:4" x14ac:dyDescent="0.2">
      <c r="A2608" s="5">
        <v>2547</v>
      </c>
      <c r="B2608" s="138">
        <f>'Acct Summary 7-8'!G13</f>
        <v>71975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124831</v>
      </c>
      <c r="C2612" s="2" t="s">
        <v>594</v>
      </c>
      <c r="D2612" s="2" t="str">
        <f t="shared" si="39"/>
        <v>Error?</v>
      </c>
    </row>
    <row r="2613" spans="1:4" x14ac:dyDescent="0.2">
      <c r="A2613" s="5">
        <v>2552</v>
      </c>
      <c r="B2613" s="138">
        <f>'Acct Summary 7-8'!G20</f>
        <v>-2973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350388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350388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644225</v>
      </c>
      <c r="C2634" s="2" t="s">
        <v>594</v>
      </c>
      <c r="D2634" s="2" t="str">
        <f t="shared" si="40"/>
        <v>Error?</v>
      </c>
    </row>
    <row r="2635" spans="1:4" x14ac:dyDescent="0.2">
      <c r="A2635" s="5">
        <v>2574</v>
      </c>
      <c r="B2635" s="138">
        <f>'Acct Summary 7-8'!E17</f>
        <v>644225</v>
      </c>
      <c r="C2635" s="2" t="s">
        <v>594</v>
      </c>
      <c r="D2635" s="2" t="str">
        <f t="shared" si="40"/>
        <v>Error?</v>
      </c>
    </row>
    <row r="2636" spans="1:4" x14ac:dyDescent="0.2">
      <c r="A2636" s="5">
        <v>2575</v>
      </c>
      <c r="B2636" s="138">
        <f>'Acct Summary 7-8'!E20</f>
        <v>-293837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21996</v>
      </c>
      <c r="C2789" s="2" t="s">
        <v>594</v>
      </c>
      <c r="D2789" s="2" t="str">
        <f t="shared" si="42"/>
        <v>Error?</v>
      </c>
    </row>
    <row r="2790" spans="1:4" x14ac:dyDescent="0.2">
      <c r="A2790" s="5">
        <v>2729</v>
      </c>
      <c r="B2790" s="138">
        <f>'Expenditures 15-22'!E102</f>
        <v>21996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44779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44779</v>
      </c>
      <c r="D2914" s="2" t="str">
        <f t="shared" si="44"/>
        <v>Error?</v>
      </c>
    </row>
    <row r="2915" spans="1:4" x14ac:dyDescent="0.2">
      <c r="A2915" s="10">
        <v>2854</v>
      </c>
      <c r="D2915" s="2" t="str">
        <f t="shared" si="44"/>
        <v>OK</v>
      </c>
    </row>
    <row r="2916" spans="1:4" x14ac:dyDescent="0.2">
      <c r="A2916" s="5">
        <v>2855</v>
      </c>
      <c r="B2916" s="138">
        <f>'Assets-Liab 5-6'!L34</f>
        <v>44779</v>
      </c>
      <c r="C2916" s="2" t="s">
        <v>594</v>
      </c>
      <c r="D2916" s="2" t="str">
        <f t="shared" si="44"/>
        <v>Error?</v>
      </c>
    </row>
    <row r="2917" spans="1:4" x14ac:dyDescent="0.2">
      <c r="A2917" s="5">
        <v>2856</v>
      </c>
      <c r="B2917" s="138">
        <f>'Assets-Liab 5-6'!L41</f>
        <v>44779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21996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21996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42374</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4083</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46457</v>
      </c>
      <c r="C3062" s="2" t="s">
        <v>594</v>
      </c>
      <c r="D3062" s="2" t="str">
        <f t="shared" si="46"/>
        <v>Error?</v>
      </c>
    </row>
    <row r="3063" spans="1:4" x14ac:dyDescent="0.2">
      <c r="A3063" s="10">
        <v>3002</v>
      </c>
      <c r="D3063" s="2" t="str">
        <f t="shared" si="46"/>
        <v>OK</v>
      </c>
    </row>
    <row r="3064" spans="1:4" x14ac:dyDescent="0.2">
      <c r="A3064" s="5">
        <v>3003</v>
      </c>
      <c r="B3064" s="138">
        <f>'Expenditures 15-22'!D219</f>
        <v>7042</v>
      </c>
      <c r="D3064" s="2" t="str">
        <f t="shared" si="46"/>
        <v>Error?</v>
      </c>
    </row>
    <row r="3065" spans="1:4" x14ac:dyDescent="0.2">
      <c r="A3065" s="5">
        <v>3004</v>
      </c>
      <c r="B3065" s="138">
        <f>'Expenditures 15-22'!K219</f>
        <v>7042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45991</v>
      </c>
      <c r="C3225" s="2" t="s">
        <v>594</v>
      </c>
      <c r="D3225" s="2" t="str">
        <f t="shared" si="49"/>
        <v>Error?</v>
      </c>
    </row>
    <row r="3226" spans="1:4" x14ac:dyDescent="0.2">
      <c r="A3226" s="5">
        <v>3165</v>
      </c>
      <c r="B3226" s="138">
        <f>'Acct Summary 7-8'!I8</f>
        <v>45991</v>
      </c>
      <c r="C3226" s="2" t="s">
        <v>594</v>
      </c>
      <c r="D3226" s="2" t="str">
        <f t="shared" si="49"/>
        <v>Error?</v>
      </c>
    </row>
    <row r="3227" spans="1:4" x14ac:dyDescent="0.2">
      <c r="A3227" s="5">
        <v>3166</v>
      </c>
      <c r="B3227" s="138">
        <f>'Acct Summary 7-8'!I20</f>
        <v>45991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45991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293837</v>
      </c>
      <c r="C3231" s="2" t="s">
        <v>594</v>
      </c>
      <c r="D3231" s="2" t="str">
        <f t="shared" si="49"/>
        <v>Error?</v>
      </c>
    </row>
    <row r="3232" spans="1:4" x14ac:dyDescent="0.2">
      <c r="A3232" s="5">
        <v>3171</v>
      </c>
      <c r="B3232" s="138">
        <f>'Acct Summary 7-8'!C77</f>
        <v>-247846</v>
      </c>
      <c r="C3232" s="2" t="s">
        <v>594</v>
      </c>
      <c r="D3232" s="2" t="str">
        <f t="shared" si="49"/>
        <v>Error?</v>
      </c>
    </row>
    <row r="3233" spans="1:4" x14ac:dyDescent="0.2">
      <c r="A3233" s="5">
        <v>3172</v>
      </c>
      <c r="B3233" s="138">
        <f>'Acct Summary 7-8'!C78</f>
        <v>-154087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13396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2000</v>
      </c>
      <c r="C3255" s="2" t="s">
        <v>594</v>
      </c>
      <c r="D3255" s="2" t="str">
        <f t="shared" si="49"/>
        <v>Error?</v>
      </c>
    </row>
    <row r="3256" spans="1:4" x14ac:dyDescent="0.2">
      <c r="A3256" s="5">
        <v>3195</v>
      </c>
      <c r="B3256" s="138">
        <f>'Acct Summary 7-8'!F78</f>
        <v>24575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-2973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293837</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293837</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45991</v>
      </c>
      <c r="C3318" s="2" t="s">
        <v>594</v>
      </c>
      <c r="D3318" s="2" t="str">
        <f t="shared" si="50"/>
        <v>Error?</v>
      </c>
    </row>
    <row r="3319" spans="1:4" x14ac:dyDescent="0.2">
      <c r="A3319" s="5">
        <v>3258</v>
      </c>
      <c r="B3319" s="138">
        <f>'Acct Summary 7-8'!I77</f>
        <v>-45991</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293175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47234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10887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2463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353759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17745</v>
      </c>
      <c r="D3387" s="2" t="str">
        <f t="shared" si="51"/>
        <v>Error?</v>
      </c>
    </row>
    <row r="3388" spans="1:4" x14ac:dyDescent="0.2">
      <c r="A3388" s="5">
        <v>3327</v>
      </c>
      <c r="B3388" s="138">
        <f>'Expenditures 15-22'!D217</f>
        <v>18486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17745</v>
      </c>
      <c r="C3390" s="2" t="s">
        <v>594</v>
      </c>
      <c r="D3390" s="2" t="str">
        <f t="shared" si="51"/>
        <v>Error?</v>
      </c>
    </row>
    <row r="3391" spans="1:4" x14ac:dyDescent="0.2">
      <c r="A3391" s="5">
        <v>3330</v>
      </c>
      <c r="B3391" s="138">
        <f>'Expenditures 15-22'!K217</f>
        <v>18486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662615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203303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247564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31077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44779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73997</v>
      </c>
      <c r="C3446" s="2" t="s">
        <v>594</v>
      </c>
      <c r="D3446" s="2" t="str">
        <f t="shared" si="52"/>
        <v>Error?</v>
      </c>
    </row>
    <row r="3447" spans="1:4" x14ac:dyDescent="0.2">
      <c r="A3447" s="5">
        <v>3386</v>
      </c>
      <c r="B3447" s="138">
        <f>'Tax Sched 23'!D16</f>
        <v>73997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74013</v>
      </c>
      <c r="C3449" s="2" t="s">
        <v>594</v>
      </c>
      <c r="D3449" s="2" t="str">
        <f t="shared" si="52"/>
        <v>Error?</v>
      </c>
    </row>
    <row r="3450" spans="1:4" x14ac:dyDescent="0.2">
      <c r="A3450" s="5">
        <v>3389</v>
      </c>
      <c r="B3450" s="138">
        <f>'Tax Sched 23'!E16</f>
        <v>74013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112388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112388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112388</v>
      </c>
      <c r="D3567" s="2" t="str">
        <f t="shared" si="54"/>
        <v>Error?</v>
      </c>
    </row>
    <row r="3568" spans="1:4" x14ac:dyDescent="0.2">
      <c r="A3568" s="5">
        <v>3507</v>
      </c>
      <c r="B3568" s="138">
        <f>'Assets-Liab 5-6'!K41</f>
        <v>112388</v>
      </c>
      <c r="C3568" s="2" t="s">
        <v>594</v>
      </c>
      <c r="D3568" s="2" t="str">
        <f t="shared" si="54"/>
        <v>Error?</v>
      </c>
    </row>
    <row r="3569" spans="1:4" x14ac:dyDescent="0.2">
      <c r="A3569" s="5">
        <v>3508</v>
      </c>
      <c r="B3569" s="138">
        <f>'Acct Summary 7-8'!K4</f>
        <v>47833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47833</v>
      </c>
      <c r="C3571" s="2" t="s">
        <v>594</v>
      </c>
      <c r="D3571" s="2" t="str">
        <f t="shared" si="54"/>
        <v>Error?</v>
      </c>
    </row>
    <row r="3572" spans="1:4" x14ac:dyDescent="0.2">
      <c r="A3572" s="5">
        <v>3511</v>
      </c>
      <c r="B3572" s="138">
        <f>'Acct Summary 7-8'!K13</f>
        <v>12717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12717</v>
      </c>
      <c r="C3575" s="2" t="s">
        <v>594</v>
      </c>
      <c r="D3575" s="2" t="str">
        <f t="shared" si="54"/>
        <v>Error?</v>
      </c>
    </row>
    <row r="3576" spans="1:4" x14ac:dyDescent="0.2">
      <c r="A3576" s="5">
        <v>3515</v>
      </c>
      <c r="B3576" s="138">
        <f>'Acct Summary 7-8'!K20</f>
        <v>35116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35116</v>
      </c>
      <c r="C3588" s="2" t="s">
        <v>594</v>
      </c>
      <c r="D3588" s="2" t="str">
        <f t="shared" si="55"/>
        <v>Error?</v>
      </c>
    </row>
    <row r="3589" spans="1:4" x14ac:dyDescent="0.2">
      <c r="A3589" s="5">
        <v>3528</v>
      </c>
      <c r="B3589" s="138">
        <f>'Acct Summary 7-8'!K79</f>
        <v>77272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112388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12717</v>
      </c>
      <c r="D3632" s="2" t="str">
        <f t="shared" si="55"/>
        <v>Error?</v>
      </c>
    </row>
    <row r="3633" spans="1:4" x14ac:dyDescent="0.2">
      <c r="A3633" s="5">
        <v>3572</v>
      </c>
      <c r="B3633" s="138">
        <f>'Expenditures 15-22'!E350</f>
        <v>12717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12717</v>
      </c>
      <c r="C3635" s="2" t="s">
        <v>594</v>
      </c>
      <c r="D3635" s="2" t="str">
        <f t="shared" si="55"/>
        <v>Error?</v>
      </c>
    </row>
    <row r="3636" spans="1:4" x14ac:dyDescent="0.2">
      <c r="A3636" s="5">
        <v>3575</v>
      </c>
      <c r="B3636" s="138">
        <f>'Expenditures 15-22'!E367</f>
        <v>12717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12717</v>
      </c>
      <c r="C3669" s="2" t="s">
        <v>594</v>
      </c>
      <c r="D3669" s="2" t="str">
        <f t="shared" si="56"/>
        <v>Error?</v>
      </c>
    </row>
    <row r="3670" spans="1:4" x14ac:dyDescent="0.2">
      <c r="A3670" s="5">
        <v>3609</v>
      </c>
      <c r="B3670" s="138">
        <f>'Expenditures 15-22'!K350</f>
        <v>12717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12717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12717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35116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45972</v>
      </c>
      <c r="C3725" s="2" t="s">
        <v>594</v>
      </c>
      <c r="D3725" s="2" t="str">
        <f t="shared" si="57"/>
        <v>Error?</v>
      </c>
    </row>
    <row r="3726" spans="1:4" x14ac:dyDescent="0.2">
      <c r="A3726" s="5">
        <v>3665</v>
      </c>
      <c r="B3726" s="138">
        <f>'Tax Sched 23'!D13</f>
        <v>45972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46933</v>
      </c>
      <c r="C3728" s="2" t="s">
        <v>594</v>
      </c>
      <c r="D3728" s="2" t="str">
        <f t="shared" si="57"/>
        <v>Error?</v>
      </c>
    </row>
    <row r="3729" spans="1:4" x14ac:dyDescent="0.2">
      <c r="A3729" s="5">
        <v>3668</v>
      </c>
      <c r="B3729" s="138">
        <f>'Tax Sched 23'!E13</f>
        <v>46933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1613890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4950691</v>
      </c>
      <c r="C4122" s="2" t="s">
        <v>594</v>
      </c>
      <c r="D4122" s="2" t="str">
        <f t="shared" si="63"/>
        <v>Error?</v>
      </c>
    </row>
    <row r="4123" spans="1:4" x14ac:dyDescent="0.2">
      <c r="A4123" s="5">
        <v>4062</v>
      </c>
      <c r="B4123" s="138">
        <f>'Acct Summary 7-8'!D10</f>
        <v>337026</v>
      </c>
      <c r="C4123" s="2" t="s">
        <v>594</v>
      </c>
      <c r="D4123" s="2" t="str">
        <f t="shared" si="63"/>
        <v>Error?</v>
      </c>
    </row>
    <row r="4124" spans="1:4" x14ac:dyDescent="0.2">
      <c r="A4124" s="5">
        <v>4063</v>
      </c>
      <c r="B4124" s="138">
        <f>'Acct Summary 7-8'!E10</f>
        <v>350388</v>
      </c>
      <c r="C4124" s="2" t="s">
        <v>594</v>
      </c>
      <c r="D4124" s="2" t="str">
        <f t="shared" si="63"/>
        <v>Error?</v>
      </c>
    </row>
    <row r="4125" spans="1:4" x14ac:dyDescent="0.2">
      <c r="A4125" s="5">
        <v>4064</v>
      </c>
      <c r="B4125" s="138">
        <f>'Acct Summary 7-8'!F10</f>
        <v>327657</v>
      </c>
      <c r="C4125" s="2" t="s">
        <v>594</v>
      </c>
      <c r="D4125" s="2" t="str">
        <f t="shared" si="63"/>
        <v>Error?</v>
      </c>
    </row>
    <row r="4126" spans="1:4" x14ac:dyDescent="0.2">
      <c r="A4126" s="5">
        <v>4065</v>
      </c>
      <c r="B4126" s="138">
        <f>'Acct Summary 7-8'!G10</f>
        <v>121858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45991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47833</v>
      </c>
      <c r="C4130" s="2" t="s">
        <v>594</v>
      </c>
      <c r="D4130" s="2" t="str">
        <f t="shared" si="63"/>
        <v>Error?</v>
      </c>
    </row>
    <row r="4131" spans="1:4" x14ac:dyDescent="0.2">
      <c r="A4131" s="5">
        <v>4070</v>
      </c>
      <c r="B4131" s="138">
        <f>'Acct Summary 7-8'!C18</f>
        <v>1613890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4856932</v>
      </c>
      <c r="C4136" s="2" t="s">
        <v>594</v>
      </c>
      <c r="D4136" s="2" t="str">
        <f t="shared" si="63"/>
        <v>Error?</v>
      </c>
    </row>
    <row r="4137" spans="1:4" x14ac:dyDescent="0.2">
      <c r="A4137" s="5">
        <v>4076</v>
      </c>
      <c r="B4137" s="138">
        <f>'Acct Summary 7-8'!D19</f>
        <v>323630</v>
      </c>
      <c r="C4137" s="2" t="s">
        <v>594</v>
      </c>
      <c r="D4137" s="2" t="str">
        <f t="shared" si="63"/>
        <v>Error?</v>
      </c>
    </row>
    <row r="4138" spans="1:4" x14ac:dyDescent="0.2">
      <c r="A4138" s="5">
        <v>4077</v>
      </c>
      <c r="B4138" s="138">
        <f>'Acct Summary 7-8'!E19</f>
        <v>644225</v>
      </c>
      <c r="C4138" s="2" t="s">
        <v>594</v>
      </c>
      <c r="D4138" s="2" t="str">
        <f t="shared" si="63"/>
        <v>Error?</v>
      </c>
    </row>
    <row r="4139" spans="1:4" x14ac:dyDescent="0.2">
      <c r="A4139" s="5">
        <v>4078</v>
      </c>
      <c r="B4139" s="138">
        <f>'Acct Summary 7-8'!F19</f>
        <v>305082</v>
      </c>
      <c r="C4139" s="2" t="s">
        <v>594</v>
      </c>
      <c r="D4139" s="2" t="str">
        <f t="shared" si="63"/>
        <v>Error?</v>
      </c>
    </row>
    <row r="4140" spans="1:4" x14ac:dyDescent="0.2">
      <c r="A4140" s="5">
        <v>4079</v>
      </c>
      <c r="B4140" s="138">
        <f>'Acct Summary 7-8'!G19</f>
        <v>124831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12717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5260000</v>
      </c>
      <c r="C4171" s="2" t="s">
        <v>594</v>
      </c>
      <c r="D4171" s="2" t="str">
        <f t="shared" si="64"/>
        <v>Error?</v>
      </c>
    </row>
    <row r="4172" spans="1:4" x14ac:dyDescent="0.2">
      <c r="A4172" s="5">
        <v>4111</v>
      </c>
      <c r="B4172" s="138">
        <f>'Short-Term Long-Term Debt 24'!J49</f>
        <v>5260000</v>
      </c>
      <c r="C4172" s="2" t="s">
        <v>594</v>
      </c>
      <c r="D4172" s="2" t="str">
        <f t="shared" si="64"/>
        <v>Error?</v>
      </c>
    </row>
    <row r="4173" spans="1:4" x14ac:dyDescent="0.2">
      <c r="A4173" s="5">
        <v>4112</v>
      </c>
      <c r="B4173" s="138">
        <f>'Short-Term Long-Term Debt 24'!H49</f>
        <v>445000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93668</v>
      </c>
      <c r="D4210" s="2" t="str">
        <f t="shared" si="64"/>
        <v>Error?</v>
      </c>
    </row>
    <row r="4211" spans="1:4" x14ac:dyDescent="0.2">
      <c r="A4211" s="5">
        <v>4150</v>
      </c>
      <c r="B4211" s="138">
        <f>'Expenditures 15-22'!K206</f>
        <v>93668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1620</v>
      </c>
      <c r="C4265" s="2" t="s">
        <v>594</v>
      </c>
      <c r="D4265" s="2" t="str">
        <f t="shared" si="65"/>
        <v>Error?</v>
      </c>
      <c r="E4265" s="128"/>
    </row>
    <row r="4266" spans="1:5" x14ac:dyDescent="0.2">
      <c r="A4266" s="12">
        <v>4205</v>
      </c>
      <c r="B4266" s="138">
        <f>('FP Info 3'!F10)*100000</f>
        <v>350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2090</v>
      </c>
      <c r="C4268" s="2" t="s">
        <v>594</v>
      </c>
      <c r="D4268" s="2" t="str">
        <f t="shared" si="65"/>
        <v>Error?</v>
      </c>
    </row>
    <row r="4269" spans="1:5" x14ac:dyDescent="0.2">
      <c r="A4269" s="12">
        <v>4208</v>
      </c>
      <c r="B4269" s="138">
        <f>'FP Info 3'!J16</f>
        <v>1113482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52190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28649</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28649</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3135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6599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8132</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93865437</v>
      </c>
      <c r="D4995" s="2" t="str">
        <f t="shared" si="77"/>
        <v>Error?</v>
      </c>
    </row>
    <row r="4996" spans="1:4" x14ac:dyDescent="0.2">
      <c r="A4996" s="12">
        <v>4935</v>
      </c>
      <c r="B4996" s="138">
        <f>'FP Info 3'!H31</f>
        <v>6476715.1530000009</v>
      </c>
      <c r="D4996" s="2" t="str">
        <f t="shared" si="77"/>
        <v>Error?</v>
      </c>
    </row>
    <row r="4997" spans="1:4" x14ac:dyDescent="0.2">
      <c r="A4997" s="12">
        <v>4936</v>
      </c>
      <c r="B4997" s="138">
        <f>'FP Info 3'!H37</f>
        <v>5260000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45972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1489492</v>
      </c>
      <c r="D5061" s="2" t="str">
        <f t="shared" si="78"/>
        <v>Error?</v>
      </c>
    </row>
    <row r="5062" spans="1:4" x14ac:dyDescent="0.2">
      <c r="A5062" s="10">
        <v>5001</v>
      </c>
      <c r="D5062" s="2" t="str">
        <f t="shared" si="78"/>
        <v>OK</v>
      </c>
    </row>
    <row r="5063" spans="1:4" x14ac:dyDescent="0.2">
      <c r="A5063" s="5">
        <v>5002</v>
      </c>
      <c r="B5063" s="138">
        <f>'Revenues 9-14'!C7</f>
        <v>18389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1553853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57563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57563</v>
      </c>
      <c r="C5071" s="2" t="s">
        <v>594</v>
      </c>
      <c r="D5071" s="2" t="str">
        <f t="shared" si="78"/>
        <v>Error?</v>
      </c>
    </row>
    <row r="5072" spans="1:4" x14ac:dyDescent="0.2">
      <c r="A5072" s="5">
        <v>5011</v>
      </c>
      <c r="B5072" s="138">
        <f>'Revenues 9-14'!C20</f>
        <v>51105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73139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124244</v>
      </c>
      <c r="C5087" s="2" t="s">
        <v>594</v>
      </c>
      <c r="D5087" s="2" t="str">
        <f t="shared" si="78"/>
        <v>Error?</v>
      </c>
    </row>
    <row r="5088" spans="1:4" x14ac:dyDescent="0.2">
      <c r="A5088" s="5">
        <v>5027</v>
      </c>
      <c r="B5088" s="138">
        <f>'Revenues 9-14'!C65</f>
        <v>733</v>
      </c>
      <c r="D5088" s="2" t="str">
        <f t="shared" si="78"/>
        <v>Error?</v>
      </c>
    </row>
    <row r="5089" spans="1:4" x14ac:dyDescent="0.2">
      <c r="A5089" s="5">
        <v>5028</v>
      </c>
      <c r="B5089" s="138">
        <f>'Revenues 9-14'!C66</f>
        <v>22761</v>
      </c>
      <c r="D5089" s="2" t="str">
        <f t="shared" si="78"/>
        <v>Error?</v>
      </c>
    </row>
    <row r="5090" spans="1:4" x14ac:dyDescent="0.2">
      <c r="A5090" s="5">
        <v>5029</v>
      </c>
      <c r="B5090" s="138">
        <f>'Revenues 9-14'!C67</f>
        <v>23494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4665</v>
      </c>
      <c r="D5094" s="2" t="str">
        <f t="shared" si="78"/>
        <v>Error?</v>
      </c>
    </row>
    <row r="5095" spans="1:4" x14ac:dyDescent="0.2">
      <c r="A5095" s="5">
        <v>5034</v>
      </c>
      <c r="B5095" s="138">
        <f>'Revenues 9-14'!C74</f>
        <v>414</v>
      </c>
      <c r="D5095" s="2" t="str">
        <f t="shared" si="78"/>
        <v>Error?</v>
      </c>
    </row>
    <row r="5096" spans="1:4" x14ac:dyDescent="0.2">
      <c r="A5096" s="5">
        <v>5035</v>
      </c>
      <c r="B5096" s="138">
        <f>'Revenues 9-14'!C75</f>
        <v>48217</v>
      </c>
      <c r="C5096" s="2" t="s">
        <v>594</v>
      </c>
      <c r="D5096" s="2" t="str">
        <f t="shared" si="78"/>
        <v>Error?</v>
      </c>
    </row>
    <row r="5097" spans="1:4" x14ac:dyDescent="0.2">
      <c r="A5097" s="5">
        <v>5036</v>
      </c>
      <c r="B5097" s="138">
        <f>'Revenues 9-14'!C77</f>
        <v>3825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10350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3173</v>
      </c>
      <c r="D5101" s="2" t="str">
        <f t="shared" si="78"/>
        <v>Error?</v>
      </c>
    </row>
    <row r="5102" spans="1:4" x14ac:dyDescent="0.2">
      <c r="A5102" s="5">
        <v>5041</v>
      </c>
      <c r="B5102" s="138">
        <f>'Revenues 9-14'!C82</f>
        <v>17348</v>
      </c>
      <c r="C5102" s="2" t="s">
        <v>594</v>
      </c>
      <c r="D5102" s="2" t="str">
        <f t="shared" si="78"/>
        <v>Error?</v>
      </c>
    </row>
    <row r="5103" spans="1:4" x14ac:dyDescent="0.2">
      <c r="A5103" s="5">
        <v>5042</v>
      </c>
      <c r="B5103" s="138">
        <f>'Revenues 9-14'!C84</f>
        <v>29515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29515</v>
      </c>
      <c r="C5112" s="2" t="s">
        <v>594</v>
      </c>
      <c r="D5112" s="2" t="str">
        <f t="shared" si="78"/>
        <v>Error?</v>
      </c>
    </row>
    <row r="5113" spans="1:4" x14ac:dyDescent="0.2">
      <c r="A5113" s="5">
        <v>5052</v>
      </c>
      <c r="B5113" s="138">
        <f>'Revenues 9-14'!C95</f>
        <v>7625</v>
      </c>
      <c r="D5113" s="2" t="str">
        <f t="shared" si="78"/>
        <v>Error?</v>
      </c>
    </row>
    <row r="5114" spans="1:4" x14ac:dyDescent="0.2">
      <c r="A5114" s="5">
        <v>5053</v>
      </c>
      <c r="B5114" s="138">
        <f>'Revenues 9-14'!C96</f>
        <v>6024</v>
      </c>
      <c r="D5114" s="2" t="str">
        <f t="shared" si="78"/>
        <v>Error?</v>
      </c>
    </row>
    <row r="5115" spans="1:4" x14ac:dyDescent="0.2">
      <c r="A5115" s="5">
        <v>5054</v>
      </c>
      <c r="B5115" s="138">
        <f>'Revenues 9-14'!C98</f>
        <v>294746</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2359</v>
      </c>
      <c r="D5119" s="2" t="str">
        <f t="shared" ref="D5119:D5182" si="79">IF(ISBLANK(B5119),"OK",IF(A5119-B5119=0,"OK","Error?"))</f>
        <v>Error?</v>
      </c>
    </row>
    <row r="5120" spans="1:4" x14ac:dyDescent="0.2">
      <c r="A5120" s="5">
        <v>5059</v>
      </c>
      <c r="B5120" s="138">
        <f>'Revenues 9-14'!C108</f>
        <v>772179</v>
      </c>
      <c r="C5120" s="2" t="s">
        <v>594</v>
      </c>
      <c r="D5120" s="2" t="str">
        <f t="shared" si="79"/>
        <v>Error?</v>
      </c>
    </row>
    <row r="5121" spans="1:4" x14ac:dyDescent="0.2">
      <c r="A5121" s="5">
        <v>5060</v>
      </c>
      <c r="B5121" s="138">
        <f>'Revenues 9-14'!C109</f>
        <v>2626413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318133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318133</v>
      </c>
      <c r="C5132" s="2" t="s">
        <v>594</v>
      </c>
      <c r="D5132" s="2" t="str">
        <f t="shared" si="79"/>
        <v>Error?</v>
      </c>
    </row>
    <row r="5133" spans="1:4" x14ac:dyDescent="0.2">
      <c r="A5133" s="5">
        <v>5072</v>
      </c>
      <c r="B5133" s="138">
        <f>'Revenues 9-14'!C124</f>
        <v>23704</v>
      </c>
      <c r="D5133" s="2" t="str">
        <f t="shared" si="79"/>
        <v>Error?</v>
      </c>
    </row>
    <row r="5134" spans="1:4" x14ac:dyDescent="0.2">
      <c r="A5134" s="5">
        <v>5073</v>
      </c>
      <c r="B5134" s="138">
        <f>'Revenues 9-14'!C125</f>
        <v>19973</v>
      </c>
      <c r="D5134" s="2" t="str">
        <f t="shared" si="79"/>
        <v>Error?</v>
      </c>
    </row>
    <row r="5135" spans="1:4" x14ac:dyDescent="0.2">
      <c r="A5135" s="5">
        <v>5074</v>
      </c>
      <c r="B5135" s="138">
        <f>'Revenues 9-14'!C126</f>
        <v>55239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197</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99113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515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100378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418511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42784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42784</v>
      </c>
      <c r="C5246" s="2" t="s">
        <v>594</v>
      </c>
      <c r="D5246" s="2" t="str">
        <f t="shared" si="80"/>
        <v>Error?</v>
      </c>
    </row>
    <row r="5247" spans="1:4" x14ac:dyDescent="0.2">
      <c r="A5247" s="5">
        <v>5186</v>
      </c>
      <c r="B5247" s="138">
        <f>'Revenues 9-14'!C203</f>
        <v>33005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3135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33005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125515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125515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291877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291877</v>
      </c>
      <c r="C5326" s="2" t="s">
        <v>594</v>
      </c>
      <c r="D5326" s="2" t="str">
        <f t="shared" si="82"/>
        <v>Error?</v>
      </c>
    </row>
    <row r="5327" spans="1:4" x14ac:dyDescent="0.2">
      <c r="A5327" s="5">
        <v>5266</v>
      </c>
      <c r="B5327" s="138">
        <f>'Revenues 9-14'!C275</f>
        <v>3336801</v>
      </c>
      <c r="C5327" s="2" t="s">
        <v>594</v>
      </c>
      <c r="D5327" s="2" t="str">
        <f t="shared" si="82"/>
        <v>Error?</v>
      </c>
    </row>
    <row r="5328" spans="1:4" x14ac:dyDescent="0.2">
      <c r="A5328" s="5">
        <v>5267</v>
      </c>
      <c r="B5328" s="138">
        <f>'Revenues 9-14'!D5</f>
        <v>321804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321804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6807</v>
      </c>
      <c r="D5354" s="2" t="str">
        <f t="shared" si="82"/>
        <v>Error?</v>
      </c>
    </row>
    <row r="5355" spans="1:4" x14ac:dyDescent="0.2">
      <c r="A5355" s="5">
        <v>5294</v>
      </c>
      <c r="B5355" s="138">
        <f>'Revenues 9-14'!D108</f>
        <v>6957</v>
      </c>
      <c r="C5355" s="2" t="s">
        <v>594</v>
      </c>
      <c r="D5355" s="2" t="str">
        <f t="shared" si="82"/>
        <v>Error?</v>
      </c>
    </row>
    <row r="5356" spans="1:4" x14ac:dyDescent="0.2">
      <c r="A5356" s="5">
        <v>5295</v>
      </c>
      <c r="B5356" s="138">
        <f>'Revenues 9-14'!D109</f>
        <v>328894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8132</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8132</v>
      </c>
      <c r="C5507" s="2" t="s">
        <v>594</v>
      </c>
      <c r="D5507" s="2" t="str">
        <f t="shared" si="85"/>
        <v>Error?</v>
      </c>
    </row>
    <row r="5508" spans="1:4" x14ac:dyDescent="0.2">
      <c r="A5508" s="5">
        <v>5447</v>
      </c>
      <c r="B5508" s="138">
        <f>'Revenues 9-14'!D275</f>
        <v>337026</v>
      </c>
      <c r="C5508" s="2" t="s">
        <v>594</v>
      </c>
      <c r="D5508" s="2" t="str">
        <f t="shared" si="85"/>
        <v>Error?</v>
      </c>
    </row>
    <row r="5509" spans="1:4" x14ac:dyDescent="0.2">
      <c r="A5509" s="5">
        <v>5448</v>
      </c>
      <c r="B5509" s="138">
        <f>'Revenues 9-14'!E5</f>
        <v>349581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349581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807</v>
      </c>
      <c r="D5520" s="2" t="str">
        <f t="shared" si="85"/>
        <v>Error?</v>
      </c>
    </row>
    <row r="5521" spans="1:4" x14ac:dyDescent="0.2">
      <c r="A5521" s="5">
        <v>5460</v>
      </c>
      <c r="B5521" s="138">
        <f>'Revenues 9-14'!E67</f>
        <v>807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350388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350388</v>
      </c>
      <c r="C5552" s="2" t="s">
        <v>594</v>
      </c>
      <c r="D5552" s="2" t="str">
        <f t="shared" si="85"/>
        <v>Error?</v>
      </c>
    </row>
    <row r="5553" spans="1:4" x14ac:dyDescent="0.2">
      <c r="A5553" s="5">
        <v>5492</v>
      </c>
      <c r="B5553" s="138">
        <f>'Revenues 9-14'!F5</f>
        <v>110333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110333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4622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2750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7372</v>
      </c>
      <c r="C5579" s="2" t="s">
        <v>594</v>
      </c>
      <c r="D5579" s="2" t="str">
        <f t="shared" si="86"/>
        <v>Error?</v>
      </c>
    </row>
    <row r="5580" spans="1:4" x14ac:dyDescent="0.2">
      <c r="A5580" s="5">
        <v>5519</v>
      </c>
      <c r="B5580" s="138">
        <f>'Revenues 9-14'!F65</f>
        <v>46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3002</v>
      </c>
      <c r="D5586" s="2" t="str">
        <f t="shared" si="86"/>
        <v>Error?</v>
      </c>
    </row>
    <row r="5587" spans="1:4" x14ac:dyDescent="0.2">
      <c r="A5587" s="5">
        <v>5526</v>
      </c>
      <c r="B5587" s="138">
        <f>'Revenues 9-14'!F108</f>
        <v>3002</v>
      </c>
      <c r="C5587" s="2" t="s">
        <v>594</v>
      </c>
      <c r="D5587" s="2" t="str">
        <f t="shared" si="86"/>
        <v>Error?</v>
      </c>
    </row>
    <row r="5588" spans="1:4" x14ac:dyDescent="0.2">
      <c r="A5588" s="5">
        <v>5527</v>
      </c>
      <c r="B5588" s="138">
        <f>'Revenues 9-14'!F109</f>
        <v>120753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147482</v>
      </c>
      <c r="D5615" s="2" t="str">
        <f t="shared" si="86"/>
        <v>Error?</v>
      </c>
    </row>
    <row r="5616" spans="1:4" x14ac:dyDescent="0.2">
      <c r="A5616" s="10">
        <v>5555</v>
      </c>
      <c r="D5616" s="2" t="str">
        <f t="shared" si="86"/>
        <v>OK</v>
      </c>
    </row>
    <row r="5617" spans="1:4" x14ac:dyDescent="0.2">
      <c r="A5617" s="5">
        <v>5556</v>
      </c>
      <c r="B5617" s="138">
        <f>'Revenues 9-14'!F152</f>
        <v>59422</v>
      </c>
      <c r="D5617" s="2" t="str">
        <f t="shared" si="86"/>
        <v>Error?</v>
      </c>
    </row>
    <row r="5618" spans="1:4" x14ac:dyDescent="0.2">
      <c r="A5618" s="5">
        <v>5557</v>
      </c>
      <c r="B5618" s="138">
        <f>'Revenues 9-14'!F154</f>
        <v>206904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206904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206904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327657</v>
      </c>
      <c r="C5720" s="2" t="s">
        <v>594</v>
      </c>
      <c r="D5720" s="2" t="str">
        <f t="shared" si="88"/>
        <v>Error?</v>
      </c>
    </row>
    <row r="5721" spans="1:4" x14ac:dyDescent="0.2">
      <c r="A5721" s="5">
        <v>5660</v>
      </c>
      <c r="B5721" s="138">
        <f>'Revenues 9-14'!G5</f>
        <v>46800</v>
      </c>
      <c r="D5721" s="2" t="str">
        <f t="shared" si="88"/>
        <v>Error?</v>
      </c>
    </row>
    <row r="5722" spans="1:4" x14ac:dyDescent="0.2">
      <c r="A5722" s="5">
        <v>5661</v>
      </c>
      <c r="B5722" s="138">
        <f>'Revenues 9-14'!G7</f>
        <v>0</v>
      </c>
      <c r="D5722" s="2" t="str">
        <f t="shared" si="88"/>
        <v>Error?</v>
      </c>
    </row>
    <row r="5723" spans="1:4" x14ac:dyDescent="0.2">
      <c r="A5723" s="5">
        <v>5662</v>
      </c>
      <c r="B5723" s="138">
        <f>'Revenues 9-14'!G8</f>
        <v>73997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120797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1061</v>
      </c>
      <c r="D5732" s="2" t="str">
        <f t="shared" si="88"/>
        <v>Error?</v>
      </c>
    </row>
    <row r="5733" spans="1:4" x14ac:dyDescent="0.2">
      <c r="A5733" s="5">
        <v>5672</v>
      </c>
      <c r="B5733" s="138">
        <f>'Revenues 9-14'!G67</f>
        <v>1061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121858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45972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45972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45991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45972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45972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1861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1861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47833</v>
      </c>
      <c r="C6023" s="2" t="s">
        <v>594</v>
      </c>
      <c r="D6023" s="2" t="str">
        <f t="shared" si="93"/>
        <v>Error?</v>
      </c>
    </row>
    <row r="6024" spans="1:5" x14ac:dyDescent="0.2">
      <c r="A6024" s="5">
        <v>5963</v>
      </c>
      <c r="B6024" s="138">
        <f>'Revenues 9-14'!G109</f>
        <v>121858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45991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47833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43138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9801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314.55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309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309</v>
      </c>
      <c r="D6215" s="2" t="str">
        <f t="shared" si="96"/>
        <v>Error?</v>
      </c>
      <c r="E6215" s="2" t="s">
        <v>199</v>
      </c>
    </row>
    <row r="6216" spans="1:5" x14ac:dyDescent="0.2">
      <c r="A6216">
        <v>6155</v>
      </c>
      <c r="B6216" s="138">
        <f>'Assets-Liab 5-6'!J41</f>
        <v>309</v>
      </c>
      <c r="D6216" s="2" t="str">
        <f t="shared" si="96"/>
        <v>Error?</v>
      </c>
      <c r="E6216" s="2" t="s">
        <v>199</v>
      </c>
    </row>
    <row r="6217" spans="1:5" x14ac:dyDescent="0.2">
      <c r="A6217">
        <v>6156</v>
      </c>
      <c r="B6217" s="138">
        <f>'Assets-Liab 5-6'!J4</f>
        <v>309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107264</v>
      </c>
      <c r="D6220" s="2" t="str">
        <f t="shared" si="96"/>
        <v>Error?</v>
      </c>
      <c r="E6220" s="2" t="s">
        <v>199</v>
      </c>
    </row>
    <row r="6221" spans="1:5" x14ac:dyDescent="0.2">
      <c r="A6221">
        <v>6160</v>
      </c>
      <c r="B6221" s="138">
        <f>'Acct Summary 7-8'!J6</f>
        <v>1000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108264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108264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112069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112069</v>
      </c>
      <c r="D6229" s="2" t="str">
        <f t="shared" si="96"/>
        <v>Error?</v>
      </c>
      <c r="E6229" s="2" t="s">
        <v>199</v>
      </c>
    </row>
    <row r="6230" spans="1:5" x14ac:dyDescent="0.2">
      <c r="A6230">
        <v>6169</v>
      </c>
      <c r="B6230" s="138">
        <f>'Acct Summary 7-8'!J20</f>
        <v>-3805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293837</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-3805</v>
      </c>
      <c r="D6263" s="2" t="str">
        <f t="shared" si="96"/>
        <v>Error?</v>
      </c>
      <c r="E6263" s="2" t="s">
        <v>199</v>
      </c>
    </row>
    <row r="6264" spans="1:5" x14ac:dyDescent="0.2">
      <c r="A6264">
        <v>6203</v>
      </c>
      <c r="B6264" s="138">
        <f>'Acct Summary 7-8'!J79</f>
        <v>4114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309</v>
      </c>
      <c r="D6266" s="2" t="str">
        <f t="shared" si="96"/>
        <v>Error?</v>
      </c>
      <c r="E6266" s="2" t="s">
        <v>199</v>
      </c>
    </row>
    <row r="6267" spans="1:5" x14ac:dyDescent="0.2">
      <c r="A6267">
        <v>6206</v>
      </c>
      <c r="B6267" s="138">
        <f>'Acct Summary 7-8'!C82</f>
        <v>-154087</v>
      </c>
      <c r="D6267" s="2" t="str">
        <f t="shared" si="96"/>
        <v>Error?</v>
      </c>
      <c r="E6267" s="2" t="s">
        <v>199</v>
      </c>
    </row>
    <row r="6268" spans="1:5" x14ac:dyDescent="0.2">
      <c r="A6268">
        <v>6207</v>
      </c>
      <c r="B6268" s="138">
        <f>'Acct Summary 7-8'!D82</f>
        <v>13396</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24575</v>
      </c>
      <c r="D6270" s="2" t="str">
        <f t="shared" si="96"/>
        <v>Error?</v>
      </c>
      <c r="E6270" s="2" t="s">
        <v>199</v>
      </c>
    </row>
    <row r="6271" spans="1:5" x14ac:dyDescent="0.2">
      <c r="A6271">
        <v>6210</v>
      </c>
      <c r="B6271" s="138">
        <f>'Acct Summary 7-8'!G82</f>
        <v>-2973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-3805</v>
      </c>
      <c r="D6274" s="2" t="str">
        <f t="shared" si="97"/>
        <v>Error?</v>
      </c>
      <c r="E6274" s="2" t="s">
        <v>199</v>
      </c>
    </row>
    <row r="6275" spans="1:5" x14ac:dyDescent="0.2">
      <c r="A6275">
        <v>6214</v>
      </c>
      <c r="B6275" s="138">
        <f>'Acct Summary 7-8'!K82</f>
        <v>35116</v>
      </c>
      <c r="D6275" s="2" t="str">
        <f t="shared" si="97"/>
        <v>Error?</v>
      </c>
      <c r="E6275" s="2" t="s">
        <v>199</v>
      </c>
    </row>
    <row r="6276" spans="1:5" x14ac:dyDescent="0.2">
      <c r="A6276">
        <v>6215</v>
      </c>
      <c r="B6276" s="138">
        <f>'Acct Summary 7-8'!C83</f>
        <v>-0.2325437848524407</v>
      </c>
      <c r="D6276" s="2" t="str">
        <f t="shared" si="97"/>
        <v>Error?</v>
      </c>
      <c r="E6276" s="2" t="s">
        <v>199</v>
      </c>
    </row>
    <row r="6277" spans="1:5" x14ac:dyDescent="0.2">
      <c r="A6277">
        <v>6216</v>
      </c>
      <c r="B6277" s="138">
        <f>'Acct Summary 7-8'!D83</f>
        <v>6.5891796972991051E-2</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9.9267260183225348E-2</v>
      </c>
      <c r="D6279" s="2" t="str">
        <f t="shared" si="97"/>
        <v>Error?</v>
      </c>
      <c r="E6279" s="2" t="s">
        <v>199</v>
      </c>
    </row>
    <row r="6280" spans="1:5" x14ac:dyDescent="0.2">
      <c r="A6280">
        <v>6219</v>
      </c>
      <c r="B6280" s="138">
        <f>'Acct Summary 7-8'!G83</f>
        <v>-9.5665604788106956E-2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-12.313915857605178</v>
      </c>
      <c r="D6283" s="2" t="str">
        <f t="shared" si="97"/>
        <v>Error?</v>
      </c>
      <c r="E6283" s="2" t="s">
        <v>199</v>
      </c>
    </row>
    <row r="6284" spans="1:5" x14ac:dyDescent="0.2">
      <c r="A6284">
        <v>6223</v>
      </c>
      <c r="B6284" s="138">
        <f>'Acct Summary 7-8'!K83</f>
        <v>0.31245328682777523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293837</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106986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106986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278</v>
      </c>
      <c r="D6317" s="2" t="str">
        <f t="shared" si="97"/>
        <v>Error?</v>
      </c>
      <c r="E6317" s="2" t="s">
        <v>199</v>
      </c>
    </row>
    <row r="6318" spans="1:5" x14ac:dyDescent="0.2">
      <c r="A6318">
        <v>6257</v>
      </c>
      <c r="B6318" s="138">
        <f>'Revenues 9-14'!J67</f>
        <v>278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461425</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107264</v>
      </c>
      <c r="D6352" s="2" t="str">
        <f t="shared" si="98"/>
        <v>Error?</v>
      </c>
      <c r="E6352" s="2" t="s">
        <v>199</v>
      </c>
    </row>
    <row r="6353" spans="1:5" x14ac:dyDescent="0.2">
      <c r="A6353">
        <v>6292</v>
      </c>
      <c r="B6353" s="138">
        <f>'Revenues 9-14'!J117</f>
        <v>1000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1000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1000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71510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79530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106243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66550</v>
      </c>
      <c r="D6880" s="2" t="str">
        <f t="shared" si="106"/>
        <v>Error?</v>
      </c>
    </row>
    <row r="6881" spans="1:4" x14ac:dyDescent="0.2">
      <c r="A6881">
        <v>6820</v>
      </c>
      <c r="B6881" s="138">
        <f>'Expenditures 15-22'!K22</f>
        <v>66550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112069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108264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4331</v>
      </c>
      <c r="D7067" s="2" t="str">
        <f t="shared" si="109"/>
        <v>Error?</v>
      </c>
    </row>
    <row r="7068" spans="1:4" x14ac:dyDescent="0.2">
      <c r="A7068">
        <v>7007</v>
      </c>
      <c r="B7068" s="138">
        <f>'Expenditures 15-22'!K205</f>
        <v>4331</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3410</v>
      </c>
      <c r="D7073" s="2" t="str">
        <f t="shared" si="109"/>
        <v>Error?</v>
      </c>
    </row>
    <row r="7074" spans="1:4" x14ac:dyDescent="0.2">
      <c r="A7074">
        <v>7013</v>
      </c>
      <c r="B7074" s="138">
        <f>'Expenditures 15-22'!K216</f>
        <v>3410</v>
      </c>
      <c r="D7074" s="2" t="str">
        <f t="shared" si="109"/>
        <v>Error?</v>
      </c>
    </row>
    <row r="7075" spans="1:4" x14ac:dyDescent="0.2">
      <c r="A7075">
        <v>7014</v>
      </c>
      <c r="B7075" s="138">
        <f>'Expenditures 15-22'!D218</f>
        <v>4345</v>
      </c>
      <c r="D7075" s="2" t="str">
        <f t="shared" si="109"/>
        <v>Error?</v>
      </c>
    </row>
    <row r="7076" spans="1:4" x14ac:dyDescent="0.2">
      <c r="A7076">
        <v>7015</v>
      </c>
      <c r="B7076" s="138">
        <f>'Expenditures 15-22'!K218</f>
        <v>4345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4420</v>
      </c>
      <c r="D7093" s="2" t="str">
        <f t="shared" si="109"/>
        <v>Error?</v>
      </c>
    </row>
    <row r="7094" spans="1:4" x14ac:dyDescent="0.2">
      <c r="A7094">
        <v>7033</v>
      </c>
      <c r="B7094" s="138">
        <f>'Expenditures 15-22'!K254</f>
        <v>4420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23259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23259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9952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9952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1312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1312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47275</v>
      </c>
      <c r="D7172" s="2" t="str">
        <f t="shared" si="111"/>
        <v>Error?</v>
      </c>
    </row>
    <row r="7173" spans="1:4" x14ac:dyDescent="0.2">
      <c r="A7173">
        <v>7112</v>
      </c>
      <c r="B7173" s="138">
        <f>'Expenditures 15-22'!D325</f>
        <v>7263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54538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969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969</v>
      </c>
      <c r="D7198" s="2" t="str">
        <f t="shared" si="111"/>
        <v>Error?</v>
      </c>
    </row>
    <row r="7199" spans="1:4" x14ac:dyDescent="0.2">
      <c r="A7199">
        <v>7138</v>
      </c>
      <c r="B7199" s="138">
        <f>'Expenditures 15-22'!C330</f>
        <v>47275</v>
      </c>
      <c r="D7199" s="2" t="str">
        <f t="shared" si="111"/>
        <v>Error?</v>
      </c>
    </row>
    <row r="7200" spans="1:4" x14ac:dyDescent="0.2">
      <c r="A7200">
        <v>7139</v>
      </c>
      <c r="B7200" s="138">
        <f>'Expenditures 15-22'!D330</f>
        <v>7263</v>
      </c>
      <c r="D7200" s="2" t="str">
        <f t="shared" si="111"/>
        <v>Error?</v>
      </c>
    </row>
    <row r="7201" spans="1:4" x14ac:dyDescent="0.2">
      <c r="A7201">
        <v>7140</v>
      </c>
      <c r="B7201" s="138">
        <f>'Expenditures 15-22'!E330</f>
        <v>57531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112069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47275</v>
      </c>
      <c r="D7216" s="2" t="str">
        <f t="shared" si="111"/>
        <v>Error?</v>
      </c>
    </row>
    <row r="7217" spans="1:4" x14ac:dyDescent="0.2">
      <c r="A7217">
        <v>7156</v>
      </c>
      <c r="B7217" s="138">
        <f>'Expenditures 15-22'!D342</f>
        <v>7263</v>
      </c>
      <c r="D7217" s="2" t="str">
        <f t="shared" si="111"/>
        <v>Error?</v>
      </c>
    </row>
    <row r="7218" spans="1:4" x14ac:dyDescent="0.2">
      <c r="A7218">
        <v>7157</v>
      </c>
      <c r="B7218" s="138">
        <f>'Expenditures 15-22'!E342</f>
        <v>57531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112069</v>
      </c>
      <c r="D7224" s="2" t="str">
        <f t="shared" si="111"/>
        <v>Error?</v>
      </c>
    </row>
    <row r="7225" spans="1:4" x14ac:dyDescent="0.2">
      <c r="A7225">
        <v>7164</v>
      </c>
      <c r="B7225" s="138">
        <f>'Expenditures 15-22'!K343</f>
        <v>-3805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7433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587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88727</v>
      </c>
      <c r="D7251" s="2" t="str">
        <f t="shared" si="112"/>
        <v>Error?</v>
      </c>
    </row>
    <row r="7252" spans="1:4" x14ac:dyDescent="0.2">
      <c r="A7252">
        <f t="shared" si="113"/>
        <v>7191</v>
      </c>
      <c r="B7252" s="138">
        <f>'Expenditures 15-22'!D9</f>
        <v>15224</v>
      </c>
      <c r="D7252" s="2" t="str">
        <f t="shared" si="112"/>
        <v>Error?</v>
      </c>
    </row>
    <row r="7253" spans="1:4" x14ac:dyDescent="0.2">
      <c r="A7253">
        <f t="shared" si="113"/>
        <v>7192</v>
      </c>
      <c r="B7253" s="138">
        <f>'Expenditures 15-22'!E9</f>
        <v>50</v>
      </c>
      <c r="D7253" s="2" t="str">
        <f t="shared" si="112"/>
        <v>Error?</v>
      </c>
    </row>
    <row r="7254" spans="1:4" x14ac:dyDescent="0.2">
      <c r="A7254">
        <f t="shared" si="113"/>
        <v>7193</v>
      </c>
      <c r="B7254" s="138">
        <f>'Expenditures 15-22'!F9</f>
        <v>2242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362955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22039</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22039</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18389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31487</v>
      </c>
      <c r="D7797" s="2" t="str">
        <f t="shared" si="127"/>
        <v>Error?</v>
      </c>
      <c r="E7797" s="4" t="s">
        <v>2020</v>
      </c>
    </row>
    <row r="7798" spans="1:5" x14ac:dyDescent="0.2">
      <c r="A7798">
        <v>7737</v>
      </c>
      <c r="B7798" s="138">
        <f>'Contracts Paid in CY 29'!F141</f>
        <v>31487</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Wallace CCSD 195</v>
      </c>
      <c r="B7" s="2404"/>
      <c r="C7" s="2404"/>
      <c r="D7" s="2441"/>
      <c r="E7" s="2442">
        <f>COVER!A13</f>
        <v>35050195004</v>
      </c>
      <c r="F7" s="2443"/>
      <c r="G7" s="2410" t="str">
        <f>COVER!T23</f>
        <v>066-004501</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HOPKINS &amp; ASSOCIATES, CPAS</v>
      </c>
      <c r="H9" s="2417"/>
      <c r="I9" s="2417"/>
      <c r="J9" s="2417"/>
      <c r="K9" s="2417"/>
      <c r="L9" s="2418"/>
    </row>
    <row r="10" spans="1:29" ht="13.5" customHeight="1" x14ac:dyDescent="0.2">
      <c r="A10" s="2400" t="str">
        <f>COVER!A38</f>
        <v xml:space="preserve">MICHAEL MATTESON </v>
      </c>
      <c r="B10" s="2401"/>
      <c r="C10" s="2401"/>
      <c r="D10" s="2401"/>
      <c r="E10" s="2401"/>
      <c r="F10" s="2402"/>
      <c r="G10" s="2416" t="str">
        <f>COVER!T17</f>
        <v xml:space="preserve">314 MCCOY ST </v>
      </c>
      <c r="H10" s="2429"/>
      <c r="I10" s="2429"/>
      <c r="J10" s="2429"/>
      <c r="K10" s="2429"/>
      <c r="L10" s="2430"/>
    </row>
    <row r="11" spans="1:29" ht="13.5" customHeight="1" x14ac:dyDescent="0.2">
      <c r="A11" s="1185" t="s">
        <v>1599</v>
      </c>
      <c r="B11" s="1186"/>
      <c r="C11" s="1187"/>
      <c r="D11" s="1192"/>
      <c r="E11" s="1187"/>
      <c r="F11" s="1191"/>
      <c r="G11" s="2416" t="str">
        <f>COVER!T19</f>
        <v>GRANVILLE</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KIM@HOPKINSOFFICECOM</v>
      </c>
      <c r="J13" s="2438"/>
      <c r="K13" s="2438"/>
      <c r="L13" s="2439"/>
    </row>
    <row r="14" spans="1:29" ht="13.5" customHeight="1" x14ac:dyDescent="0.2">
      <c r="A14" s="2416" t="str">
        <f>COVER!A19</f>
        <v>1463 N 3RD ROAD</v>
      </c>
      <c r="B14" s="2429"/>
      <c r="C14" s="2429"/>
      <c r="D14" s="2429"/>
      <c r="E14" s="2429"/>
      <c r="F14" s="2430"/>
      <c r="G14" s="1196" t="s">
        <v>1247</v>
      </c>
      <c r="H14" s="1194"/>
      <c r="I14" s="1194"/>
      <c r="J14" s="1194"/>
      <c r="K14" s="1194"/>
      <c r="L14" s="1195"/>
    </row>
    <row r="15" spans="1:29" ht="13.5" customHeight="1" x14ac:dyDescent="0.2">
      <c r="A15" s="2416" t="str">
        <f>COVER!A21</f>
        <v>OTTAWA</v>
      </c>
      <c r="B15" s="2429"/>
      <c r="C15" s="2429"/>
      <c r="D15" s="2429"/>
      <c r="E15" s="2429"/>
      <c r="F15" s="2430"/>
      <c r="G15" s="2426" t="str">
        <f>COVER!T15</f>
        <v xml:space="preserve">JOEL HOPKINS </v>
      </c>
      <c r="H15" s="2427"/>
      <c r="I15" s="2427"/>
      <c r="J15" s="2427"/>
      <c r="K15" s="2427"/>
      <c r="L15" s="2428"/>
    </row>
    <row r="16" spans="1:29" ht="12.2" customHeight="1" x14ac:dyDescent="0.2">
      <c r="A16" s="2406">
        <f>COVER!A25</f>
        <v>61350</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815-339-6630</v>
      </c>
      <c r="H18" s="2404"/>
      <c r="I18" s="2404"/>
      <c r="J18" s="2404"/>
      <c r="K18" s="2403" t="str">
        <f>COVER!X21</f>
        <v>815-339-6643</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Wallace CCSD 195</v>
      </c>
      <c r="B1" s="2440"/>
      <c r="C1" s="2440"/>
      <c r="D1" s="2440"/>
    </row>
    <row r="2" spans="1:11" s="1215" customFormat="1" ht="12.75" x14ac:dyDescent="0.2">
      <c r="A2" s="2445">
        <f>'Single Audit Cover'!E7</f>
        <v>35050195004</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Wallace CCSD 195</v>
      </c>
      <c r="B1" s="2448"/>
      <c r="C1" s="2448"/>
      <c r="D1" s="2448"/>
      <c r="E1" s="2448"/>
    </row>
    <row r="2" spans="1:5" x14ac:dyDescent="0.2">
      <c r="A2" s="2449">
        <f>'Single Audit Cover'!E7</f>
        <v>35050195004</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300009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9801</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-52190</v>
      </c>
    </row>
    <row r="19" spans="1:4" ht="13.5" thickBot="1" x14ac:dyDescent="0.25">
      <c r="A19" s="1265" t="s">
        <v>1297</v>
      </c>
      <c r="D19" s="1266">
        <f>SUM(D10:D17)</f>
        <v>257620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257620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257620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Wallace CCSD 195</v>
      </c>
      <c r="B1" s="2453"/>
      <c r="C1" s="2453"/>
      <c r="D1" s="2453"/>
      <c r="E1" s="2453"/>
      <c r="F1" s="2453"/>
    </row>
    <row r="2" spans="1:7" ht="13.5" customHeight="1" x14ac:dyDescent="0.2">
      <c r="A2" s="2454">
        <f>'Single Audit Cover'!E7</f>
        <v>35050195004</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62">
        <f>+C33+C34</f>
        <v>0</v>
      </c>
      <c r="F34" s="246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70"/>
      <c r="C50" s="1870"/>
      <c r="D50" s="1870"/>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Wallace CCSD 195</v>
      </c>
      <c r="C1" s="2465"/>
      <c r="D1" s="2465"/>
      <c r="E1" s="2465"/>
      <c r="F1" s="2465"/>
      <c r="G1" s="2465"/>
      <c r="H1" s="2465"/>
      <c r="I1" s="2465"/>
      <c r="J1" s="2465"/>
      <c r="K1" s="2465"/>
      <c r="L1" s="2465"/>
      <c r="M1" s="2465"/>
    </row>
    <row r="2" spans="2:14" ht="15" x14ac:dyDescent="0.2">
      <c r="B2" s="2454">
        <f>'Single Audit Cover'!E7</f>
        <v>35050195004</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Wallace CCSD 195</v>
      </c>
      <c r="C1" s="2473"/>
      <c r="D1" s="2473"/>
      <c r="E1" s="2473"/>
      <c r="F1" s="2473"/>
      <c r="G1" s="2473"/>
      <c r="H1" s="2473"/>
      <c r="I1" s="2473"/>
      <c r="J1" s="1422"/>
    </row>
    <row r="2" spans="2:10" s="317" customFormat="1" ht="12.75" customHeight="1" x14ac:dyDescent="0.2">
      <c r="B2" s="2474">
        <f>'Single Audit Cover'!E7</f>
        <v>35050195004</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1952</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Wallace CCSD 195</v>
      </c>
      <c r="C1" s="2472"/>
      <c r="D1" s="2472"/>
      <c r="E1" s="2472"/>
      <c r="F1" s="2472"/>
      <c r="G1" s="2472"/>
      <c r="H1" s="2472"/>
      <c r="I1" s="2472"/>
      <c r="J1" s="2472"/>
      <c r="K1" s="2472"/>
      <c r="L1" s="1374"/>
      <c r="M1" s="1374"/>
    </row>
    <row r="2" spans="1:13" ht="12" customHeight="1" x14ac:dyDescent="0.2">
      <c r="B2" s="2474">
        <f>'Single Audit Cover'!E7</f>
        <v>35050195004</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Wallace CCSD 195</v>
      </c>
      <c r="C1" s="2499"/>
      <c r="D1" s="2499"/>
      <c r="E1" s="2499"/>
      <c r="F1" s="2499"/>
      <c r="G1" s="2499"/>
      <c r="H1" s="2499"/>
      <c r="I1" s="2499"/>
      <c r="J1" s="2499"/>
      <c r="K1" s="2499"/>
      <c r="L1" s="1465"/>
    </row>
    <row r="2" spans="1:12" ht="12.75" customHeight="1" x14ac:dyDescent="0.2">
      <c r="B2" s="2500">
        <f>'Single Audit Cover'!E7</f>
        <v>35050195004</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Wallace CCSD 195</v>
      </c>
      <c r="C1" s="2472"/>
      <c r="D1" s="2472"/>
      <c r="E1" s="1491"/>
    </row>
    <row r="2" spans="2:5" s="1282" customFormat="1" ht="12.75" customHeight="1" x14ac:dyDescent="0.2">
      <c r="B2" s="2474">
        <f>'Single Audit Cover'!E7</f>
        <v>35050195004</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2018-09-10T16:29:26Z</cp:lastPrinted>
  <dcterms:created xsi:type="dcterms:W3CDTF">2003-10-29T19:06:34Z</dcterms:created>
  <dcterms:modified xsi:type="dcterms:W3CDTF">2018-09-26T18:21:06Z</dcterms:modified>
</cp:coreProperties>
</file>