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1557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AUDITCHECK" sheetId="36" r:id="rId24"/>
    <sheet name="Single Audit Cover" sheetId="169" r:id="rId25"/>
    <sheet name="Single Audit Checklist" sheetId="170" r:id="rId26"/>
    <sheet name="SEFA Reconcile" sheetId="171" r:id="rId27"/>
    <sheet name="SEFA NOTES" sheetId="173" r:id="rId28"/>
    <sheet name=" SEFA" sheetId="179" r:id="rId29"/>
    <sheet name=" SEFA (2)" sheetId="186" r:id="rId30"/>
    <sheet name="SF&amp;QC Sec-1" sheetId="174" r:id="rId31"/>
    <sheet name="SF&amp;QC Sec-2" sheetId="175" r:id="rId32"/>
    <sheet name="SF&amp;QC Sec-3" sheetId="176" r:id="rId33"/>
    <sheet name="SSPAF" sheetId="177" r:id="rId34"/>
    <sheet name="CAP" sheetId="187" r:id="rId35"/>
    <sheet name="Data" sheetId="184" r:id="rId36"/>
  </sheets>
  <externalReferences>
    <externalReference r:id="rId37"/>
    <externalReference r:id="rId38"/>
  </externalReference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34">#REF!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34">#REF!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34">#REF!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34">#REF!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34">#REF!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I20" i="179" l="1"/>
  <c r="L20" i="179" s="1"/>
  <c r="I22" i="186"/>
  <c r="K27" i="179"/>
  <c r="K27" i="186" s="1"/>
  <c r="J27" i="186"/>
  <c r="G27" i="186"/>
  <c r="J27" i="179"/>
  <c r="H27" i="179"/>
  <c r="H27" i="186" s="1"/>
  <c r="G27" i="179"/>
  <c r="E27" i="179"/>
  <c r="E27" i="186" s="1"/>
  <c r="F20" i="179"/>
  <c r="F27" i="179" s="1"/>
  <c r="F27" i="186" s="1"/>
  <c r="J22" i="186"/>
  <c r="H22" i="186"/>
  <c r="G22" i="186"/>
  <c r="E22" i="186"/>
  <c r="F22" i="186"/>
  <c r="L11" i="179"/>
  <c r="L12" i="179"/>
  <c r="L13" i="179"/>
  <c r="L14" i="179"/>
  <c r="L15" i="179"/>
  <c r="L16" i="179"/>
  <c r="L17" i="179"/>
  <c r="L18" i="179"/>
  <c r="L19" i="179"/>
  <c r="L21" i="179"/>
  <c r="L22" i="179"/>
  <c r="L23" i="179"/>
  <c r="L24" i="179"/>
  <c r="L25" i="179"/>
  <c r="L26" i="179"/>
  <c r="L11" i="186"/>
  <c r="L12" i="186"/>
  <c r="L13" i="186"/>
  <c r="L14" i="186"/>
  <c r="L15" i="186"/>
  <c r="L16" i="186"/>
  <c r="L17" i="186"/>
  <c r="L18" i="186"/>
  <c r="L19" i="186"/>
  <c r="L20" i="186"/>
  <c r="L21" i="186"/>
  <c r="L23" i="186"/>
  <c r="L24" i="186"/>
  <c r="L25" i="186"/>
  <c r="L26" i="186"/>
  <c r="L22" i="186" l="1"/>
  <c r="I27" i="179"/>
  <c r="I27" i="186" s="1"/>
  <c r="L27" i="186" s="1"/>
  <c r="C4" i="3"/>
  <c r="C27" i="3" l="1"/>
  <c r="C5" i="3" l="1"/>
  <c r="F1146" i="184"/>
  <c r="F1147" i="184"/>
  <c r="F1145" i="184"/>
  <c r="F24" i="184" l="1"/>
  <c r="F709" i="184"/>
  <c r="D1233" i="184" l="1"/>
  <c r="C16" i="187"/>
  <c r="B12" i="187"/>
  <c r="B10" i="187"/>
  <c r="B9" i="187"/>
  <c r="B4" i="186"/>
  <c r="L33" i="3" l="1"/>
  <c r="G4" i="3" l="1"/>
  <c r="I7" i="184"/>
  <c r="A99" i="184" l="1"/>
  <c r="D213" i="5" s="1"/>
  <c r="D117" i="5"/>
  <c r="J171" i="5"/>
  <c r="H171" i="5"/>
  <c r="F171" i="5"/>
  <c r="D171" i="5"/>
  <c r="D169" i="5"/>
  <c r="K166" i="5"/>
  <c r="H170" i="5"/>
  <c r="F168" i="5"/>
  <c r="F158" i="5"/>
  <c r="F157" i="5"/>
  <c r="F156" i="5"/>
  <c r="D165" i="5"/>
  <c r="D163" i="5"/>
  <c r="D156" i="5"/>
  <c r="F153" i="5"/>
  <c r="D152" i="5"/>
  <c r="K149" i="5"/>
  <c r="J149" i="5"/>
  <c r="H149" i="5"/>
  <c r="F149" i="5"/>
  <c r="K148" i="5"/>
  <c r="J148" i="5"/>
  <c r="I148" i="5"/>
  <c r="H148" i="5"/>
  <c r="F148" i="5"/>
  <c r="D149" i="5"/>
  <c r="D148" i="5"/>
  <c r="D147" i="5"/>
  <c r="D146" i="5"/>
  <c r="D139" i="5"/>
  <c r="D138" i="5"/>
  <c r="D137" i="5"/>
  <c r="D136" i="5"/>
  <c r="D135" i="5"/>
  <c r="D134" i="5"/>
  <c r="D133" i="5"/>
  <c r="F130" i="5"/>
  <c r="F129" i="5"/>
  <c r="F128" i="5"/>
  <c r="F127" i="5"/>
  <c r="F126" i="5"/>
  <c r="F125" i="5"/>
  <c r="F124" i="5"/>
  <c r="D130" i="5"/>
  <c r="D126" i="5"/>
  <c r="K120" i="5"/>
  <c r="J120" i="5"/>
  <c r="K119" i="5"/>
  <c r="J119" i="5"/>
  <c r="K118" i="5"/>
  <c r="J118" i="5"/>
  <c r="K117" i="5"/>
  <c r="J117" i="5"/>
  <c r="H120" i="5"/>
  <c r="F120" i="5"/>
  <c r="D120" i="5"/>
  <c r="H119" i="5"/>
  <c r="F119" i="5"/>
  <c r="D119" i="5"/>
  <c r="H118" i="5"/>
  <c r="F118" i="5"/>
  <c r="D118" i="5"/>
  <c r="H117" i="5"/>
  <c r="F117" i="5"/>
  <c r="F113" i="5"/>
  <c r="F112" i="5"/>
  <c r="F111" i="5"/>
  <c r="D113" i="5"/>
  <c r="D112" i="5"/>
  <c r="D111" i="5"/>
  <c r="K106" i="5"/>
  <c r="J106" i="5"/>
  <c r="K107" i="5"/>
  <c r="I107" i="5"/>
  <c r="H107" i="5"/>
  <c r="H106" i="5"/>
  <c r="F106" i="5"/>
  <c r="D106" i="5"/>
  <c r="H104" i="5"/>
  <c r="F104" i="5"/>
  <c r="D104" i="5"/>
  <c r="H103" i="5"/>
  <c r="K102" i="5"/>
  <c r="J102" i="5"/>
  <c r="I102" i="5"/>
  <c r="H102" i="5"/>
  <c r="F102" i="5"/>
  <c r="D100" i="5"/>
  <c r="D99" i="5"/>
  <c r="D98" i="5"/>
  <c r="D97" i="5"/>
  <c r="D96" i="5"/>
  <c r="I100" i="5"/>
  <c r="H100" i="5"/>
  <c r="F100" i="5"/>
  <c r="H99" i="5"/>
  <c r="F98" i="5"/>
  <c r="K97" i="5"/>
  <c r="J97" i="5"/>
  <c r="I97" i="5"/>
  <c r="H97" i="5"/>
  <c r="F97" i="5"/>
  <c r="K96" i="5"/>
  <c r="J96" i="5"/>
  <c r="I96" i="5"/>
  <c r="F96" i="5"/>
  <c r="D102" i="5"/>
  <c r="D81" i="5"/>
  <c r="D80" i="5"/>
  <c r="D79" i="5"/>
  <c r="D78" i="5"/>
  <c r="D77" i="5"/>
  <c r="K66" i="5"/>
  <c r="J66" i="5"/>
  <c r="I66" i="5"/>
  <c r="H66" i="5"/>
  <c r="F66" i="5"/>
  <c r="D66" i="5"/>
  <c r="H65" i="5"/>
  <c r="F62" i="5"/>
  <c r="F61" i="5"/>
  <c r="F60" i="5"/>
  <c r="F59" i="5"/>
  <c r="F58" i="5"/>
  <c r="F57" i="5"/>
  <c r="F56" i="5"/>
  <c r="F55" i="5"/>
  <c r="F54" i="5"/>
  <c r="F53" i="5"/>
  <c r="F52" i="5"/>
  <c r="F51" i="5"/>
  <c r="F50" i="5"/>
  <c r="F49" i="5"/>
  <c r="F48" i="5"/>
  <c r="F47" i="5"/>
  <c r="F46" i="5"/>
  <c r="F45" i="5"/>
  <c r="F44" i="5"/>
  <c r="F42" i="5"/>
  <c r="K17" i="5"/>
  <c r="J17" i="5"/>
  <c r="I17" i="5"/>
  <c r="H17" i="5"/>
  <c r="F17" i="5"/>
  <c r="K16" i="5"/>
  <c r="J16" i="5"/>
  <c r="I16" i="5"/>
  <c r="H16" i="5"/>
  <c r="K15" i="5"/>
  <c r="J15" i="5"/>
  <c r="I15" i="5"/>
  <c r="H15" i="5"/>
  <c r="F15" i="5"/>
  <c r="D15" i="5"/>
  <c r="K14" i="5"/>
  <c r="J14" i="5"/>
  <c r="I14" i="5"/>
  <c r="H14" i="5"/>
  <c r="F14" i="5"/>
  <c r="D14" i="5"/>
  <c r="H9" i="5"/>
  <c r="H7" i="5"/>
  <c r="F7" i="5"/>
  <c r="D9" i="5"/>
  <c r="K11" i="5"/>
  <c r="J11" i="5"/>
  <c r="I11" i="5"/>
  <c r="H11" i="5"/>
  <c r="F11" i="5"/>
  <c r="D11" i="5"/>
  <c r="K99" i="5"/>
  <c r="J99" i="5"/>
  <c r="K100" i="5"/>
  <c r="J100" i="5"/>
  <c r="D7" i="5"/>
  <c r="D6" i="5"/>
  <c r="I4" i="184"/>
  <c r="I5" i="184"/>
  <c r="I6" i="184"/>
  <c r="I8" i="184"/>
  <c r="I9" i="184"/>
  <c r="I10" i="184"/>
  <c r="I11" i="184"/>
  <c r="I12" i="184"/>
  <c r="I13" i="184"/>
  <c r="I14" i="184"/>
  <c r="I15" i="184"/>
  <c r="C16" i="5" s="1"/>
  <c r="I16" i="184"/>
  <c r="I17" i="184"/>
  <c r="I18" i="184"/>
  <c r="C24" i="5" s="1"/>
  <c r="I19" i="184"/>
  <c r="I20" i="184"/>
  <c r="I21" i="184"/>
  <c r="C33" i="5" s="1"/>
  <c r="I22" i="184"/>
  <c r="I23" i="184"/>
  <c r="I24" i="184"/>
  <c r="C65" i="5" s="1"/>
  <c r="I25" i="184"/>
  <c r="I26" i="184"/>
  <c r="I27" i="184"/>
  <c r="C69" i="5" s="1"/>
  <c r="I28" i="184"/>
  <c r="I29" i="184"/>
  <c r="I30" i="184"/>
  <c r="C70" i="5" s="1"/>
  <c r="I31" i="184"/>
  <c r="I32" i="184"/>
  <c r="I33" i="184"/>
  <c r="C71" i="5" s="1"/>
  <c r="I34" i="184"/>
  <c r="I35" i="184"/>
  <c r="I36" i="184"/>
  <c r="C72" i="5" s="1"/>
  <c r="I37" i="184"/>
  <c r="I38" i="184"/>
  <c r="I39" i="184"/>
  <c r="C73" i="5" s="1"/>
  <c r="I40" i="184"/>
  <c r="I41" i="184"/>
  <c r="I42" i="184"/>
  <c r="I43" i="184"/>
  <c r="C74" i="5" s="1"/>
  <c r="I44" i="184"/>
  <c r="I45" i="184"/>
  <c r="I46" i="184"/>
  <c r="I47" i="184"/>
  <c r="I48" i="184"/>
  <c r="I49" i="184"/>
  <c r="I50" i="184"/>
  <c r="I51" i="184"/>
  <c r="I52" i="184"/>
  <c r="I53" i="184"/>
  <c r="I54" i="184"/>
  <c r="I55" i="184"/>
  <c r="I56" i="184"/>
  <c r="I57" i="184"/>
  <c r="I58" i="184"/>
  <c r="C96" i="5" s="1"/>
  <c r="I59" i="184"/>
  <c r="I60" i="184"/>
  <c r="I61" i="184"/>
  <c r="C99" i="5" s="1"/>
  <c r="I62" i="184"/>
  <c r="I63" i="184"/>
  <c r="I64" i="184"/>
  <c r="C104" i="5" s="1"/>
  <c r="I65" i="184"/>
  <c r="I66" i="184"/>
  <c r="I67" i="184"/>
  <c r="C98" i="5" s="1"/>
  <c r="I68" i="184"/>
  <c r="C107" i="5" s="1"/>
  <c r="I69" i="184"/>
  <c r="I70" i="184"/>
  <c r="I71" i="184"/>
  <c r="I72" i="184"/>
  <c r="C117" i="5" s="1"/>
  <c r="I73" i="184"/>
  <c r="I74" i="184"/>
  <c r="I75" i="184"/>
  <c r="C124" i="5" s="1"/>
  <c r="I76" i="184"/>
  <c r="I77" i="184"/>
  <c r="I78" i="184"/>
  <c r="C125" i="5" s="1"/>
  <c r="I79" i="184"/>
  <c r="I80" i="184"/>
  <c r="I81" i="184"/>
  <c r="C126" i="5" s="1"/>
  <c r="I82" i="184"/>
  <c r="I83" i="184"/>
  <c r="I84" i="184"/>
  <c r="C127" i="5" s="1"/>
  <c r="I85" i="184"/>
  <c r="I86" i="184"/>
  <c r="I87" i="184"/>
  <c r="C129" i="5" s="1"/>
  <c r="I88" i="184"/>
  <c r="I89" i="184"/>
  <c r="I90" i="184"/>
  <c r="C145" i="5" s="1"/>
  <c r="I91" i="184"/>
  <c r="I92" i="184"/>
  <c r="I93" i="184"/>
  <c r="I94" i="184"/>
  <c r="I95" i="184"/>
  <c r="I96" i="184"/>
  <c r="C158" i="5" s="1"/>
  <c r="I97" i="184"/>
  <c r="I98" i="184"/>
  <c r="I99" i="184"/>
  <c r="I100" i="184"/>
  <c r="I101" i="184"/>
  <c r="I102" i="184"/>
  <c r="I103" i="184"/>
  <c r="I104" i="184"/>
  <c r="I105" i="184"/>
  <c r="I106" i="184"/>
  <c r="I107" i="184"/>
  <c r="I108" i="184"/>
  <c r="I109" i="184"/>
  <c r="I110" i="184"/>
  <c r="I111" i="184"/>
  <c r="I112" i="184"/>
  <c r="I113" i="184"/>
  <c r="I114" i="184"/>
  <c r="I115" i="184"/>
  <c r="I116" i="184"/>
  <c r="I117" i="184"/>
  <c r="I118" i="184"/>
  <c r="I119" i="184"/>
  <c r="I120" i="184"/>
  <c r="I121" i="184"/>
  <c r="I122" i="184"/>
  <c r="I123" i="184"/>
  <c r="I124" i="184"/>
  <c r="I125" i="184"/>
  <c r="I126" i="184"/>
  <c r="I127" i="184"/>
  <c r="I128" i="184"/>
  <c r="I129" i="184"/>
  <c r="I130" i="184"/>
  <c r="I131" i="184"/>
  <c r="I132" i="184"/>
  <c r="I133" i="184"/>
  <c r="I134" i="184"/>
  <c r="I135" i="184"/>
  <c r="I136" i="184"/>
  <c r="I137" i="184"/>
  <c r="I138" i="184"/>
  <c r="I139" i="184"/>
  <c r="I140" i="184"/>
  <c r="I141" i="184"/>
  <c r="I142" i="184"/>
  <c r="I143" i="184"/>
  <c r="I144" i="184"/>
  <c r="I145" i="184"/>
  <c r="I146" i="184"/>
  <c r="I147" i="184"/>
  <c r="I148" i="184"/>
  <c r="I149" i="184"/>
  <c r="I150" i="184"/>
  <c r="I151" i="184"/>
  <c r="I152" i="184"/>
  <c r="I153" i="184"/>
  <c r="I154" i="184"/>
  <c r="I155" i="184"/>
  <c r="I156" i="184"/>
  <c r="I157" i="184"/>
  <c r="I158" i="184"/>
  <c r="I159" i="184"/>
  <c r="I160" i="184"/>
  <c r="I161" i="184"/>
  <c r="I162" i="184"/>
  <c r="I163" i="184"/>
  <c r="I164" i="184"/>
  <c r="I165" i="184"/>
  <c r="I166" i="184"/>
  <c r="I167" i="184"/>
  <c r="I168" i="184"/>
  <c r="I169" i="184"/>
  <c r="I170" i="184"/>
  <c r="I171" i="184"/>
  <c r="I172" i="184"/>
  <c r="I173" i="184"/>
  <c r="I174" i="184"/>
  <c r="I175" i="184"/>
  <c r="I176" i="184"/>
  <c r="I177" i="184"/>
  <c r="I178" i="184"/>
  <c r="I179" i="184"/>
  <c r="I180" i="184"/>
  <c r="I181" i="184"/>
  <c r="I182" i="184"/>
  <c r="I183" i="184"/>
  <c r="I184" i="184"/>
  <c r="I185" i="184"/>
  <c r="I186" i="184"/>
  <c r="I187" i="184"/>
  <c r="I188" i="184"/>
  <c r="I189" i="184"/>
  <c r="I190" i="184"/>
  <c r="I191" i="184"/>
  <c r="I192" i="184"/>
  <c r="I193" i="184"/>
  <c r="I194" i="184"/>
  <c r="I195" i="184"/>
  <c r="I196" i="184"/>
  <c r="I197" i="184"/>
  <c r="I198" i="184"/>
  <c r="I199" i="184"/>
  <c r="I200" i="184"/>
  <c r="I201" i="184"/>
  <c r="I202" i="184"/>
  <c r="I203" i="184"/>
  <c r="I204" i="184"/>
  <c r="I205" i="184"/>
  <c r="I206" i="184"/>
  <c r="I207" i="184"/>
  <c r="I208" i="184"/>
  <c r="I209" i="184"/>
  <c r="I210" i="184"/>
  <c r="I211" i="184"/>
  <c r="I212" i="184"/>
  <c r="I213" i="184"/>
  <c r="I214" i="184"/>
  <c r="I215" i="184"/>
  <c r="I216" i="184"/>
  <c r="I217" i="184"/>
  <c r="I218" i="184"/>
  <c r="I219" i="184"/>
  <c r="I220" i="184"/>
  <c r="I221" i="184"/>
  <c r="I222" i="184"/>
  <c r="I223" i="184"/>
  <c r="I224" i="184"/>
  <c r="I225" i="184"/>
  <c r="I226" i="184"/>
  <c r="I227" i="184"/>
  <c r="I228" i="184"/>
  <c r="I229" i="184"/>
  <c r="I230" i="184"/>
  <c r="I231" i="184"/>
  <c r="I232" i="184"/>
  <c r="I233" i="184"/>
  <c r="I234" i="184"/>
  <c r="I235" i="184"/>
  <c r="I236" i="184"/>
  <c r="I237" i="184"/>
  <c r="I238" i="184"/>
  <c r="I239" i="184"/>
  <c r="I240" i="184"/>
  <c r="I241" i="184"/>
  <c r="I242" i="184"/>
  <c r="I243" i="184"/>
  <c r="I244" i="184"/>
  <c r="I245" i="184"/>
  <c r="I246" i="184"/>
  <c r="I247" i="184"/>
  <c r="I248" i="184"/>
  <c r="I249" i="184"/>
  <c r="I250" i="184"/>
  <c r="I251" i="184"/>
  <c r="I252" i="184"/>
  <c r="I253" i="184"/>
  <c r="I254" i="184"/>
  <c r="I255" i="184"/>
  <c r="I256" i="184"/>
  <c r="I257" i="184"/>
  <c r="I258" i="184"/>
  <c r="I259" i="184"/>
  <c r="I260" i="184"/>
  <c r="I261" i="184"/>
  <c r="I262" i="184"/>
  <c r="I263" i="184"/>
  <c r="I264" i="184"/>
  <c r="I265" i="184"/>
  <c r="I266" i="184"/>
  <c r="I267" i="184"/>
  <c r="I268" i="184"/>
  <c r="I269" i="184"/>
  <c r="I270" i="184"/>
  <c r="I271" i="184"/>
  <c r="I272" i="184"/>
  <c r="I273" i="184"/>
  <c r="I274" i="184"/>
  <c r="I275" i="184"/>
  <c r="I276" i="184"/>
  <c r="I277" i="184"/>
  <c r="I278" i="184"/>
  <c r="I279" i="184"/>
  <c r="I280" i="184"/>
  <c r="I281" i="184"/>
  <c r="I282" i="184"/>
  <c r="I283" i="184"/>
  <c r="I284" i="184"/>
  <c r="I285" i="184"/>
  <c r="I286" i="184"/>
  <c r="I287" i="184"/>
  <c r="I288" i="184"/>
  <c r="I289" i="184"/>
  <c r="I290" i="184"/>
  <c r="I291" i="184"/>
  <c r="I292" i="184"/>
  <c r="I293" i="184"/>
  <c r="I294" i="184"/>
  <c r="I295" i="184"/>
  <c r="I296" i="184"/>
  <c r="I297" i="184"/>
  <c r="I298" i="184"/>
  <c r="I299" i="184"/>
  <c r="I300" i="184"/>
  <c r="I301" i="184"/>
  <c r="I302" i="184"/>
  <c r="I303" i="184"/>
  <c r="I304" i="184"/>
  <c r="I305" i="184"/>
  <c r="I306" i="184"/>
  <c r="I307" i="184"/>
  <c r="I308" i="184"/>
  <c r="I309" i="184"/>
  <c r="I310" i="184"/>
  <c r="I311" i="184"/>
  <c r="I312" i="184"/>
  <c r="I313" i="184"/>
  <c r="I314" i="184"/>
  <c r="I315" i="184"/>
  <c r="I316" i="184"/>
  <c r="I317" i="184"/>
  <c r="I318" i="184"/>
  <c r="I319" i="184"/>
  <c r="I320" i="184"/>
  <c r="I321" i="184"/>
  <c r="I322" i="184"/>
  <c r="I323" i="184"/>
  <c r="I324" i="184"/>
  <c r="I325" i="184"/>
  <c r="I326" i="184"/>
  <c r="I327" i="184"/>
  <c r="I328" i="184"/>
  <c r="I329" i="184"/>
  <c r="I330" i="184"/>
  <c r="I331" i="184"/>
  <c r="I332" i="184"/>
  <c r="I333" i="184"/>
  <c r="I334" i="184"/>
  <c r="I335" i="184"/>
  <c r="I336" i="184"/>
  <c r="I337" i="184"/>
  <c r="I338" i="184"/>
  <c r="I339" i="184"/>
  <c r="I340" i="184"/>
  <c r="I341" i="184"/>
  <c r="I342" i="184"/>
  <c r="I343" i="184"/>
  <c r="I344" i="184"/>
  <c r="I345" i="184"/>
  <c r="I346" i="184"/>
  <c r="I347" i="184"/>
  <c r="I348" i="184"/>
  <c r="I349" i="184"/>
  <c r="I350" i="184"/>
  <c r="I351" i="184"/>
  <c r="I352" i="184"/>
  <c r="I353" i="184"/>
  <c r="I354" i="184"/>
  <c r="I355" i="184"/>
  <c r="I356" i="184"/>
  <c r="I357" i="184"/>
  <c r="I358" i="184"/>
  <c r="I359" i="184"/>
  <c r="I360" i="184"/>
  <c r="I361" i="184"/>
  <c r="I362" i="184"/>
  <c r="I363" i="184"/>
  <c r="I364" i="184"/>
  <c r="I365" i="184"/>
  <c r="I366" i="184"/>
  <c r="I367" i="184"/>
  <c r="I368" i="184"/>
  <c r="I369" i="184"/>
  <c r="I370" i="184"/>
  <c r="I371" i="184"/>
  <c r="I372" i="184"/>
  <c r="I373" i="184"/>
  <c r="I374" i="184"/>
  <c r="I375" i="184"/>
  <c r="I376" i="184"/>
  <c r="I377" i="184"/>
  <c r="I378" i="184"/>
  <c r="I379" i="184"/>
  <c r="I380" i="184"/>
  <c r="I381" i="184"/>
  <c r="I382" i="184"/>
  <c r="I383" i="184"/>
  <c r="I384" i="184"/>
  <c r="I385" i="184"/>
  <c r="I386" i="184"/>
  <c r="I387" i="184"/>
  <c r="I388" i="184"/>
  <c r="I389" i="184"/>
  <c r="I390" i="184"/>
  <c r="I391" i="184"/>
  <c r="I392" i="184"/>
  <c r="I393" i="184"/>
  <c r="I394" i="184"/>
  <c r="I395" i="184"/>
  <c r="I396" i="184"/>
  <c r="I397" i="184"/>
  <c r="I398" i="184"/>
  <c r="I399" i="184"/>
  <c r="I400" i="184"/>
  <c r="I401" i="184"/>
  <c r="I402" i="184"/>
  <c r="I403" i="184"/>
  <c r="I404" i="184"/>
  <c r="I405" i="184"/>
  <c r="I406" i="184"/>
  <c r="I407" i="184"/>
  <c r="I408" i="184"/>
  <c r="I409" i="184"/>
  <c r="I410" i="184"/>
  <c r="I411" i="184"/>
  <c r="I412" i="184"/>
  <c r="I413" i="184"/>
  <c r="I414" i="184"/>
  <c r="I415" i="184"/>
  <c r="I416" i="184"/>
  <c r="I417" i="184"/>
  <c r="I418" i="184"/>
  <c r="I419" i="184"/>
  <c r="I420" i="184"/>
  <c r="I421" i="184"/>
  <c r="I422" i="184"/>
  <c r="I423" i="184"/>
  <c r="I424" i="184"/>
  <c r="I425" i="184"/>
  <c r="I426" i="184"/>
  <c r="I427" i="184"/>
  <c r="I428" i="184"/>
  <c r="I429" i="184"/>
  <c r="I430" i="184"/>
  <c r="I431" i="184"/>
  <c r="I432" i="184"/>
  <c r="I433" i="184"/>
  <c r="I434" i="184"/>
  <c r="I435" i="184"/>
  <c r="I436" i="184"/>
  <c r="I437" i="184"/>
  <c r="I438" i="184"/>
  <c r="I439" i="184"/>
  <c r="I440" i="184"/>
  <c r="I441" i="184"/>
  <c r="I442" i="184"/>
  <c r="I443" i="184"/>
  <c r="I444" i="184"/>
  <c r="I445" i="184"/>
  <c r="I446" i="184"/>
  <c r="I447" i="184"/>
  <c r="I448" i="184"/>
  <c r="I449" i="184"/>
  <c r="I450" i="184"/>
  <c r="I451" i="184"/>
  <c r="I452" i="184"/>
  <c r="I453" i="184"/>
  <c r="I454" i="184"/>
  <c r="I455" i="184"/>
  <c r="I456" i="184"/>
  <c r="I457" i="184"/>
  <c r="I458" i="184"/>
  <c r="I459" i="184"/>
  <c r="I460" i="184"/>
  <c r="I461" i="184"/>
  <c r="I462" i="184"/>
  <c r="I463" i="184"/>
  <c r="I464" i="184"/>
  <c r="I465" i="184"/>
  <c r="I466" i="184"/>
  <c r="I467" i="184"/>
  <c r="I468" i="184"/>
  <c r="I469" i="184"/>
  <c r="I470" i="184"/>
  <c r="I471" i="184"/>
  <c r="I472" i="184"/>
  <c r="I473" i="184"/>
  <c r="I474" i="184"/>
  <c r="I475" i="184"/>
  <c r="I476" i="184"/>
  <c r="I477" i="184"/>
  <c r="I478" i="184"/>
  <c r="I479" i="184"/>
  <c r="I480" i="184"/>
  <c r="I481" i="184"/>
  <c r="I482" i="184"/>
  <c r="I483" i="184"/>
  <c r="I484" i="184"/>
  <c r="I485" i="184"/>
  <c r="I486" i="184"/>
  <c r="I487" i="184"/>
  <c r="I488" i="184"/>
  <c r="I489" i="184"/>
  <c r="I490" i="184"/>
  <c r="I491" i="184"/>
  <c r="I492" i="184"/>
  <c r="I493" i="184"/>
  <c r="I494" i="184"/>
  <c r="I495" i="184"/>
  <c r="I496" i="184"/>
  <c r="I497" i="184"/>
  <c r="I498" i="184"/>
  <c r="I499" i="184"/>
  <c r="I500" i="184"/>
  <c r="I501" i="184"/>
  <c r="I502" i="184"/>
  <c r="I503" i="184"/>
  <c r="I504" i="184"/>
  <c r="I505" i="184"/>
  <c r="I506" i="184"/>
  <c r="I507" i="184"/>
  <c r="I508" i="184"/>
  <c r="I509" i="184"/>
  <c r="I510" i="184"/>
  <c r="I511" i="184"/>
  <c r="I512" i="184"/>
  <c r="I513" i="184"/>
  <c r="I514" i="184"/>
  <c r="I515" i="184"/>
  <c r="I516" i="184"/>
  <c r="I517" i="184"/>
  <c r="I518" i="184"/>
  <c r="I519" i="184"/>
  <c r="I520" i="184"/>
  <c r="I521" i="184"/>
  <c r="I522" i="184"/>
  <c r="I523" i="184"/>
  <c r="I524" i="184"/>
  <c r="I525" i="184"/>
  <c r="I526" i="184"/>
  <c r="I527" i="184"/>
  <c r="I528" i="184"/>
  <c r="I529" i="184"/>
  <c r="I530" i="184"/>
  <c r="I531" i="184"/>
  <c r="I532" i="184"/>
  <c r="I533" i="184"/>
  <c r="I534" i="184"/>
  <c r="I535" i="184"/>
  <c r="I536" i="184"/>
  <c r="I537" i="184"/>
  <c r="I538" i="184"/>
  <c r="I539" i="184"/>
  <c r="I540" i="184"/>
  <c r="I541" i="184"/>
  <c r="I542" i="184"/>
  <c r="I543" i="184"/>
  <c r="I544" i="184"/>
  <c r="I545" i="184"/>
  <c r="I546" i="184"/>
  <c r="I547" i="184"/>
  <c r="I548" i="184"/>
  <c r="I549" i="184"/>
  <c r="I550" i="184"/>
  <c r="I551" i="184"/>
  <c r="I552" i="184"/>
  <c r="I553" i="184"/>
  <c r="I554" i="184"/>
  <c r="I555" i="184"/>
  <c r="I556" i="184"/>
  <c r="I557" i="184"/>
  <c r="I558" i="184"/>
  <c r="I559" i="184"/>
  <c r="I560" i="184"/>
  <c r="I561" i="184"/>
  <c r="I562" i="184"/>
  <c r="I563" i="184"/>
  <c r="I564" i="184"/>
  <c r="I565" i="184"/>
  <c r="I566" i="184"/>
  <c r="I567" i="184"/>
  <c r="I568" i="184"/>
  <c r="I569" i="184"/>
  <c r="I570" i="184"/>
  <c r="I571" i="184"/>
  <c r="I572" i="184"/>
  <c r="I573" i="184"/>
  <c r="I574" i="184"/>
  <c r="I575" i="184"/>
  <c r="I576" i="184"/>
  <c r="I577" i="184"/>
  <c r="I578" i="184"/>
  <c r="I579" i="184"/>
  <c r="I580" i="184"/>
  <c r="I581" i="184"/>
  <c r="I582" i="184"/>
  <c r="I583" i="184"/>
  <c r="I584" i="184"/>
  <c r="I585" i="184"/>
  <c r="I586" i="184"/>
  <c r="I587" i="184"/>
  <c r="I588" i="184"/>
  <c r="I589" i="184"/>
  <c r="I590" i="184"/>
  <c r="I591" i="184"/>
  <c r="I592" i="184"/>
  <c r="I593" i="184"/>
  <c r="I594" i="184"/>
  <c r="I595" i="184"/>
  <c r="I596" i="184"/>
  <c r="I597" i="184"/>
  <c r="I598" i="184"/>
  <c r="I599" i="184"/>
  <c r="I600" i="184"/>
  <c r="I601" i="184"/>
  <c r="I602" i="184"/>
  <c r="I603" i="184"/>
  <c r="I604" i="184"/>
  <c r="I605" i="184"/>
  <c r="I606" i="184"/>
  <c r="I607" i="184"/>
  <c r="I608" i="184"/>
  <c r="I609" i="184"/>
  <c r="I610" i="184"/>
  <c r="I611" i="184"/>
  <c r="I612" i="184"/>
  <c r="I613" i="184"/>
  <c r="I614" i="184"/>
  <c r="I615" i="184"/>
  <c r="I616" i="184"/>
  <c r="I617" i="184"/>
  <c r="I618" i="184"/>
  <c r="I619" i="184"/>
  <c r="I620" i="184"/>
  <c r="I621" i="184"/>
  <c r="I622" i="184"/>
  <c r="I623" i="184"/>
  <c r="I624" i="184"/>
  <c r="I625" i="184"/>
  <c r="I626" i="184"/>
  <c r="I627" i="184"/>
  <c r="I628" i="184"/>
  <c r="I629" i="184"/>
  <c r="I630" i="184"/>
  <c r="I631" i="184"/>
  <c r="I632" i="184"/>
  <c r="I633" i="184"/>
  <c r="I634" i="184"/>
  <c r="I635" i="184"/>
  <c r="I636" i="184"/>
  <c r="I637" i="184"/>
  <c r="I638" i="184"/>
  <c r="I639" i="184"/>
  <c r="I640" i="184"/>
  <c r="I641" i="184"/>
  <c r="I642" i="184"/>
  <c r="I643" i="184"/>
  <c r="I644" i="184"/>
  <c r="I645" i="184"/>
  <c r="I646" i="184"/>
  <c r="I647" i="184"/>
  <c r="I648" i="184"/>
  <c r="I649" i="184"/>
  <c r="I650" i="184"/>
  <c r="I651" i="184"/>
  <c r="I652" i="184"/>
  <c r="I653" i="184"/>
  <c r="I654" i="184"/>
  <c r="I655" i="184"/>
  <c r="I656" i="184"/>
  <c r="I657" i="184"/>
  <c r="I658" i="184"/>
  <c r="I659" i="184"/>
  <c r="I660" i="184"/>
  <c r="I661" i="184"/>
  <c r="I662" i="184"/>
  <c r="I663" i="184"/>
  <c r="I664" i="184"/>
  <c r="I665" i="184"/>
  <c r="I666" i="184"/>
  <c r="I667" i="184"/>
  <c r="I668" i="184"/>
  <c r="I669" i="184"/>
  <c r="I670" i="184"/>
  <c r="I671" i="184"/>
  <c r="I672" i="184"/>
  <c r="I673" i="184"/>
  <c r="I674" i="184"/>
  <c r="I675" i="184"/>
  <c r="I676" i="184"/>
  <c r="I677" i="184"/>
  <c r="I678" i="184"/>
  <c r="I679" i="184"/>
  <c r="I680" i="184"/>
  <c r="I681" i="184"/>
  <c r="I682" i="184"/>
  <c r="I683" i="184"/>
  <c r="I684" i="184"/>
  <c r="I685" i="184"/>
  <c r="I686" i="184"/>
  <c r="I687" i="184"/>
  <c r="I688" i="184"/>
  <c r="I689" i="184"/>
  <c r="I690" i="184"/>
  <c r="I691" i="184"/>
  <c r="I692" i="184"/>
  <c r="I693" i="184"/>
  <c r="I694" i="184"/>
  <c r="I695" i="184"/>
  <c r="I696" i="184"/>
  <c r="I697" i="184"/>
  <c r="I698" i="184"/>
  <c r="I699" i="184"/>
  <c r="I700" i="184"/>
  <c r="I701" i="184"/>
  <c r="I702" i="184"/>
  <c r="I703" i="184"/>
  <c r="I704" i="184"/>
  <c r="I705" i="184"/>
  <c r="I706" i="184"/>
  <c r="I707" i="184"/>
  <c r="I708" i="184"/>
  <c r="I709" i="184"/>
  <c r="I710" i="184"/>
  <c r="I711" i="184"/>
  <c r="I712" i="184"/>
  <c r="I713" i="184"/>
  <c r="I714" i="184"/>
  <c r="I715" i="184"/>
  <c r="I716" i="184"/>
  <c r="I717" i="184"/>
  <c r="I718" i="184"/>
  <c r="I719" i="184"/>
  <c r="I720" i="184"/>
  <c r="I721" i="184"/>
  <c r="I722" i="184"/>
  <c r="I723" i="184"/>
  <c r="I724" i="184"/>
  <c r="I725" i="184"/>
  <c r="I726" i="184"/>
  <c r="I727" i="184"/>
  <c r="I728" i="184"/>
  <c r="I729" i="184"/>
  <c r="I730" i="184"/>
  <c r="I731" i="184"/>
  <c r="I732" i="184"/>
  <c r="I733" i="184"/>
  <c r="I734" i="184"/>
  <c r="I735" i="184"/>
  <c r="I736" i="184"/>
  <c r="I737" i="184"/>
  <c r="I738" i="184"/>
  <c r="I739" i="184"/>
  <c r="I740" i="184"/>
  <c r="I741" i="184"/>
  <c r="I742" i="184"/>
  <c r="I743" i="184"/>
  <c r="I744" i="184"/>
  <c r="I745" i="184"/>
  <c r="I746" i="184"/>
  <c r="I747" i="184"/>
  <c r="I748" i="184"/>
  <c r="I749" i="184"/>
  <c r="I750" i="184"/>
  <c r="I751" i="184"/>
  <c r="I752" i="184"/>
  <c r="I753" i="184"/>
  <c r="I754" i="184"/>
  <c r="I755" i="184"/>
  <c r="I756" i="184"/>
  <c r="I757" i="184"/>
  <c r="I758" i="184"/>
  <c r="I759" i="184"/>
  <c r="I760" i="184"/>
  <c r="I761" i="184"/>
  <c r="I762" i="184"/>
  <c r="I763" i="184"/>
  <c r="I764" i="184"/>
  <c r="I765" i="184"/>
  <c r="I766" i="184"/>
  <c r="I767" i="184"/>
  <c r="I768" i="184"/>
  <c r="I769" i="184"/>
  <c r="I770" i="184"/>
  <c r="I771" i="184"/>
  <c r="I772" i="184"/>
  <c r="I773" i="184"/>
  <c r="I774" i="184"/>
  <c r="I775" i="184"/>
  <c r="I776" i="184"/>
  <c r="I777" i="184"/>
  <c r="I778" i="184"/>
  <c r="I779" i="184"/>
  <c r="I780" i="184"/>
  <c r="I781" i="184"/>
  <c r="I782" i="184"/>
  <c r="I783" i="184"/>
  <c r="I784" i="184"/>
  <c r="I785" i="184"/>
  <c r="I786" i="184"/>
  <c r="I787" i="184"/>
  <c r="I788" i="184"/>
  <c r="I789" i="184"/>
  <c r="I790" i="184"/>
  <c r="I791" i="184"/>
  <c r="I792" i="184"/>
  <c r="I793" i="184"/>
  <c r="I794" i="184"/>
  <c r="I795" i="184"/>
  <c r="I796" i="184"/>
  <c r="I797" i="184"/>
  <c r="I798" i="184"/>
  <c r="I799" i="184"/>
  <c r="I800" i="184"/>
  <c r="I801" i="184"/>
  <c r="I802" i="184"/>
  <c r="I803" i="184"/>
  <c r="I804" i="184"/>
  <c r="I805" i="184"/>
  <c r="I806" i="184"/>
  <c r="I807" i="184"/>
  <c r="I808" i="184"/>
  <c r="I809" i="184"/>
  <c r="I810" i="184"/>
  <c r="I811" i="184"/>
  <c r="I812" i="184"/>
  <c r="I813" i="184"/>
  <c r="I814" i="184"/>
  <c r="I815" i="184"/>
  <c r="I816" i="184"/>
  <c r="I817" i="184"/>
  <c r="I818" i="184"/>
  <c r="I819" i="184"/>
  <c r="I820" i="184"/>
  <c r="I821" i="184"/>
  <c r="I822" i="184"/>
  <c r="I823" i="184"/>
  <c r="I824" i="184"/>
  <c r="I825" i="184"/>
  <c r="I826" i="184"/>
  <c r="I827" i="184"/>
  <c r="I828" i="184"/>
  <c r="I829" i="184"/>
  <c r="I830" i="184"/>
  <c r="I831" i="184"/>
  <c r="I832" i="184"/>
  <c r="I833" i="184"/>
  <c r="I834" i="184"/>
  <c r="I835" i="184"/>
  <c r="I836" i="184"/>
  <c r="I837" i="184"/>
  <c r="I838" i="184"/>
  <c r="I839" i="184"/>
  <c r="I840" i="184"/>
  <c r="I841" i="184"/>
  <c r="I842" i="184"/>
  <c r="I843" i="184"/>
  <c r="I844" i="184"/>
  <c r="I845" i="184"/>
  <c r="I846" i="184"/>
  <c r="I847" i="184"/>
  <c r="I848" i="184"/>
  <c r="I849" i="184"/>
  <c r="I850" i="184"/>
  <c r="I851" i="184"/>
  <c r="I852" i="184"/>
  <c r="I853" i="184"/>
  <c r="I854" i="184"/>
  <c r="I855" i="184"/>
  <c r="I856" i="184"/>
  <c r="I857" i="184"/>
  <c r="I858" i="184"/>
  <c r="I859" i="184"/>
  <c r="I860" i="184"/>
  <c r="I861" i="184"/>
  <c r="I862" i="184"/>
  <c r="I863" i="184"/>
  <c r="I864" i="184"/>
  <c r="I865" i="184"/>
  <c r="I866" i="184"/>
  <c r="I867" i="184"/>
  <c r="I868" i="184"/>
  <c r="I869" i="184"/>
  <c r="I870" i="184"/>
  <c r="I871" i="184"/>
  <c r="I872" i="184"/>
  <c r="I873" i="184"/>
  <c r="I874" i="184"/>
  <c r="I875" i="184"/>
  <c r="I876" i="184"/>
  <c r="I877" i="184"/>
  <c r="I878" i="184"/>
  <c r="I879" i="184"/>
  <c r="I880" i="184"/>
  <c r="I881" i="184"/>
  <c r="I882" i="184"/>
  <c r="I883" i="184"/>
  <c r="I884" i="184"/>
  <c r="I885" i="184"/>
  <c r="I886" i="184"/>
  <c r="I887" i="184"/>
  <c r="I888" i="184"/>
  <c r="I889" i="184"/>
  <c r="I890" i="184"/>
  <c r="I891" i="184"/>
  <c r="I892" i="184"/>
  <c r="I893" i="184"/>
  <c r="I894" i="184"/>
  <c r="I895" i="184"/>
  <c r="I896" i="184"/>
  <c r="I897" i="184"/>
  <c r="I898" i="184"/>
  <c r="I899" i="184"/>
  <c r="I900" i="184"/>
  <c r="I901" i="184"/>
  <c r="I902" i="184"/>
  <c r="I903" i="184"/>
  <c r="I904" i="184"/>
  <c r="I905" i="184"/>
  <c r="I906" i="184"/>
  <c r="I907" i="184"/>
  <c r="I908" i="184"/>
  <c r="I909" i="184"/>
  <c r="I910" i="184"/>
  <c r="I911" i="184"/>
  <c r="I912" i="184"/>
  <c r="I913" i="184"/>
  <c r="I914" i="184"/>
  <c r="I915" i="184"/>
  <c r="I916" i="184"/>
  <c r="I917" i="184"/>
  <c r="I918" i="184"/>
  <c r="I919" i="184"/>
  <c r="I920" i="184"/>
  <c r="I921" i="184"/>
  <c r="I922" i="184"/>
  <c r="I923" i="184"/>
  <c r="I924" i="184"/>
  <c r="I925" i="184"/>
  <c r="I926" i="184"/>
  <c r="I927" i="184"/>
  <c r="I928" i="184"/>
  <c r="I929" i="184"/>
  <c r="I930" i="184"/>
  <c r="I931" i="184"/>
  <c r="I932" i="184"/>
  <c r="I933" i="184"/>
  <c r="I934" i="184"/>
  <c r="I935" i="184"/>
  <c r="I936" i="184"/>
  <c r="I937" i="184"/>
  <c r="I938" i="184"/>
  <c r="I939" i="184"/>
  <c r="I940" i="184"/>
  <c r="I941" i="184"/>
  <c r="I942" i="184"/>
  <c r="I943" i="184"/>
  <c r="I944" i="184"/>
  <c r="I945" i="184"/>
  <c r="I946" i="184"/>
  <c r="I947" i="184"/>
  <c r="I948" i="184"/>
  <c r="I949" i="184"/>
  <c r="I950" i="184"/>
  <c r="I951" i="184"/>
  <c r="I952" i="184"/>
  <c r="I953" i="184"/>
  <c r="D16" i="5" s="1"/>
  <c r="I954" i="184"/>
  <c r="I955" i="184"/>
  <c r="I956" i="184"/>
  <c r="D17" i="5" s="1"/>
  <c r="I957" i="184"/>
  <c r="I958" i="184"/>
  <c r="I959" i="184"/>
  <c r="D65" i="5" s="1"/>
  <c r="I960" i="184"/>
  <c r="I961" i="184"/>
  <c r="I962" i="184"/>
  <c r="D95" i="5" s="1"/>
  <c r="I963" i="184"/>
  <c r="I964" i="184"/>
  <c r="I965" i="184"/>
  <c r="I966" i="184"/>
  <c r="I967" i="184"/>
  <c r="I968" i="184"/>
  <c r="I969" i="184"/>
  <c r="I970" i="184"/>
  <c r="I971" i="184"/>
  <c r="I972" i="184"/>
  <c r="I973" i="184"/>
  <c r="I974" i="184"/>
  <c r="I975" i="184"/>
  <c r="I976" i="184"/>
  <c r="I977" i="184"/>
  <c r="I978" i="184"/>
  <c r="I979" i="184"/>
  <c r="I980" i="184"/>
  <c r="I981" i="184"/>
  <c r="I982" i="184"/>
  <c r="I983" i="184"/>
  <c r="I984" i="184"/>
  <c r="I985" i="184"/>
  <c r="I986" i="184"/>
  <c r="I987" i="184"/>
  <c r="I988" i="184"/>
  <c r="I989" i="184"/>
  <c r="I990" i="184"/>
  <c r="I991" i="184"/>
  <c r="I992" i="184"/>
  <c r="I993" i="184"/>
  <c r="I994" i="184"/>
  <c r="I995" i="184"/>
  <c r="I996" i="184"/>
  <c r="I997" i="184"/>
  <c r="I998" i="184"/>
  <c r="I999" i="184"/>
  <c r="I1000" i="184"/>
  <c r="I1001" i="184"/>
  <c r="I1002" i="184"/>
  <c r="I1003" i="184"/>
  <c r="I1004" i="184"/>
  <c r="I1005" i="184"/>
  <c r="I1006" i="184"/>
  <c r="I1007" i="184"/>
  <c r="I1008" i="184"/>
  <c r="I1009" i="184"/>
  <c r="I1010" i="184"/>
  <c r="I1011" i="184"/>
  <c r="I1012" i="184"/>
  <c r="I1013" i="184"/>
  <c r="I1014" i="184"/>
  <c r="I1015" i="184"/>
  <c r="I1016" i="184"/>
  <c r="I1017" i="184"/>
  <c r="I1018" i="184"/>
  <c r="I1019" i="184"/>
  <c r="I1020" i="184"/>
  <c r="I1021" i="184"/>
  <c r="I1022" i="184"/>
  <c r="I1023" i="184"/>
  <c r="I1024" i="184"/>
  <c r="I1025" i="184"/>
  <c r="I1026" i="184"/>
  <c r="I1027" i="184"/>
  <c r="I1028" i="184"/>
  <c r="I1029" i="184"/>
  <c r="I1030" i="184"/>
  <c r="I1031" i="184"/>
  <c r="I1032" i="184"/>
  <c r="I1033" i="184"/>
  <c r="I1034" i="184"/>
  <c r="I1035" i="184"/>
  <c r="I1036" i="184"/>
  <c r="I1037" i="184"/>
  <c r="I1038" i="184"/>
  <c r="I1039" i="184"/>
  <c r="I1040" i="184"/>
  <c r="I1041" i="184"/>
  <c r="I1042" i="184"/>
  <c r="I1043" i="184"/>
  <c r="I1044" i="184"/>
  <c r="I1045" i="184"/>
  <c r="I1046" i="184"/>
  <c r="I1047" i="184"/>
  <c r="I1048" i="184"/>
  <c r="I1049" i="184"/>
  <c r="I1050" i="184"/>
  <c r="I1051" i="184"/>
  <c r="I1052" i="184"/>
  <c r="I1053" i="184"/>
  <c r="I1054" i="184"/>
  <c r="I1055" i="184"/>
  <c r="I1056" i="184"/>
  <c r="I1057" i="184"/>
  <c r="I1058" i="184"/>
  <c r="I1059" i="184"/>
  <c r="I1060" i="184"/>
  <c r="I1061" i="184"/>
  <c r="I1062" i="184"/>
  <c r="I1063" i="184"/>
  <c r="I1064" i="184"/>
  <c r="I1065" i="184"/>
  <c r="I1066" i="184"/>
  <c r="I1067" i="184"/>
  <c r="I1068" i="184"/>
  <c r="I1069" i="184"/>
  <c r="I1070" i="184"/>
  <c r="I1071" i="184"/>
  <c r="I1072" i="184"/>
  <c r="I1073" i="184"/>
  <c r="I1074" i="184"/>
  <c r="I1075" i="184"/>
  <c r="I1076" i="184"/>
  <c r="I1077" i="184"/>
  <c r="I1078" i="184"/>
  <c r="I1079" i="184"/>
  <c r="I1080" i="184"/>
  <c r="I1081" i="184"/>
  <c r="I1082" i="184"/>
  <c r="I1083" i="184"/>
  <c r="I1084" i="184"/>
  <c r="I1085" i="184"/>
  <c r="I1086" i="184"/>
  <c r="I1087" i="184"/>
  <c r="I1088" i="184"/>
  <c r="I1089" i="184"/>
  <c r="I1090" i="184"/>
  <c r="I1091" i="184"/>
  <c r="I1092" i="184"/>
  <c r="I1093" i="184"/>
  <c r="I1094" i="184"/>
  <c r="I1095" i="184"/>
  <c r="I1096" i="184"/>
  <c r="I1097" i="184"/>
  <c r="I1098" i="184"/>
  <c r="I1099" i="184"/>
  <c r="I1100" i="184"/>
  <c r="I1101" i="184"/>
  <c r="I1102" i="184"/>
  <c r="I1103" i="184"/>
  <c r="I1104" i="184"/>
  <c r="I1105" i="184"/>
  <c r="I1106" i="184"/>
  <c r="I1107" i="184"/>
  <c r="I1108" i="184"/>
  <c r="I1109" i="184"/>
  <c r="I1110" i="184"/>
  <c r="I1111" i="184"/>
  <c r="I1112" i="184"/>
  <c r="I1113" i="184"/>
  <c r="I1114" i="184"/>
  <c r="I1115" i="184"/>
  <c r="I1116" i="184"/>
  <c r="I1117" i="184"/>
  <c r="I1118" i="184"/>
  <c r="I1119" i="184"/>
  <c r="I1120" i="184"/>
  <c r="I1121" i="184"/>
  <c r="I1122" i="184"/>
  <c r="I1123" i="184"/>
  <c r="I1124" i="184"/>
  <c r="I1125" i="184"/>
  <c r="I1126" i="184"/>
  <c r="I1127" i="184"/>
  <c r="I1128" i="184"/>
  <c r="I1129" i="184"/>
  <c r="I1130" i="184"/>
  <c r="I1131" i="184"/>
  <c r="I1132" i="184"/>
  <c r="I1133" i="184"/>
  <c r="I1134" i="184"/>
  <c r="I1135" i="184"/>
  <c r="I1136" i="184"/>
  <c r="I1137" i="184"/>
  <c r="I1138" i="184"/>
  <c r="I1139" i="184"/>
  <c r="I1140" i="184"/>
  <c r="I1141" i="184"/>
  <c r="I1142" i="184"/>
  <c r="I1143" i="184"/>
  <c r="I1144" i="184"/>
  <c r="I1145" i="184"/>
  <c r="I1146" i="184"/>
  <c r="I1147" i="184"/>
  <c r="I1148" i="184"/>
  <c r="I1149" i="184"/>
  <c r="I1150" i="184"/>
  <c r="I1151" i="184"/>
  <c r="F65" i="5" s="1"/>
  <c r="I1152" i="184"/>
  <c r="I1153" i="184"/>
  <c r="I1154" i="184"/>
  <c r="F99" i="5" s="1"/>
  <c r="I1155" i="184"/>
  <c r="I1156" i="184"/>
  <c r="I1157" i="184"/>
  <c r="I1158" i="184"/>
  <c r="I1159" i="184"/>
  <c r="I1160" i="184"/>
  <c r="I1161" i="184"/>
  <c r="I1162" i="184"/>
  <c r="I1163" i="184"/>
  <c r="I1164" i="184"/>
  <c r="I1165" i="184"/>
  <c r="I1166" i="184"/>
  <c r="I1167" i="184"/>
  <c r="I1168" i="184"/>
  <c r="I1169" i="184"/>
  <c r="I1170" i="184"/>
  <c r="I1171" i="184"/>
  <c r="I1172" i="184"/>
  <c r="I1173" i="184"/>
  <c r="I1174" i="184"/>
  <c r="I1175" i="184"/>
  <c r="I1176" i="184"/>
  <c r="I1177" i="184"/>
  <c r="I1178" i="184"/>
  <c r="I1179" i="184"/>
  <c r="I1180" i="184"/>
  <c r="I1181" i="184"/>
  <c r="I1182" i="184"/>
  <c r="I1183" i="184"/>
  <c r="I1184" i="184"/>
  <c r="I1185" i="184"/>
  <c r="I1186" i="184"/>
  <c r="I1187" i="184"/>
  <c r="I1188" i="184"/>
  <c r="I1189" i="184"/>
  <c r="I1190" i="184"/>
  <c r="I1191" i="184"/>
  <c r="I1192" i="184"/>
  <c r="I1193" i="184"/>
  <c r="I1194" i="184"/>
  <c r="I1195" i="184"/>
  <c r="I1196" i="184"/>
  <c r="I1197" i="184"/>
  <c r="I1198" i="184"/>
  <c r="I1199" i="184"/>
  <c r="I1200" i="184"/>
  <c r="I1201" i="184"/>
  <c r="I1202" i="184"/>
  <c r="I1203" i="184"/>
  <c r="I1204" i="184"/>
  <c r="I1205" i="184"/>
  <c r="I1206" i="184"/>
  <c r="I1207" i="184"/>
  <c r="I1208" i="184"/>
  <c r="I1209" i="184"/>
  <c r="I1210" i="184"/>
  <c r="I1211" i="184"/>
  <c r="I1212" i="184"/>
  <c r="I1213" i="184"/>
  <c r="I1214" i="184"/>
  <c r="I1215" i="184"/>
  <c r="I1216" i="184"/>
  <c r="I1217" i="184"/>
  <c r="I1218" i="184"/>
  <c r="I1219" i="184"/>
  <c r="I1220" i="184"/>
  <c r="I1221" i="184"/>
  <c r="I1222" i="184"/>
  <c r="I1223" i="184"/>
  <c r="I1224" i="184"/>
  <c r="I1225" i="184"/>
  <c r="I1226" i="184"/>
  <c r="I1227" i="184"/>
  <c r="I1228" i="184"/>
  <c r="I1229" i="184"/>
  <c r="I1230" i="184"/>
  <c r="I1231" i="184"/>
  <c r="I1232" i="184"/>
  <c r="I1233" i="184"/>
  <c r="I1234" i="184"/>
  <c r="I1235" i="184"/>
  <c r="I1236" i="184"/>
  <c r="I1237" i="184"/>
  <c r="I1238" i="184"/>
  <c r="I1239" i="184"/>
  <c r="I1240" i="184"/>
  <c r="I1241" i="184"/>
  <c r="I1242" i="184"/>
  <c r="I1243" i="184"/>
  <c r="I1244" i="184"/>
  <c r="I1245" i="184"/>
  <c r="I1246" i="184"/>
  <c r="I1247" i="184"/>
  <c r="I1248" i="184"/>
  <c r="I1249" i="184"/>
  <c r="I1250" i="184"/>
  <c r="I1251" i="184"/>
  <c r="I1252" i="184"/>
  <c r="I1253" i="184"/>
  <c r="I1254" i="184"/>
  <c r="I1255" i="184"/>
  <c r="I1256" i="184"/>
  <c r="I1257" i="184"/>
  <c r="I1258" i="184"/>
  <c r="I1259" i="184"/>
  <c r="I1260" i="184"/>
  <c r="I1261" i="184"/>
  <c r="I1262" i="184"/>
  <c r="I1263" i="184"/>
  <c r="I1264" i="184"/>
  <c r="I1265" i="184"/>
  <c r="I1266" i="184"/>
  <c r="I1267" i="184"/>
  <c r="I1268" i="184"/>
  <c r="I1269" i="184"/>
  <c r="I1270" i="184"/>
  <c r="I1271" i="184"/>
  <c r="I1272" i="184"/>
  <c r="I1273" i="184"/>
  <c r="I1274" i="184"/>
  <c r="I1275" i="184"/>
  <c r="I1276" i="184"/>
  <c r="I1277" i="184"/>
  <c r="I1278" i="184"/>
  <c r="I1279" i="184"/>
  <c r="I1280" i="184"/>
  <c r="I1281" i="184"/>
  <c r="I1282" i="184"/>
  <c r="I1283" i="184"/>
  <c r="I1284" i="184"/>
  <c r="I1285" i="184"/>
  <c r="I1286" i="184"/>
  <c r="I1287" i="184"/>
  <c r="I1288" i="184"/>
  <c r="I1289" i="184"/>
  <c r="I1290" i="184"/>
  <c r="I1291" i="184"/>
  <c r="I1292" i="184"/>
  <c r="I1293" i="184"/>
  <c r="I1294" i="184"/>
  <c r="I1295" i="184"/>
  <c r="I1296" i="184"/>
  <c r="I1297" i="184"/>
  <c r="I1298" i="184"/>
  <c r="I1299" i="184"/>
  <c r="I1300" i="184"/>
  <c r="I1301" i="184"/>
  <c r="I1302" i="184"/>
  <c r="I1303" i="184"/>
  <c r="I1304" i="184"/>
  <c r="I1305" i="184"/>
  <c r="I1306" i="184"/>
  <c r="I1307" i="184"/>
  <c r="I1308" i="184"/>
  <c r="I1309" i="184"/>
  <c r="I1310" i="184"/>
  <c r="I1311" i="184"/>
  <c r="I1312" i="184"/>
  <c r="I1313" i="184"/>
  <c r="I1314" i="184"/>
  <c r="I1315" i="184"/>
  <c r="I1316" i="184"/>
  <c r="I1317" i="184"/>
  <c r="I1318" i="184"/>
  <c r="I1319" i="184"/>
  <c r="I1320" i="184"/>
  <c r="I1321" i="184"/>
  <c r="I1322" i="184"/>
  <c r="I1323" i="184"/>
  <c r="I1324" i="184"/>
  <c r="I1325" i="184"/>
  <c r="I1326" i="184"/>
  <c r="I1327" i="184"/>
  <c r="I1328" i="184"/>
  <c r="I1329" i="184"/>
  <c r="I1330" i="184"/>
  <c r="I1331" i="184"/>
  <c r="I1332" i="184"/>
  <c r="I1333" i="184"/>
  <c r="I1334" i="184"/>
  <c r="I1335" i="184"/>
  <c r="I1336" i="184"/>
  <c r="I1337" i="184"/>
  <c r="I1338" i="184"/>
  <c r="I1339" i="184"/>
  <c r="I1340" i="184"/>
  <c r="I1341" i="184"/>
  <c r="I1342" i="184"/>
  <c r="I1343" i="184"/>
  <c r="I1344" i="184"/>
  <c r="I1345" i="184"/>
  <c r="I1346" i="184"/>
  <c r="I1347" i="184"/>
  <c r="I1348" i="184"/>
  <c r="I1349" i="184"/>
  <c r="I1350" i="184"/>
  <c r="I1351" i="184"/>
  <c r="I1352" i="184"/>
  <c r="I1353" i="184"/>
  <c r="I1354" i="184"/>
  <c r="I1355" i="184"/>
  <c r="I1356" i="184"/>
  <c r="I1357" i="184"/>
  <c r="I1358" i="184"/>
  <c r="I1359" i="184"/>
  <c r="I1360" i="184"/>
  <c r="I1361" i="184"/>
  <c r="I1362" i="184"/>
  <c r="I1363" i="184"/>
  <c r="I1364" i="184"/>
  <c r="I1365" i="184"/>
  <c r="I1366" i="184"/>
  <c r="I1367" i="184"/>
  <c r="I1368" i="184"/>
  <c r="I1369" i="184"/>
  <c r="I1370" i="184"/>
  <c r="I1371" i="184"/>
  <c r="I1372" i="184"/>
  <c r="I1373" i="184"/>
  <c r="I1374" i="184"/>
  <c r="I1375" i="184"/>
  <c r="I1376" i="184"/>
  <c r="I1377" i="184"/>
  <c r="I1378" i="184"/>
  <c r="I1379" i="184"/>
  <c r="I1380" i="184"/>
  <c r="I1381" i="184"/>
  <c r="I1382" i="184"/>
  <c r="I1383" i="184"/>
  <c r="I1384" i="184"/>
  <c r="I1385" i="184"/>
  <c r="I1386" i="184"/>
  <c r="I1387" i="184"/>
  <c r="I1388" i="184"/>
  <c r="I1389" i="184"/>
  <c r="I1390" i="184"/>
  <c r="I1391" i="184"/>
  <c r="I1392" i="184"/>
  <c r="I1393" i="184"/>
  <c r="I1394" i="184"/>
  <c r="I1395" i="184"/>
  <c r="I1396" i="184"/>
  <c r="I1397" i="184"/>
  <c r="I1398" i="184"/>
  <c r="I1399" i="184"/>
  <c r="I1400" i="184"/>
  <c r="I1401" i="184"/>
  <c r="I1402" i="184"/>
  <c r="I1403" i="184"/>
  <c r="I1404" i="184"/>
  <c r="I1405" i="184"/>
  <c r="I1406" i="184"/>
  <c r="I1407" i="184"/>
  <c r="I1408" i="184"/>
  <c r="I1409" i="184"/>
  <c r="I1410" i="184"/>
  <c r="I1411" i="184"/>
  <c r="I1412" i="184"/>
  <c r="I1413" i="184"/>
  <c r="I1414" i="184"/>
  <c r="I1415" i="184"/>
  <c r="I1416" i="184"/>
  <c r="I1417" i="184"/>
  <c r="I1418" i="184"/>
  <c r="I1419" i="184"/>
  <c r="I1420" i="184"/>
  <c r="I1421" i="184"/>
  <c r="I1422" i="184"/>
  <c r="I1423" i="184"/>
  <c r="I1424" i="184"/>
  <c r="I1425" i="184"/>
  <c r="I1426" i="184"/>
  <c r="I1427" i="184"/>
  <c r="I1428" i="184"/>
  <c r="I1429" i="184"/>
  <c r="I1430" i="184"/>
  <c r="I1431" i="184"/>
  <c r="I1432" i="184"/>
  <c r="I1433" i="184"/>
  <c r="I1434" i="184"/>
  <c r="I1435" i="184"/>
  <c r="I1436" i="184"/>
  <c r="I1437" i="184"/>
  <c r="I1438" i="184"/>
  <c r="I1439" i="184"/>
  <c r="I1440" i="184"/>
  <c r="I1441" i="184"/>
  <c r="I1442" i="184"/>
  <c r="I1443" i="184"/>
  <c r="I1444" i="184"/>
  <c r="I1445" i="184"/>
  <c r="I1446" i="184"/>
  <c r="H96" i="5" s="1"/>
  <c r="I1447" i="184"/>
  <c r="I1448" i="184"/>
  <c r="I1449" i="184"/>
  <c r="I1450" i="184"/>
  <c r="I1451" i="184"/>
  <c r="I1452" i="184"/>
  <c r="I1453" i="184"/>
  <c r="I1454" i="184"/>
  <c r="I1455" i="184"/>
  <c r="I1456" i="184"/>
  <c r="I1457" i="184"/>
  <c r="I1458" i="184"/>
  <c r="I1459" i="184"/>
  <c r="I1460" i="184"/>
  <c r="I1461" i="184"/>
  <c r="I1462" i="184"/>
  <c r="I1463" i="184"/>
  <c r="I1464" i="184"/>
  <c r="I1465" i="184"/>
  <c r="I1466" i="184"/>
  <c r="I1467" i="184"/>
  <c r="I1468" i="184"/>
  <c r="I1469" i="184"/>
  <c r="I1470" i="184"/>
  <c r="I1471" i="184"/>
  <c r="I1472" i="184"/>
  <c r="I1473" i="184"/>
  <c r="I1474" i="184"/>
  <c r="I1475" i="184"/>
  <c r="I1476" i="184"/>
  <c r="I1477" i="184"/>
  <c r="I1478" i="184"/>
  <c r="I1479" i="184"/>
  <c r="I1480" i="184"/>
  <c r="I1481" i="184"/>
  <c r="I1482" i="184"/>
  <c r="I1483" i="184"/>
  <c r="I1484" i="184"/>
  <c r="I1485" i="184"/>
  <c r="I1486" i="184"/>
  <c r="I1487" i="184"/>
  <c r="I65" i="5" s="1"/>
  <c r="I1488" i="184"/>
  <c r="I1489" i="184"/>
  <c r="I1490" i="184"/>
  <c r="I1491" i="184"/>
  <c r="I1492" i="184"/>
  <c r="I1493" i="184"/>
  <c r="I1494" i="184"/>
  <c r="I1495" i="184"/>
  <c r="I1496" i="184"/>
  <c r="I1497" i="184"/>
  <c r="I1498" i="184"/>
  <c r="I1499" i="184"/>
  <c r="I1500" i="184"/>
  <c r="I1501" i="184"/>
  <c r="I1502" i="184"/>
  <c r="I1503" i="184"/>
  <c r="I1504" i="184"/>
  <c r="I1505" i="184"/>
  <c r="I1506" i="184"/>
  <c r="I1507" i="184"/>
  <c r="I1508" i="184"/>
  <c r="I1509" i="184"/>
  <c r="I1510" i="184"/>
  <c r="I1511" i="184"/>
  <c r="I1512" i="184"/>
  <c r="J65" i="5" s="1"/>
  <c r="I1513" i="184"/>
  <c r="I1514" i="184"/>
  <c r="I1515" i="184"/>
  <c r="I1516" i="184"/>
  <c r="I1517" i="184"/>
  <c r="I1518" i="184"/>
  <c r="I1519" i="184"/>
  <c r="I1520" i="184"/>
  <c r="I1521" i="184"/>
  <c r="I1522" i="184"/>
  <c r="I1523" i="184"/>
  <c r="I1524" i="184"/>
  <c r="I1525" i="184"/>
  <c r="I1526" i="184"/>
  <c r="I1527" i="184"/>
  <c r="I1528" i="184"/>
  <c r="I1529" i="184"/>
  <c r="I1530" i="184"/>
  <c r="I1531" i="184"/>
  <c r="I1532" i="184"/>
  <c r="I1533" i="184"/>
  <c r="I1534" i="184"/>
  <c r="I1535" i="184"/>
  <c r="I1536" i="184"/>
  <c r="I1537" i="184"/>
  <c r="I1538" i="184"/>
  <c r="I1539" i="184"/>
  <c r="I1540" i="184"/>
  <c r="I1541" i="184"/>
  <c r="I1542" i="184"/>
  <c r="I1543" i="184"/>
  <c r="I1544" i="184"/>
  <c r="I1545" i="184"/>
  <c r="I1546" i="184"/>
  <c r="I1547" i="184"/>
  <c r="I1548" i="184"/>
  <c r="I1549" i="184"/>
  <c r="I1550" i="184"/>
  <c r="I1551" i="184"/>
  <c r="I1552" i="184"/>
  <c r="I1553" i="184"/>
  <c r="I1554" i="184"/>
  <c r="I1555" i="184"/>
  <c r="I1556" i="184"/>
  <c r="I1557" i="184"/>
  <c r="I1558" i="184"/>
  <c r="I1559" i="184"/>
  <c r="I1560" i="184"/>
  <c r="I1561" i="184"/>
  <c r="I1562" i="184"/>
  <c r="I1563" i="184"/>
  <c r="I1564" i="184"/>
  <c r="I1565" i="184"/>
  <c r="I1566" i="184"/>
  <c r="I1567" i="184"/>
  <c r="I1568" i="184"/>
  <c r="I1569" i="184"/>
  <c r="I1570" i="184"/>
  <c r="I1571" i="184"/>
  <c r="I1572" i="184"/>
  <c r="I1573" i="184"/>
  <c r="I1574" i="184"/>
  <c r="I1575" i="184"/>
  <c r="I1576" i="184"/>
  <c r="I1577" i="184"/>
  <c r="I1578" i="184"/>
  <c r="I1579" i="184"/>
  <c r="I1580" i="184"/>
  <c r="I1581" i="184"/>
  <c r="I1582" i="184"/>
  <c r="I1583" i="184"/>
  <c r="I1584" i="184"/>
  <c r="I1585" i="184"/>
  <c r="I1586" i="184"/>
  <c r="I1587" i="184"/>
  <c r="I1588" i="184"/>
  <c r="I1589" i="184"/>
  <c r="I1590" i="184"/>
  <c r="I1591" i="184"/>
  <c r="I1592" i="184"/>
  <c r="I1593" i="184"/>
  <c r="I1594" i="184"/>
  <c r="K65" i="5" s="1"/>
  <c r="I1595" i="184"/>
  <c r="I1596" i="184"/>
  <c r="I1597" i="184"/>
  <c r="I1598" i="184"/>
  <c r="I1599" i="184"/>
  <c r="I1600" i="184"/>
  <c r="I1601" i="184"/>
  <c r="I1602" i="184"/>
  <c r="I1603" i="184"/>
  <c r="I1604" i="184"/>
  <c r="I1605" i="184"/>
  <c r="I1606" i="184"/>
  <c r="I1607" i="184"/>
  <c r="I1608" i="184"/>
  <c r="I1609" i="184"/>
  <c r="I1610" i="184"/>
  <c r="I1611" i="184"/>
  <c r="I1612" i="184"/>
  <c r="I1613" i="184"/>
  <c r="I1614" i="184"/>
  <c r="I1615" i="184"/>
  <c r="I1616" i="184"/>
  <c r="I1617" i="184"/>
  <c r="I1618" i="184"/>
  <c r="I1619" i="184"/>
  <c r="I1620" i="184"/>
  <c r="I1621" i="184"/>
  <c r="I1622" i="184"/>
  <c r="I1623" i="184"/>
  <c r="I1624" i="184"/>
  <c r="I1625" i="184"/>
  <c r="I1626" i="184"/>
  <c r="I1627" i="184"/>
  <c r="I1628" i="184"/>
  <c r="I1629" i="184"/>
  <c r="I1630" i="184"/>
  <c r="I1631" i="184"/>
  <c r="I1632" i="184"/>
  <c r="I1633" i="184"/>
  <c r="I1634" i="184"/>
  <c r="I1635" i="184"/>
  <c r="I1636" i="184"/>
  <c r="I1637" i="184"/>
  <c r="I1638" i="184"/>
  <c r="I1639" i="184"/>
  <c r="I1640" i="184"/>
  <c r="I1641" i="184"/>
  <c r="I1642" i="184"/>
  <c r="I1643" i="184"/>
  <c r="I1644" i="184"/>
  <c r="I1645" i="184"/>
  <c r="I1646" i="184"/>
  <c r="I1647" i="184"/>
  <c r="I1648" i="184"/>
  <c r="I1649" i="184"/>
  <c r="I1650" i="184"/>
  <c r="I1651" i="184"/>
  <c r="I1652" i="184"/>
  <c r="I1653" i="184"/>
  <c r="I1654" i="184"/>
  <c r="I1655" i="184"/>
  <c r="I1656" i="184"/>
  <c r="I1657" i="184"/>
  <c r="I1658" i="184"/>
  <c r="I1659" i="184"/>
  <c r="I1660" i="184"/>
  <c r="I1661" i="184"/>
  <c r="I1662" i="184"/>
  <c r="I1663" i="184"/>
  <c r="I1664" i="184"/>
  <c r="I1665" i="184"/>
  <c r="I1666" i="184"/>
  <c r="I1667" i="184"/>
  <c r="I1668" i="184"/>
  <c r="I1669" i="184"/>
  <c r="I1670" i="184"/>
  <c r="I1671" i="184"/>
  <c r="I1672" i="184"/>
  <c r="I1673" i="184"/>
  <c r="I1674" i="184"/>
  <c r="I1675" i="184"/>
  <c r="I1676" i="184"/>
  <c r="I1677" i="184"/>
  <c r="I1678" i="184"/>
  <c r="I1679" i="184"/>
  <c r="I1680" i="184"/>
  <c r="I1681" i="184"/>
  <c r="I1682" i="184"/>
  <c r="I1683" i="184"/>
  <c r="I1684" i="184"/>
  <c r="I1685" i="184"/>
  <c r="I1686" i="184"/>
  <c r="I1687" i="184"/>
  <c r="I1688" i="184"/>
  <c r="I1689" i="184"/>
  <c r="I1690" i="184"/>
  <c r="I1691" i="184"/>
  <c r="I1692" i="184"/>
  <c r="I1693" i="184"/>
  <c r="I1694" i="184"/>
  <c r="I1695" i="184"/>
  <c r="I1696" i="184"/>
  <c r="I1697" i="184"/>
  <c r="I1698" i="184"/>
  <c r="I1699" i="184"/>
  <c r="I1700" i="184"/>
  <c r="I1701" i="184"/>
  <c r="I1702" i="184"/>
  <c r="I1703" i="184"/>
  <c r="I1704" i="184"/>
  <c r="I1705" i="184"/>
  <c r="I1706" i="184"/>
  <c r="I1707" i="184"/>
  <c r="I1708" i="184"/>
  <c r="I1709" i="184"/>
  <c r="I1710" i="184"/>
  <c r="I1711" i="184"/>
  <c r="I1712" i="184"/>
  <c r="I1713" i="184"/>
  <c r="I1714" i="184"/>
  <c r="I1715" i="184"/>
  <c r="I1716" i="184"/>
  <c r="I1717" i="184"/>
  <c r="I1718" i="184"/>
  <c r="I1719" i="184"/>
  <c r="I1720" i="184"/>
  <c r="I1721" i="184"/>
  <c r="I1722" i="184"/>
  <c r="I1723" i="184"/>
  <c r="I1724" i="184"/>
  <c r="I1725" i="184"/>
  <c r="I1726" i="184"/>
  <c r="I1727" i="184"/>
  <c r="I1728" i="184"/>
  <c r="I1729" i="184"/>
  <c r="I1730" i="184"/>
  <c r="I1731" i="184"/>
  <c r="I1732" i="184"/>
  <c r="I1733" i="184"/>
  <c r="I1734" i="184"/>
  <c r="I1735" i="184"/>
  <c r="I1736" i="184"/>
  <c r="I1737" i="184"/>
  <c r="I1738" i="184"/>
  <c r="I1739" i="184"/>
  <c r="I1740" i="184"/>
  <c r="I1741" i="184"/>
  <c r="I1742" i="184"/>
  <c r="I1743" i="184"/>
  <c r="I1744" i="184"/>
  <c r="I1745" i="184"/>
  <c r="I1746" i="184"/>
  <c r="I1747" i="184"/>
  <c r="I1748" i="184"/>
  <c r="I1749" i="184"/>
  <c r="I1750" i="184"/>
  <c r="I1751" i="184"/>
  <c r="I1752" i="184"/>
  <c r="I1753" i="184"/>
  <c r="I1754" i="184"/>
  <c r="I1755" i="184"/>
  <c r="I1756" i="184"/>
  <c r="I1757" i="184"/>
  <c r="I1758" i="184"/>
  <c r="I1759" i="184"/>
  <c r="I1760" i="184"/>
  <c r="I1761" i="184"/>
  <c r="I1762" i="184"/>
  <c r="I1763" i="184"/>
  <c r="I1764" i="184"/>
  <c r="I1765" i="184"/>
  <c r="I1766" i="184"/>
  <c r="I1767" i="184"/>
  <c r="I1768" i="184"/>
  <c r="I1769" i="184"/>
  <c r="I1770" i="184"/>
  <c r="I1771" i="184"/>
  <c r="I1772" i="184"/>
  <c r="I1773" i="184"/>
  <c r="I1774" i="184"/>
  <c r="I1775" i="184"/>
  <c r="I1776" i="184"/>
  <c r="I1777" i="184"/>
  <c r="I1778" i="184"/>
  <c r="I1779" i="184"/>
  <c r="I1780" i="184"/>
  <c r="I1781" i="184"/>
  <c r="I1782" i="184"/>
  <c r="I1783" i="184"/>
  <c r="I1784" i="184"/>
  <c r="I1785" i="184"/>
  <c r="I1786" i="184"/>
  <c r="H3" i="184"/>
  <c r="I3" i="184"/>
  <c r="H4" i="184"/>
  <c r="H5" i="184"/>
  <c r="H6" i="184"/>
  <c r="H7" i="184"/>
  <c r="H8" i="184"/>
  <c r="H9" i="184"/>
  <c r="H10" i="184"/>
  <c r="H11" i="184"/>
  <c r="H12" i="184"/>
  <c r="H13" i="184"/>
  <c r="H14" i="184"/>
  <c r="H15" i="184"/>
  <c r="H16" i="184"/>
  <c r="H17" i="184"/>
  <c r="H18" i="184"/>
  <c r="H19" i="184"/>
  <c r="H20" i="184"/>
  <c r="H21" i="184"/>
  <c r="H22" i="184"/>
  <c r="H23" i="184"/>
  <c r="H24" i="184"/>
  <c r="H25" i="184"/>
  <c r="H26" i="184"/>
  <c r="H27" i="184"/>
  <c r="H28" i="184"/>
  <c r="H29" i="184"/>
  <c r="H30" i="184"/>
  <c r="H31" i="184"/>
  <c r="H32" i="184"/>
  <c r="H33" i="184"/>
  <c r="H34" i="184"/>
  <c r="H35" i="184"/>
  <c r="H36" i="184"/>
  <c r="H37" i="184"/>
  <c r="H38" i="184"/>
  <c r="H39" i="184"/>
  <c r="H40" i="184"/>
  <c r="H41" i="184"/>
  <c r="H42" i="184"/>
  <c r="H43" i="184"/>
  <c r="H44" i="184"/>
  <c r="H45" i="184"/>
  <c r="H46" i="184"/>
  <c r="H47" i="184"/>
  <c r="H48" i="184"/>
  <c r="H49" i="184"/>
  <c r="H50" i="184"/>
  <c r="H51" i="184"/>
  <c r="H52" i="184"/>
  <c r="H53" i="184"/>
  <c r="H54" i="184"/>
  <c r="H55" i="184"/>
  <c r="H56" i="184"/>
  <c r="H57" i="184"/>
  <c r="H58" i="184"/>
  <c r="H59" i="184"/>
  <c r="H60" i="184"/>
  <c r="H61" i="184"/>
  <c r="H62" i="184"/>
  <c r="H63" i="184"/>
  <c r="H64" i="184"/>
  <c r="H65" i="184"/>
  <c r="H66" i="184"/>
  <c r="H67" i="184"/>
  <c r="H68" i="184"/>
  <c r="H69" i="184"/>
  <c r="H70" i="184"/>
  <c r="H71" i="184"/>
  <c r="H72" i="184"/>
  <c r="H73" i="184"/>
  <c r="H74" i="184"/>
  <c r="H75" i="184"/>
  <c r="H76" i="184"/>
  <c r="H77" i="184"/>
  <c r="H78" i="184"/>
  <c r="H79" i="184"/>
  <c r="H80" i="184"/>
  <c r="H81" i="184"/>
  <c r="H82" i="184"/>
  <c r="H83" i="184"/>
  <c r="H84" i="184"/>
  <c r="H85" i="184"/>
  <c r="H86" i="184"/>
  <c r="H87" i="184"/>
  <c r="H88" i="184"/>
  <c r="H89" i="184"/>
  <c r="H90" i="184"/>
  <c r="H91" i="184"/>
  <c r="H92" i="184"/>
  <c r="H93" i="184"/>
  <c r="H94" i="184"/>
  <c r="H95" i="184"/>
  <c r="H96" i="184"/>
  <c r="H97" i="184"/>
  <c r="H98" i="184"/>
  <c r="H99" i="184"/>
  <c r="H100" i="184"/>
  <c r="H101" i="184"/>
  <c r="H102" i="184"/>
  <c r="H103" i="184"/>
  <c r="H104" i="184"/>
  <c r="H105" i="184"/>
  <c r="H106" i="184"/>
  <c r="H107" i="184"/>
  <c r="H108" i="184"/>
  <c r="H109" i="184"/>
  <c r="H110" i="184"/>
  <c r="H111" i="184"/>
  <c r="H112" i="184"/>
  <c r="H113" i="184"/>
  <c r="H114" i="184"/>
  <c r="H115" i="184"/>
  <c r="H116" i="184"/>
  <c r="H117" i="184"/>
  <c r="H118" i="184"/>
  <c r="H119" i="184"/>
  <c r="H120" i="184"/>
  <c r="H121" i="184"/>
  <c r="H122" i="184"/>
  <c r="H123" i="184"/>
  <c r="H124" i="184"/>
  <c r="H125" i="184"/>
  <c r="H126" i="184"/>
  <c r="H127" i="184"/>
  <c r="H128" i="184"/>
  <c r="H129" i="184"/>
  <c r="H130" i="184"/>
  <c r="H131" i="184"/>
  <c r="H132" i="184"/>
  <c r="H133" i="184"/>
  <c r="H134" i="184"/>
  <c r="H135" i="184"/>
  <c r="H136" i="184"/>
  <c r="H137" i="184"/>
  <c r="H138" i="184"/>
  <c r="H139" i="184"/>
  <c r="H140" i="184"/>
  <c r="H141" i="184"/>
  <c r="H142" i="184"/>
  <c r="H143" i="184"/>
  <c r="H144" i="184"/>
  <c r="H145" i="184"/>
  <c r="H146" i="184"/>
  <c r="H147" i="184"/>
  <c r="H148" i="184"/>
  <c r="H149" i="184"/>
  <c r="H150" i="184"/>
  <c r="H151" i="184"/>
  <c r="H152" i="184"/>
  <c r="H153" i="184"/>
  <c r="H154" i="184"/>
  <c r="H155" i="184"/>
  <c r="H156" i="184"/>
  <c r="H157" i="184"/>
  <c r="H158" i="184"/>
  <c r="H159" i="184"/>
  <c r="H160" i="184"/>
  <c r="H161" i="184"/>
  <c r="H162" i="184"/>
  <c r="H163" i="184"/>
  <c r="H164" i="184"/>
  <c r="H165" i="184"/>
  <c r="H166" i="184"/>
  <c r="H167" i="184"/>
  <c r="H168" i="184"/>
  <c r="H169" i="184"/>
  <c r="H170" i="184"/>
  <c r="H171" i="184"/>
  <c r="H172" i="184"/>
  <c r="H173" i="184"/>
  <c r="H174" i="184"/>
  <c r="H175" i="184"/>
  <c r="H176" i="184"/>
  <c r="H177" i="184"/>
  <c r="H178" i="184"/>
  <c r="H179" i="184"/>
  <c r="H180" i="184"/>
  <c r="H181" i="184"/>
  <c r="H182" i="184"/>
  <c r="H183" i="184"/>
  <c r="H184" i="184"/>
  <c r="H185" i="184"/>
  <c r="H186" i="184"/>
  <c r="H187" i="184"/>
  <c r="H188" i="184"/>
  <c r="H189" i="184"/>
  <c r="H190" i="184"/>
  <c r="H191" i="184"/>
  <c r="H192" i="184"/>
  <c r="H193" i="184"/>
  <c r="H194" i="184"/>
  <c r="H195" i="184"/>
  <c r="H196" i="184"/>
  <c r="H197" i="184"/>
  <c r="H198" i="184"/>
  <c r="H199" i="184"/>
  <c r="H200" i="184"/>
  <c r="H201" i="184"/>
  <c r="H202" i="184"/>
  <c r="H203" i="184"/>
  <c r="H204" i="184"/>
  <c r="H205" i="184"/>
  <c r="H206" i="184"/>
  <c r="H207" i="184"/>
  <c r="H208" i="184"/>
  <c r="H209" i="184"/>
  <c r="H210" i="184"/>
  <c r="H211" i="184"/>
  <c r="H212" i="184"/>
  <c r="H213" i="184"/>
  <c r="H214" i="184"/>
  <c r="H215" i="184"/>
  <c r="H216" i="184"/>
  <c r="H217" i="184"/>
  <c r="H218" i="184"/>
  <c r="H219" i="184"/>
  <c r="H220" i="184"/>
  <c r="H221" i="184"/>
  <c r="H222" i="184"/>
  <c r="H223" i="184"/>
  <c r="H224" i="184"/>
  <c r="H225" i="184"/>
  <c r="H226" i="184"/>
  <c r="H227" i="184"/>
  <c r="H228" i="184"/>
  <c r="H229" i="184"/>
  <c r="H230" i="184"/>
  <c r="H231" i="184"/>
  <c r="H232" i="184"/>
  <c r="H233" i="184"/>
  <c r="H234" i="184"/>
  <c r="H235" i="184"/>
  <c r="H236" i="184"/>
  <c r="H237" i="184"/>
  <c r="H238" i="184"/>
  <c r="H239" i="184"/>
  <c r="H240" i="184"/>
  <c r="H241" i="184"/>
  <c r="H242" i="184"/>
  <c r="H243" i="184"/>
  <c r="H244" i="184"/>
  <c r="H245" i="184"/>
  <c r="H246" i="184"/>
  <c r="H247" i="184"/>
  <c r="H248" i="184"/>
  <c r="H249" i="184"/>
  <c r="H250" i="184"/>
  <c r="H251" i="184"/>
  <c r="H252" i="184"/>
  <c r="H253" i="184"/>
  <c r="H254" i="184"/>
  <c r="H255" i="184"/>
  <c r="H256" i="184"/>
  <c r="H257" i="184"/>
  <c r="H258" i="184"/>
  <c r="H259" i="184"/>
  <c r="H260" i="184"/>
  <c r="H261" i="184"/>
  <c r="H262" i="184"/>
  <c r="H263" i="184"/>
  <c r="H264" i="184"/>
  <c r="H265" i="184"/>
  <c r="H266" i="184"/>
  <c r="H267" i="184"/>
  <c r="H268" i="184"/>
  <c r="H269" i="184"/>
  <c r="H270" i="184"/>
  <c r="H271" i="184"/>
  <c r="H272" i="184"/>
  <c r="H273" i="184"/>
  <c r="H274" i="184"/>
  <c r="H275" i="184"/>
  <c r="H276" i="184"/>
  <c r="H277" i="184"/>
  <c r="H278" i="184"/>
  <c r="H279" i="184"/>
  <c r="H280" i="184"/>
  <c r="H281" i="184"/>
  <c r="H282" i="184"/>
  <c r="H283" i="184"/>
  <c r="H284" i="184"/>
  <c r="H285" i="184"/>
  <c r="H286" i="184"/>
  <c r="H287" i="184"/>
  <c r="H288" i="184"/>
  <c r="H289" i="184"/>
  <c r="H290" i="184"/>
  <c r="H291" i="184"/>
  <c r="H292" i="184"/>
  <c r="H293" i="184"/>
  <c r="H294" i="184"/>
  <c r="H295" i="184"/>
  <c r="H296" i="184"/>
  <c r="H297" i="184"/>
  <c r="H298" i="184"/>
  <c r="H299" i="184"/>
  <c r="H300" i="184"/>
  <c r="H301" i="184"/>
  <c r="H302" i="184"/>
  <c r="H303" i="184"/>
  <c r="H304" i="184"/>
  <c r="H305" i="184"/>
  <c r="H306" i="184"/>
  <c r="H307" i="184"/>
  <c r="H308" i="184"/>
  <c r="H309" i="184"/>
  <c r="H310" i="184"/>
  <c r="H311" i="184"/>
  <c r="H312" i="184"/>
  <c r="H313" i="184"/>
  <c r="H314" i="184"/>
  <c r="H315" i="184"/>
  <c r="H316" i="184"/>
  <c r="H317" i="184"/>
  <c r="H318" i="184"/>
  <c r="H319" i="184"/>
  <c r="H320" i="184"/>
  <c r="H321" i="184"/>
  <c r="H322" i="184"/>
  <c r="H323" i="184"/>
  <c r="H324" i="184"/>
  <c r="H325" i="184"/>
  <c r="H326" i="184"/>
  <c r="H327" i="184"/>
  <c r="H328" i="184"/>
  <c r="H329" i="184"/>
  <c r="H330" i="184"/>
  <c r="H331" i="184"/>
  <c r="H332" i="184"/>
  <c r="H333" i="184"/>
  <c r="H334" i="184"/>
  <c r="H335" i="184"/>
  <c r="H336" i="184"/>
  <c r="H337" i="184"/>
  <c r="H338" i="184"/>
  <c r="H339" i="184"/>
  <c r="H340" i="184"/>
  <c r="H341" i="184"/>
  <c r="H342" i="184"/>
  <c r="H343" i="184"/>
  <c r="H344" i="184"/>
  <c r="H345" i="184"/>
  <c r="H346" i="184"/>
  <c r="H347" i="184"/>
  <c r="H348" i="184"/>
  <c r="H349" i="184"/>
  <c r="H350" i="184"/>
  <c r="H351" i="184"/>
  <c r="H352" i="184"/>
  <c r="H353" i="184"/>
  <c r="H354" i="184"/>
  <c r="H355" i="184"/>
  <c r="H356" i="184"/>
  <c r="H357" i="184"/>
  <c r="H358" i="184"/>
  <c r="H359" i="184"/>
  <c r="H360" i="184"/>
  <c r="H361" i="184"/>
  <c r="H362" i="184"/>
  <c r="H363" i="184"/>
  <c r="H364" i="184"/>
  <c r="H365" i="184"/>
  <c r="H366" i="184"/>
  <c r="H367" i="184"/>
  <c r="H368" i="184"/>
  <c r="H369" i="184"/>
  <c r="H370" i="184"/>
  <c r="H371" i="184"/>
  <c r="H372" i="184"/>
  <c r="H373" i="184"/>
  <c r="H374" i="184"/>
  <c r="H375" i="184"/>
  <c r="H376" i="184"/>
  <c r="H377" i="184"/>
  <c r="H378" i="184"/>
  <c r="H379" i="184"/>
  <c r="H380" i="184"/>
  <c r="H381" i="184"/>
  <c r="H382" i="184"/>
  <c r="H383" i="184"/>
  <c r="H384" i="184"/>
  <c r="H385" i="184"/>
  <c r="H386" i="184"/>
  <c r="H387" i="184"/>
  <c r="H388" i="184"/>
  <c r="H389" i="184"/>
  <c r="H390" i="184"/>
  <c r="H391" i="184"/>
  <c r="H392" i="184"/>
  <c r="H393" i="184"/>
  <c r="H394" i="184"/>
  <c r="H395" i="184"/>
  <c r="H396" i="184"/>
  <c r="H397" i="184"/>
  <c r="H398" i="184"/>
  <c r="H399" i="184"/>
  <c r="H400" i="184"/>
  <c r="H401" i="184"/>
  <c r="H402" i="184"/>
  <c r="H403" i="184"/>
  <c r="H404" i="184"/>
  <c r="H405" i="184"/>
  <c r="H406" i="184"/>
  <c r="H407" i="184"/>
  <c r="H408" i="184"/>
  <c r="H409" i="184"/>
  <c r="H410" i="184"/>
  <c r="H411" i="184"/>
  <c r="H412" i="184"/>
  <c r="H413" i="184"/>
  <c r="H414" i="184"/>
  <c r="H415" i="184"/>
  <c r="H416" i="184"/>
  <c r="H417" i="184"/>
  <c r="H418" i="184"/>
  <c r="H419" i="184"/>
  <c r="H420" i="184"/>
  <c r="H421" i="184"/>
  <c r="H422" i="184"/>
  <c r="H423" i="184"/>
  <c r="H424" i="184"/>
  <c r="H425" i="184"/>
  <c r="H426" i="184"/>
  <c r="H427" i="184"/>
  <c r="H428" i="184"/>
  <c r="H429" i="184"/>
  <c r="H430" i="184"/>
  <c r="H431" i="184"/>
  <c r="H432" i="184"/>
  <c r="H433" i="184"/>
  <c r="H434" i="184"/>
  <c r="H435" i="184"/>
  <c r="H436" i="184"/>
  <c r="H437" i="184"/>
  <c r="H438" i="184"/>
  <c r="H439" i="184"/>
  <c r="H440" i="184"/>
  <c r="H441" i="184"/>
  <c r="H442" i="184"/>
  <c r="H443" i="184"/>
  <c r="H444" i="184"/>
  <c r="H445" i="184"/>
  <c r="H446" i="184"/>
  <c r="H447" i="184"/>
  <c r="H448" i="184"/>
  <c r="H449" i="184"/>
  <c r="H450" i="184"/>
  <c r="H451" i="184"/>
  <c r="H452" i="184"/>
  <c r="H453" i="184"/>
  <c r="H454" i="184"/>
  <c r="H455" i="184"/>
  <c r="H456" i="184"/>
  <c r="H457" i="184"/>
  <c r="H458" i="184"/>
  <c r="H459" i="184"/>
  <c r="H460" i="184"/>
  <c r="H461" i="184"/>
  <c r="H462" i="184"/>
  <c r="H463" i="184"/>
  <c r="H464" i="184"/>
  <c r="H465" i="184"/>
  <c r="H466" i="184"/>
  <c r="H467" i="184"/>
  <c r="H468" i="184"/>
  <c r="H469" i="184"/>
  <c r="H470" i="184"/>
  <c r="H471" i="184"/>
  <c r="H472" i="184"/>
  <c r="H473" i="184"/>
  <c r="H474" i="184"/>
  <c r="H475" i="184"/>
  <c r="H476" i="184"/>
  <c r="H477" i="184"/>
  <c r="H478" i="184"/>
  <c r="H479" i="184"/>
  <c r="H480" i="184"/>
  <c r="H481" i="184"/>
  <c r="H482" i="184"/>
  <c r="H483" i="184"/>
  <c r="H484" i="184"/>
  <c r="H485" i="184"/>
  <c r="H486" i="184"/>
  <c r="H487" i="184"/>
  <c r="H488" i="184"/>
  <c r="H489" i="184"/>
  <c r="H490" i="184"/>
  <c r="H491" i="184"/>
  <c r="H492" i="184"/>
  <c r="H493" i="184"/>
  <c r="H494" i="184"/>
  <c r="H495" i="184"/>
  <c r="H496" i="184"/>
  <c r="H497" i="184"/>
  <c r="H498" i="184"/>
  <c r="H499" i="184"/>
  <c r="H500" i="184"/>
  <c r="H501" i="184"/>
  <c r="H502" i="184"/>
  <c r="H503" i="184"/>
  <c r="H504" i="184"/>
  <c r="H505" i="184"/>
  <c r="H506" i="184"/>
  <c r="H507" i="184"/>
  <c r="H508" i="184"/>
  <c r="H509" i="184"/>
  <c r="H510" i="184"/>
  <c r="H511" i="184"/>
  <c r="H512" i="184"/>
  <c r="H513" i="184"/>
  <c r="H514" i="184"/>
  <c r="H515" i="184"/>
  <c r="H516" i="184"/>
  <c r="H517" i="184"/>
  <c r="H518" i="184"/>
  <c r="H519" i="184"/>
  <c r="H520" i="184"/>
  <c r="H521" i="184"/>
  <c r="H522" i="184"/>
  <c r="H523" i="184"/>
  <c r="H524" i="184"/>
  <c r="H525" i="184"/>
  <c r="H526" i="184"/>
  <c r="H527" i="184"/>
  <c r="H528" i="184"/>
  <c r="H529" i="184"/>
  <c r="H530" i="184"/>
  <c r="H531" i="184"/>
  <c r="H532" i="184"/>
  <c r="H533" i="184"/>
  <c r="H534" i="184"/>
  <c r="H535" i="184"/>
  <c r="H536" i="184"/>
  <c r="H537" i="184"/>
  <c r="H538" i="184"/>
  <c r="H539" i="184"/>
  <c r="H540" i="184"/>
  <c r="H541" i="184"/>
  <c r="H542" i="184"/>
  <c r="H543" i="184"/>
  <c r="H544" i="184"/>
  <c r="H545" i="184"/>
  <c r="H546" i="184"/>
  <c r="H547" i="184"/>
  <c r="H548" i="184"/>
  <c r="H549" i="184"/>
  <c r="H550" i="184"/>
  <c r="H551" i="184"/>
  <c r="H552" i="184"/>
  <c r="H553" i="184"/>
  <c r="H554" i="184"/>
  <c r="H555" i="184"/>
  <c r="H556" i="184"/>
  <c r="H557" i="184"/>
  <c r="H558" i="184"/>
  <c r="H559" i="184"/>
  <c r="H560" i="184"/>
  <c r="H561" i="184"/>
  <c r="H562" i="184"/>
  <c r="H563" i="184"/>
  <c r="H564" i="184"/>
  <c r="H565" i="184"/>
  <c r="H566" i="184"/>
  <c r="H567" i="184"/>
  <c r="H568" i="184"/>
  <c r="H569" i="184"/>
  <c r="H570" i="184"/>
  <c r="H571" i="184"/>
  <c r="H572" i="184"/>
  <c r="H573" i="184"/>
  <c r="H574" i="184"/>
  <c r="H575" i="184"/>
  <c r="H576" i="184"/>
  <c r="H577" i="184"/>
  <c r="H578" i="184"/>
  <c r="H579" i="184"/>
  <c r="H580" i="184"/>
  <c r="H581" i="184"/>
  <c r="H582" i="184"/>
  <c r="H583" i="184"/>
  <c r="H584" i="184"/>
  <c r="H585" i="184"/>
  <c r="H586" i="184"/>
  <c r="H587" i="184"/>
  <c r="H588" i="184"/>
  <c r="H589" i="184"/>
  <c r="H590" i="184"/>
  <c r="H591" i="184"/>
  <c r="H592" i="184"/>
  <c r="H593" i="184"/>
  <c r="H594" i="184"/>
  <c r="H595" i="184"/>
  <c r="H596" i="184"/>
  <c r="H597" i="184"/>
  <c r="H598" i="184"/>
  <c r="H599" i="184"/>
  <c r="H600" i="184"/>
  <c r="H601" i="184"/>
  <c r="H602" i="184"/>
  <c r="H603" i="184"/>
  <c r="H604" i="184"/>
  <c r="H605" i="184"/>
  <c r="H606" i="184"/>
  <c r="H607" i="184"/>
  <c r="H608" i="184"/>
  <c r="H609" i="184"/>
  <c r="H610" i="184"/>
  <c r="H611" i="184"/>
  <c r="H612" i="184"/>
  <c r="H613" i="184"/>
  <c r="H614" i="184"/>
  <c r="H615" i="184"/>
  <c r="H616" i="184"/>
  <c r="H617" i="184"/>
  <c r="H618" i="184"/>
  <c r="H619" i="184"/>
  <c r="H620" i="184"/>
  <c r="H621" i="184"/>
  <c r="H622" i="184"/>
  <c r="H623" i="184"/>
  <c r="H624" i="184"/>
  <c r="H625" i="184"/>
  <c r="H626" i="184"/>
  <c r="H627" i="184"/>
  <c r="H628" i="184"/>
  <c r="H629" i="184"/>
  <c r="H630" i="184"/>
  <c r="H631" i="184"/>
  <c r="H632" i="184"/>
  <c r="H633" i="184"/>
  <c r="H634" i="184"/>
  <c r="H635" i="184"/>
  <c r="H636" i="184"/>
  <c r="H637" i="184"/>
  <c r="H638" i="184"/>
  <c r="H639" i="184"/>
  <c r="H640" i="184"/>
  <c r="H641" i="184"/>
  <c r="H642" i="184"/>
  <c r="H643" i="184"/>
  <c r="H644" i="184"/>
  <c r="H645" i="184"/>
  <c r="H646" i="184"/>
  <c r="H647" i="184"/>
  <c r="H648" i="184"/>
  <c r="H649" i="184"/>
  <c r="H650" i="184"/>
  <c r="H651" i="184"/>
  <c r="H652" i="184"/>
  <c r="H653" i="184"/>
  <c r="H654" i="184"/>
  <c r="H655" i="184"/>
  <c r="H656" i="184"/>
  <c r="H657" i="184"/>
  <c r="H658" i="184"/>
  <c r="H659" i="184"/>
  <c r="H660" i="184"/>
  <c r="H661" i="184"/>
  <c r="H662" i="184"/>
  <c r="H663" i="184"/>
  <c r="H664" i="184"/>
  <c r="H665" i="184"/>
  <c r="H666" i="184"/>
  <c r="H667" i="184"/>
  <c r="H668" i="184"/>
  <c r="H669" i="184"/>
  <c r="H670" i="184"/>
  <c r="H671" i="184"/>
  <c r="H672" i="184"/>
  <c r="H673" i="184"/>
  <c r="H674" i="184"/>
  <c r="H675" i="184"/>
  <c r="H676" i="184"/>
  <c r="H677" i="184"/>
  <c r="H678" i="184"/>
  <c r="H679" i="184"/>
  <c r="H680" i="184"/>
  <c r="H681" i="184"/>
  <c r="H682" i="184"/>
  <c r="H683" i="184"/>
  <c r="H684" i="184"/>
  <c r="H685" i="184"/>
  <c r="H686" i="184"/>
  <c r="H687" i="184"/>
  <c r="H688" i="184"/>
  <c r="H689" i="184"/>
  <c r="H690" i="184"/>
  <c r="H691" i="184"/>
  <c r="H692" i="184"/>
  <c r="H693" i="184"/>
  <c r="H694" i="184"/>
  <c r="H695" i="184"/>
  <c r="H696" i="184"/>
  <c r="H697" i="184"/>
  <c r="H698" i="184"/>
  <c r="H699" i="184"/>
  <c r="H700" i="184"/>
  <c r="H701" i="184"/>
  <c r="H702" i="184"/>
  <c r="H703" i="184"/>
  <c r="H704" i="184"/>
  <c r="H705" i="184"/>
  <c r="H706" i="184"/>
  <c r="H707" i="184"/>
  <c r="H708" i="184"/>
  <c r="H709" i="184"/>
  <c r="H710" i="184"/>
  <c r="H711" i="184"/>
  <c r="H712" i="184"/>
  <c r="H713" i="184"/>
  <c r="H714" i="184"/>
  <c r="H715" i="184"/>
  <c r="H716" i="184"/>
  <c r="H717" i="184"/>
  <c r="H718" i="184"/>
  <c r="H719" i="184"/>
  <c r="H720" i="184"/>
  <c r="H721" i="184"/>
  <c r="H722" i="184"/>
  <c r="H723" i="184"/>
  <c r="H724" i="184"/>
  <c r="H725" i="184"/>
  <c r="H726" i="184"/>
  <c r="H727" i="184"/>
  <c r="H728" i="184"/>
  <c r="H729" i="184"/>
  <c r="H730" i="184"/>
  <c r="H731" i="184"/>
  <c r="H732" i="184"/>
  <c r="H733" i="184"/>
  <c r="H734" i="184"/>
  <c r="H735" i="184"/>
  <c r="H736" i="184"/>
  <c r="H737" i="184"/>
  <c r="H738" i="184"/>
  <c r="H739" i="184"/>
  <c r="H740" i="184"/>
  <c r="H741" i="184"/>
  <c r="H742" i="184"/>
  <c r="H743" i="184"/>
  <c r="H744" i="184"/>
  <c r="H745" i="184"/>
  <c r="H746" i="184"/>
  <c r="H747" i="184"/>
  <c r="H748" i="184"/>
  <c r="H749" i="184"/>
  <c r="H750" i="184"/>
  <c r="H751" i="184"/>
  <c r="H752" i="184"/>
  <c r="H753" i="184"/>
  <c r="H754" i="184"/>
  <c r="H755" i="184"/>
  <c r="H756" i="184"/>
  <c r="H757" i="184"/>
  <c r="H758" i="184"/>
  <c r="H759" i="184"/>
  <c r="H760" i="184"/>
  <c r="H761" i="184"/>
  <c r="H762" i="184"/>
  <c r="H763" i="184"/>
  <c r="H764" i="184"/>
  <c r="H765" i="184"/>
  <c r="H766" i="184"/>
  <c r="H767" i="184"/>
  <c r="H768" i="184"/>
  <c r="H769" i="184"/>
  <c r="H770" i="184"/>
  <c r="H771" i="184"/>
  <c r="H772" i="184"/>
  <c r="H773" i="184"/>
  <c r="H774" i="184"/>
  <c r="H775" i="184"/>
  <c r="H776" i="184"/>
  <c r="H777" i="184"/>
  <c r="H778" i="184"/>
  <c r="H779" i="184"/>
  <c r="H780" i="184"/>
  <c r="H781" i="184"/>
  <c r="H782" i="184"/>
  <c r="H783" i="184"/>
  <c r="H784" i="184"/>
  <c r="H785" i="184"/>
  <c r="H786" i="184"/>
  <c r="H787" i="184"/>
  <c r="H788" i="184"/>
  <c r="H789" i="184"/>
  <c r="H790" i="184"/>
  <c r="H791" i="184"/>
  <c r="H792" i="184"/>
  <c r="H793" i="184"/>
  <c r="H794" i="184"/>
  <c r="H795" i="184"/>
  <c r="H796" i="184"/>
  <c r="H797" i="184"/>
  <c r="H798" i="184"/>
  <c r="H799" i="184"/>
  <c r="H800" i="184"/>
  <c r="H801" i="184"/>
  <c r="H802" i="184"/>
  <c r="H803" i="184"/>
  <c r="H804" i="184"/>
  <c r="H805" i="184"/>
  <c r="H806" i="184"/>
  <c r="H807" i="184"/>
  <c r="H808" i="184"/>
  <c r="H809" i="184"/>
  <c r="H810" i="184"/>
  <c r="H811" i="184"/>
  <c r="H812" i="184"/>
  <c r="H813" i="184"/>
  <c r="H814" i="184"/>
  <c r="H815" i="184"/>
  <c r="H816" i="184"/>
  <c r="H817" i="184"/>
  <c r="H818" i="184"/>
  <c r="H819" i="184"/>
  <c r="H820" i="184"/>
  <c r="H821" i="184"/>
  <c r="H822" i="184"/>
  <c r="H823" i="184"/>
  <c r="H824" i="184"/>
  <c r="H825" i="184"/>
  <c r="H826" i="184"/>
  <c r="H827" i="184"/>
  <c r="H828" i="184"/>
  <c r="H829" i="184"/>
  <c r="H830" i="184"/>
  <c r="H831" i="184"/>
  <c r="H832" i="184"/>
  <c r="H833" i="184"/>
  <c r="H834" i="184"/>
  <c r="H835" i="184"/>
  <c r="H836" i="184"/>
  <c r="H837" i="184"/>
  <c r="H838" i="184"/>
  <c r="H839" i="184"/>
  <c r="H840" i="184"/>
  <c r="H841" i="184"/>
  <c r="H842" i="184"/>
  <c r="H843" i="184"/>
  <c r="H844" i="184"/>
  <c r="H845" i="184"/>
  <c r="H846" i="184"/>
  <c r="H847" i="184"/>
  <c r="H848" i="184"/>
  <c r="H849" i="184"/>
  <c r="H850" i="184"/>
  <c r="H851" i="184"/>
  <c r="H852" i="184"/>
  <c r="H853" i="184"/>
  <c r="H854" i="184"/>
  <c r="H855" i="184"/>
  <c r="H856" i="184"/>
  <c r="H857" i="184"/>
  <c r="H858" i="184"/>
  <c r="H859" i="184"/>
  <c r="H860" i="184"/>
  <c r="H861" i="184"/>
  <c r="H862" i="184"/>
  <c r="H863" i="184"/>
  <c r="H864" i="184"/>
  <c r="H865" i="184"/>
  <c r="H866" i="184"/>
  <c r="H867" i="184"/>
  <c r="H868" i="184"/>
  <c r="H869" i="184"/>
  <c r="H870" i="184"/>
  <c r="H871" i="184"/>
  <c r="H872" i="184"/>
  <c r="H873" i="184"/>
  <c r="H874" i="184"/>
  <c r="H875" i="184"/>
  <c r="H876" i="184"/>
  <c r="H877" i="184"/>
  <c r="H878" i="184"/>
  <c r="H879" i="184"/>
  <c r="H880" i="184"/>
  <c r="H881" i="184"/>
  <c r="H882" i="184"/>
  <c r="H883" i="184"/>
  <c r="H884" i="184"/>
  <c r="H885" i="184"/>
  <c r="H886" i="184"/>
  <c r="H887" i="184"/>
  <c r="H888" i="184"/>
  <c r="H889" i="184"/>
  <c r="H890" i="184"/>
  <c r="H891" i="184"/>
  <c r="H892" i="184"/>
  <c r="H893" i="184"/>
  <c r="H894" i="184"/>
  <c r="H895" i="184"/>
  <c r="H896" i="184"/>
  <c r="H897" i="184"/>
  <c r="H898" i="184"/>
  <c r="H899" i="184"/>
  <c r="H900" i="184"/>
  <c r="H901" i="184"/>
  <c r="H902" i="184"/>
  <c r="H903" i="184"/>
  <c r="H904" i="184"/>
  <c r="H905" i="184"/>
  <c r="H906" i="184"/>
  <c r="H907" i="184"/>
  <c r="H908" i="184"/>
  <c r="H909" i="184"/>
  <c r="H910" i="184"/>
  <c r="H911" i="184"/>
  <c r="H912" i="184"/>
  <c r="H913" i="184"/>
  <c r="H914" i="184"/>
  <c r="H915" i="184"/>
  <c r="H916" i="184"/>
  <c r="H917" i="184"/>
  <c r="H918" i="184"/>
  <c r="H919" i="184"/>
  <c r="H920" i="184"/>
  <c r="H921" i="184"/>
  <c r="H922" i="184"/>
  <c r="H923" i="184"/>
  <c r="H924" i="184"/>
  <c r="H925" i="184"/>
  <c r="H926" i="184"/>
  <c r="H927" i="184"/>
  <c r="D176" i="5" l="1"/>
  <c r="H235" i="5"/>
  <c r="F182" i="29"/>
  <c r="D182" i="29"/>
  <c r="F152" i="5"/>
  <c r="F107" i="5"/>
  <c r="F5" i="5"/>
  <c r="D5" i="5"/>
  <c r="I5" i="5"/>
  <c r="K5" i="5"/>
  <c r="G182" i="29"/>
  <c r="E182" i="29"/>
  <c r="C182" i="29"/>
  <c r="F151" i="5"/>
  <c r="F43" i="5"/>
  <c r="F16" i="5"/>
  <c r="E5" i="5"/>
  <c r="J5" i="5"/>
  <c r="H5" i="5"/>
  <c r="E65" i="5"/>
  <c r="G272" i="5"/>
  <c r="G270" i="5"/>
  <c r="G268" i="5"/>
  <c r="G266" i="5"/>
  <c r="G264" i="5"/>
  <c r="G262" i="5"/>
  <c r="G258" i="5"/>
  <c r="G256" i="5"/>
  <c r="G254" i="5"/>
  <c r="G252" i="5"/>
  <c r="G250" i="5"/>
  <c r="G248" i="5"/>
  <c r="G246" i="5"/>
  <c r="G244" i="5"/>
  <c r="G242" i="5"/>
  <c r="G239" i="5"/>
  <c r="G237" i="5"/>
  <c r="G235" i="5"/>
  <c r="G233" i="5"/>
  <c r="G231" i="5"/>
  <c r="G227" i="5"/>
  <c r="G223" i="5"/>
  <c r="G221" i="5"/>
  <c r="G219" i="5"/>
  <c r="G215" i="5"/>
  <c r="G213" i="5"/>
  <c r="G209" i="5"/>
  <c r="G207" i="5"/>
  <c r="G205" i="5"/>
  <c r="G203" i="5"/>
  <c r="G198" i="5"/>
  <c r="G196" i="5"/>
  <c r="G194" i="5"/>
  <c r="G190" i="5"/>
  <c r="G188" i="5"/>
  <c r="G183" i="5"/>
  <c r="G177" i="5"/>
  <c r="G171" i="5"/>
  <c r="G165" i="5"/>
  <c r="G163" i="5"/>
  <c r="G161" i="5"/>
  <c r="G159" i="5"/>
  <c r="G157" i="5"/>
  <c r="G153" i="5"/>
  <c r="G151" i="5"/>
  <c r="G148" i="5"/>
  <c r="G143" i="5"/>
  <c r="G139" i="5"/>
  <c r="G137" i="5"/>
  <c r="G135" i="5"/>
  <c r="G133" i="5"/>
  <c r="G119" i="5"/>
  <c r="G117" i="5"/>
  <c r="G112" i="5"/>
  <c r="G107" i="5"/>
  <c r="G104" i="5"/>
  <c r="G100" i="5"/>
  <c r="G97" i="5"/>
  <c r="G66" i="5"/>
  <c r="G17" i="5"/>
  <c r="G15" i="5"/>
  <c r="G11" i="5"/>
  <c r="G7" i="5"/>
  <c r="D284" i="29"/>
  <c r="D282" i="29"/>
  <c r="D278" i="29"/>
  <c r="D275" i="29"/>
  <c r="D273" i="29"/>
  <c r="D269" i="29"/>
  <c r="D267" i="29"/>
  <c r="D265" i="29"/>
  <c r="D263" i="29"/>
  <c r="D259" i="29"/>
  <c r="D255" i="29"/>
  <c r="D253" i="29"/>
  <c r="D251" i="29"/>
  <c r="D249" i="29"/>
  <c r="D247" i="29"/>
  <c r="D245" i="29"/>
  <c r="D241" i="29"/>
  <c r="D237" i="29"/>
  <c r="G271" i="5"/>
  <c r="G269" i="5"/>
  <c r="G267" i="5"/>
  <c r="G265" i="5"/>
  <c r="G263" i="5"/>
  <c r="G261" i="5"/>
  <c r="G257" i="5"/>
  <c r="G255" i="5"/>
  <c r="G253" i="5"/>
  <c r="G251" i="5"/>
  <c r="G249" i="5"/>
  <c r="G247" i="5"/>
  <c r="G245" i="5"/>
  <c r="G243" i="5"/>
  <c r="G240" i="5"/>
  <c r="G238" i="5"/>
  <c r="G236" i="5"/>
  <c r="G234" i="5"/>
  <c r="G232" i="5"/>
  <c r="G230" i="5"/>
  <c r="G226" i="5"/>
  <c r="G222" i="5"/>
  <c r="G220" i="5"/>
  <c r="G218" i="5"/>
  <c r="G214" i="5"/>
  <c r="G210" i="5"/>
  <c r="G208" i="5"/>
  <c r="G206" i="5"/>
  <c r="G204" i="5"/>
  <c r="G200" i="5"/>
  <c r="G197" i="5"/>
  <c r="G195" i="5"/>
  <c r="G193" i="5"/>
  <c r="G189" i="5"/>
  <c r="G187" i="5"/>
  <c r="G182" i="5"/>
  <c r="G176" i="5"/>
  <c r="G166" i="5"/>
  <c r="G164" i="5"/>
  <c r="G162" i="5"/>
  <c r="G160" i="5"/>
  <c r="G158" i="5"/>
  <c r="G156" i="5"/>
  <c r="G152" i="5"/>
  <c r="G149" i="5"/>
  <c r="G146" i="5"/>
  <c r="G142" i="5"/>
  <c r="G138" i="5"/>
  <c r="G136" i="5"/>
  <c r="G134" i="5"/>
  <c r="G120" i="5"/>
  <c r="G118" i="5"/>
  <c r="G113" i="5"/>
  <c r="G111" i="5"/>
  <c r="G106" i="5"/>
  <c r="G102" i="5"/>
  <c r="G99" i="5"/>
  <c r="G96" i="5"/>
  <c r="G65" i="5"/>
  <c r="G16" i="5"/>
  <c r="G14" i="5"/>
  <c r="C11" i="5"/>
  <c r="C10" i="5"/>
  <c r="D283" i="29"/>
  <c r="D280" i="29"/>
  <c r="D276" i="29"/>
  <c r="D274" i="29"/>
  <c r="D272" i="29"/>
  <c r="D268" i="29"/>
  <c r="D266" i="29"/>
  <c r="D264" i="29"/>
  <c r="D260" i="29"/>
  <c r="D256" i="29"/>
  <c r="D254" i="29"/>
  <c r="D252" i="29"/>
  <c r="D250" i="29"/>
  <c r="D248" i="29"/>
  <c r="D246" i="29"/>
  <c r="D242" i="29"/>
  <c r="D240" i="29"/>
  <c r="D236" i="29"/>
  <c r="D234" i="29"/>
  <c r="D232" i="29"/>
  <c r="D227" i="29"/>
  <c r="D235" i="29"/>
  <c r="D228" i="29"/>
  <c r="D225" i="29"/>
  <c r="D223" i="29"/>
  <c r="D221" i="29"/>
  <c r="D219" i="29"/>
  <c r="D217" i="29"/>
  <c r="D215" i="29"/>
  <c r="H170" i="29"/>
  <c r="H167" i="29"/>
  <c r="H164" i="29"/>
  <c r="H159" i="29"/>
  <c r="H157" i="29"/>
  <c r="E258" i="5"/>
  <c r="E256" i="5"/>
  <c r="E254" i="5"/>
  <c r="E252" i="5"/>
  <c r="E250" i="5"/>
  <c r="E248" i="5"/>
  <c r="E246" i="5"/>
  <c r="E244" i="5"/>
  <c r="E242" i="5"/>
  <c r="E238" i="5"/>
  <c r="E236" i="5"/>
  <c r="E234" i="5"/>
  <c r="E232" i="5"/>
  <c r="E177" i="5"/>
  <c r="E171" i="5"/>
  <c r="E165" i="5"/>
  <c r="E148" i="5"/>
  <c r="E119" i="5"/>
  <c r="E117" i="5"/>
  <c r="E106" i="5"/>
  <c r="E103" i="5"/>
  <c r="E100" i="5"/>
  <c r="E97" i="5"/>
  <c r="E66" i="5"/>
  <c r="E16" i="5"/>
  <c r="E14" i="5"/>
  <c r="E9" i="5"/>
  <c r="C271" i="5"/>
  <c r="C269" i="5"/>
  <c r="C267" i="5"/>
  <c r="C265" i="5"/>
  <c r="C263" i="5"/>
  <c r="C261" i="5"/>
  <c r="C258" i="5"/>
  <c r="C256" i="5"/>
  <c r="C254" i="5"/>
  <c r="C252" i="5"/>
  <c r="C250" i="5"/>
  <c r="C248" i="5"/>
  <c r="C246" i="5"/>
  <c r="C244" i="5"/>
  <c r="C242" i="5"/>
  <c r="C240" i="5"/>
  <c r="C238" i="5"/>
  <c r="C236" i="5"/>
  <c r="C234" i="5"/>
  <c r="C232" i="5"/>
  <c r="C230" i="5"/>
  <c r="C227" i="5"/>
  <c r="C223" i="5"/>
  <c r="C221" i="5"/>
  <c r="C219" i="5"/>
  <c r="C215" i="5"/>
  <c r="C213" i="5"/>
  <c r="C209" i="5"/>
  <c r="C207" i="5"/>
  <c r="C205" i="5"/>
  <c r="C203" i="5"/>
  <c r="C199" i="5"/>
  <c r="C197" i="5"/>
  <c r="C195" i="5"/>
  <c r="C193" i="5"/>
  <c r="C189" i="5"/>
  <c r="C187" i="5"/>
  <c r="C182" i="5"/>
  <c r="C180" i="5"/>
  <c r="C176" i="5"/>
  <c r="C168" i="5"/>
  <c r="C166" i="5"/>
  <c r="C164" i="5"/>
  <c r="C162" i="5"/>
  <c r="C160" i="5"/>
  <c r="D233" i="29"/>
  <c r="D226" i="29"/>
  <c r="D224" i="29"/>
  <c r="D222" i="29"/>
  <c r="D220" i="29"/>
  <c r="D218" i="29"/>
  <c r="D216" i="29"/>
  <c r="E171" i="29"/>
  <c r="H169" i="29"/>
  <c r="H165" i="29"/>
  <c r="H163" i="29"/>
  <c r="H158" i="29"/>
  <c r="C9" i="29"/>
  <c r="E257" i="5"/>
  <c r="E255" i="5"/>
  <c r="E253" i="5"/>
  <c r="E251" i="5"/>
  <c r="E249" i="5"/>
  <c r="E247" i="5"/>
  <c r="E245" i="5"/>
  <c r="E243" i="5"/>
  <c r="E239" i="5"/>
  <c r="E237" i="5"/>
  <c r="E235" i="5"/>
  <c r="E233" i="5"/>
  <c r="E230" i="5"/>
  <c r="E176" i="5"/>
  <c r="E166" i="5"/>
  <c r="E149" i="5"/>
  <c r="E120" i="5"/>
  <c r="E118" i="5"/>
  <c r="E107" i="5"/>
  <c r="E104" i="5"/>
  <c r="E102" i="5"/>
  <c r="E99" i="5"/>
  <c r="E96" i="5"/>
  <c r="E17" i="5"/>
  <c r="E15" i="5"/>
  <c r="E11" i="5"/>
  <c r="C272" i="5"/>
  <c r="C270" i="5"/>
  <c r="C268" i="5"/>
  <c r="C266" i="5"/>
  <c r="C264" i="5"/>
  <c r="C262" i="5"/>
  <c r="C260" i="5"/>
  <c r="C257" i="5"/>
  <c r="C255" i="5"/>
  <c r="C253" i="5"/>
  <c r="C251" i="5"/>
  <c r="C249" i="5"/>
  <c r="C247" i="5"/>
  <c r="C245" i="5"/>
  <c r="C243" i="5"/>
  <c r="C241" i="5"/>
  <c r="C239" i="5"/>
  <c r="C237" i="5"/>
  <c r="C235" i="5"/>
  <c r="C233" i="5"/>
  <c r="C231" i="5"/>
  <c r="C229" i="5"/>
  <c r="C226" i="5"/>
  <c r="C222" i="5"/>
  <c r="C220" i="5"/>
  <c r="C218" i="5"/>
  <c r="C214" i="5"/>
  <c r="C210" i="5"/>
  <c r="C208" i="5"/>
  <c r="C206" i="5"/>
  <c r="C204" i="5"/>
  <c r="C200" i="5"/>
  <c r="C198" i="5"/>
  <c r="C196" i="5"/>
  <c r="C194" i="5"/>
  <c r="C190" i="5"/>
  <c r="C188" i="5"/>
  <c r="C183" i="5"/>
  <c r="C181" i="5"/>
  <c r="C177" i="5"/>
  <c r="C171" i="5"/>
  <c r="C167" i="5"/>
  <c r="C165" i="5"/>
  <c r="C163" i="5"/>
  <c r="C161" i="5"/>
  <c r="C159" i="5"/>
  <c r="C157" i="5"/>
  <c r="C155" i="5"/>
  <c r="C152" i="5"/>
  <c r="C153" i="5"/>
  <c r="C149" i="5"/>
  <c r="C147" i="5"/>
  <c r="C142" i="5"/>
  <c r="C138" i="5"/>
  <c r="C136" i="5"/>
  <c r="C134" i="5"/>
  <c r="C130" i="5"/>
  <c r="C128" i="5"/>
  <c r="C119" i="5"/>
  <c r="C112" i="5"/>
  <c r="C105" i="5"/>
  <c r="C102" i="5"/>
  <c r="C100" i="5"/>
  <c r="C92" i="5"/>
  <c r="C90" i="5"/>
  <c r="C88" i="5"/>
  <c r="C86" i="5"/>
  <c r="C84" i="5"/>
  <c r="C80" i="5"/>
  <c r="C39" i="5"/>
  <c r="C37" i="5"/>
  <c r="C35" i="5"/>
  <c r="C32" i="5"/>
  <c r="C30" i="5"/>
  <c r="C28" i="5"/>
  <c r="C26" i="5"/>
  <c r="C22" i="5"/>
  <c r="C20" i="5"/>
  <c r="C14" i="5"/>
  <c r="H109" i="29"/>
  <c r="H107" i="29"/>
  <c r="H105" i="29"/>
  <c r="E99" i="29"/>
  <c r="H99" i="29"/>
  <c r="H97" i="29"/>
  <c r="H95" i="29"/>
  <c r="H93" i="29"/>
  <c r="H90" i="29"/>
  <c r="H88" i="29"/>
  <c r="H86" i="29"/>
  <c r="H83" i="29"/>
  <c r="H81" i="29"/>
  <c r="H79" i="29"/>
  <c r="E83" i="29"/>
  <c r="E81" i="29"/>
  <c r="E79" i="29"/>
  <c r="J75" i="29"/>
  <c r="H75" i="29"/>
  <c r="F75" i="29"/>
  <c r="D75" i="29"/>
  <c r="J73" i="29"/>
  <c r="H73" i="29"/>
  <c r="F73" i="29"/>
  <c r="D73" i="29"/>
  <c r="J71" i="29"/>
  <c r="H71" i="29"/>
  <c r="F71" i="29"/>
  <c r="D71" i="29"/>
  <c r="J70" i="29"/>
  <c r="H70" i="29"/>
  <c r="F70" i="29"/>
  <c r="D70" i="29"/>
  <c r="J69" i="29"/>
  <c r="H69" i="29"/>
  <c r="F69" i="29"/>
  <c r="D69" i="29"/>
  <c r="J68" i="29"/>
  <c r="H68" i="29"/>
  <c r="F68" i="29"/>
  <c r="D68" i="29"/>
  <c r="J67" i="29"/>
  <c r="H67" i="29"/>
  <c r="F67" i="29"/>
  <c r="D67" i="29"/>
  <c r="J64" i="29"/>
  <c r="H64" i="29"/>
  <c r="F64" i="29"/>
  <c r="D64" i="29"/>
  <c r="J63" i="29"/>
  <c r="H63" i="29"/>
  <c r="F63" i="29"/>
  <c r="D63" i="29"/>
  <c r="J62" i="29"/>
  <c r="H62" i="29"/>
  <c r="F62" i="29"/>
  <c r="D62" i="29"/>
  <c r="J61" i="29"/>
  <c r="H61" i="29"/>
  <c r="F61" i="29"/>
  <c r="D61" i="29"/>
  <c r="J60" i="29"/>
  <c r="H60" i="29"/>
  <c r="F60" i="29"/>
  <c r="D60" i="29"/>
  <c r="J59" i="29"/>
  <c r="H59" i="29"/>
  <c r="F59" i="29"/>
  <c r="D59" i="29"/>
  <c r="J56" i="29"/>
  <c r="H56" i="29"/>
  <c r="F56" i="29"/>
  <c r="D56" i="29"/>
  <c r="J55" i="29"/>
  <c r="H55" i="29"/>
  <c r="F55" i="29"/>
  <c r="D55" i="29"/>
  <c r="J52" i="29"/>
  <c r="H52" i="29"/>
  <c r="F52" i="29"/>
  <c r="D52" i="29"/>
  <c r="J51" i="29"/>
  <c r="H51" i="29"/>
  <c r="F51" i="29"/>
  <c r="D51" i="29"/>
  <c r="J50" i="29"/>
  <c r="H50" i="29"/>
  <c r="F50" i="29"/>
  <c r="D50" i="29"/>
  <c r="J49" i="29"/>
  <c r="H49" i="29"/>
  <c r="F49" i="29"/>
  <c r="D49" i="29"/>
  <c r="J46" i="29"/>
  <c r="H46" i="29"/>
  <c r="F46" i="29"/>
  <c r="D46" i="29"/>
  <c r="J45" i="29"/>
  <c r="H45" i="29"/>
  <c r="F45" i="29"/>
  <c r="D45" i="29"/>
  <c r="J44" i="29"/>
  <c r="H44" i="29"/>
  <c r="F44" i="29"/>
  <c r="D44" i="29"/>
  <c r="J41" i="29"/>
  <c r="H41" i="29"/>
  <c r="F41" i="29"/>
  <c r="D41" i="29"/>
  <c r="J40" i="29"/>
  <c r="H40" i="29"/>
  <c r="F40" i="29"/>
  <c r="D40" i="29"/>
  <c r="J39" i="29"/>
  <c r="H39" i="29"/>
  <c r="F39" i="29"/>
  <c r="D39" i="29"/>
  <c r="J38" i="29"/>
  <c r="H38" i="29"/>
  <c r="F38" i="29"/>
  <c r="D38" i="29"/>
  <c r="J37" i="29"/>
  <c r="H37" i="29"/>
  <c r="F37" i="29"/>
  <c r="D37" i="29"/>
  <c r="J36" i="29"/>
  <c r="H36" i="29"/>
  <c r="C156" i="5"/>
  <c r="C151" i="5"/>
  <c r="C148" i="5"/>
  <c r="C146" i="5"/>
  <c r="C143" i="5"/>
  <c r="C139" i="5"/>
  <c r="C137" i="5"/>
  <c r="C135" i="5"/>
  <c r="C133" i="5"/>
  <c r="C120" i="5"/>
  <c r="C118" i="5"/>
  <c r="C113" i="5"/>
  <c r="C111" i="5"/>
  <c r="C106" i="5"/>
  <c r="C101" i="5"/>
  <c r="C97" i="5"/>
  <c r="C95" i="5"/>
  <c r="C91" i="5"/>
  <c r="C89" i="5"/>
  <c r="C87" i="5"/>
  <c r="C85" i="5"/>
  <c r="C81" i="5"/>
  <c r="C66" i="5"/>
  <c r="C38" i="5"/>
  <c r="C36" i="5"/>
  <c r="C34" i="5"/>
  <c r="C31" i="5"/>
  <c r="C29" i="5"/>
  <c r="C27" i="5"/>
  <c r="C25" i="5"/>
  <c r="C23" i="5"/>
  <c r="C21" i="5"/>
  <c r="C17" i="5"/>
  <c r="C15" i="5"/>
  <c r="H111" i="29"/>
  <c r="H108" i="29"/>
  <c r="H106" i="29"/>
  <c r="E101" i="29"/>
  <c r="H101" i="29"/>
  <c r="H98" i="29"/>
  <c r="H96" i="29"/>
  <c r="H94" i="29"/>
  <c r="H91" i="29"/>
  <c r="H89" i="29"/>
  <c r="H87" i="29"/>
  <c r="H85" i="29"/>
  <c r="H82" i="29"/>
  <c r="H80" i="29"/>
  <c r="H78" i="29"/>
  <c r="E82" i="29"/>
  <c r="E80" i="29"/>
  <c r="E78" i="29"/>
  <c r="I75" i="29"/>
  <c r="G75" i="29"/>
  <c r="E75" i="29"/>
  <c r="C75" i="29"/>
  <c r="I73" i="29"/>
  <c r="G73" i="29"/>
  <c r="E73" i="29"/>
  <c r="C73" i="29"/>
  <c r="I71" i="29"/>
  <c r="G71" i="29"/>
  <c r="E71" i="29"/>
  <c r="C71" i="29"/>
  <c r="I70" i="29"/>
  <c r="G70" i="29"/>
  <c r="E70" i="29"/>
  <c r="C70" i="29"/>
  <c r="I69" i="29"/>
  <c r="G69" i="29"/>
  <c r="E69" i="29"/>
  <c r="C69" i="29"/>
  <c r="I68" i="29"/>
  <c r="G68" i="29"/>
  <c r="E68" i="29"/>
  <c r="C68" i="29"/>
  <c r="I67" i="29"/>
  <c r="G67" i="29"/>
  <c r="E67" i="29"/>
  <c r="C67" i="29"/>
  <c r="I64" i="29"/>
  <c r="G64" i="29"/>
  <c r="E64" i="29"/>
  <c r="C64" i="29"/>
  <c r="I63" i="29"/>
  <c r="G63" i="29"/>
  <c r="E63" i="29"/>
  <c r="C63" i="29"/>
  <c r="I62" i="29"/>
  <c r="G62" i="29"/>
  <c r="E62" i="29"/>
  <c r="C62" i="29"/>
  <c r="I61" i="29"/>
  <c r="G61" i="29"/>
  <c r="E61" i="29"/>
  <c r="C61" i="29"/>
  <c r="I60" i="29"/>
  <c r="G60" i="29"/>
  <c r="E60" i="29"/>
  <c r="C60" i="29"/>
  <c r="I59" i="29"/>
  <c r="G59" i="29"/>
  <c r="E59" i="29"/>
  <c r="C59" i="29"/>
  <c r="I56" i="29"/>
  <c r="G56" i="29"/>
  <c r="E56" i="29"/>
  <c r="C56" i="29"/>
  <c r="I55" i="29"/>
  <c r="G55" i="29"/>
  <c r="E55" i="29"/>
  <c r="C55" i="29"/>
  <c r="I52" i="29"/>
  <c r="G52" i="29"/>
  <c r="E52" i="29"/>
  <c r="C52" i="29"/>
  <c r="I51" i="29"/>
  <c r="G51" i="29"/>
  <c r="E51" i="29"/>
  <c r="C51" i="29"/>
  <c r="I50" i="29"/>
  <c r="G50" i="29"/>
  <c r="E50" i="29"/>
  <c r="C50" i="29"/>
  <c r="I49" i="29"/>
  <c r="G49" i="29"/>
  <c r="E49" i="29"/>
  <c r="C49" i="29"/>
  <c r="I46" i="29"/>
  <c r="G46" i="29"/>
  <c r="E46" i="29"/>
  <c r="C46" i="29"/>
  <c r="I45" i="29"/>
  <c r="G45" i="29"/>
  <c r="E45" i="29"/>
  <c r="C45" i="29"/>
  <c r="I44" i="29"/>
  <c r="G44" i="29"/>
  <c r="E44" i="29"/>
  <c r="C44" i="29"/>
  <c r="I41" i="29"/>
  <c r="G41" i="29"/>
  <c r="E41" i="29"/>
  <c r="C41" i="29"/>
  <c r="I40" i="29"/>
  <c r="G40" i="29"/>
  <c r="E40" i="29"/>
  <c r="C40" i="29"/>
  <c r="I39" i="29"/>
  <c r="G39" i="29"/>
  <c r="E39" i="29"/>
  <c r="C39" i="29"/>
  <c r="I38" i="29"/>
  <c r="G38" i="29"/>
  <c r="E38" i="29"/>
  <c r="C38" i="29"/>
  <c r="I37" i="29"/>
  <c r="G37" i="29"/>
  <c r="E37" i="29"/>
  <c r="C37" i="29"/>
  <c r="I36" i="29"/>
  <c r="G36" i="29"/>
  <c r="F36" i="29"/>
  <c r="D36" i="29"/>
  <c r="H32" i="29"/>
  <c r="H30" i="29"/>
  <c r="H28" i="29"/>
  <c r="H26" i="29"/>
  <c r="H24" i="29"/>
  <c r="H22" i="29"/>
  <c r="H20" i="29"/>
  <c r="I19" i="29"/>
  <c r="G19" i="29"/>
  <c r="E19" i="29"/>
  <c r="C19" i="29"/>
  <c r="I18" i="29"/>
  <c r="G18" i="29"/>
  <c r="E18" i="29"/>
  <c r="C18" i="29"/>
  <c r="I17" i="29"/>
  <c r="G17" i="29"/>
  <c r="E17" i="29"/>
  <c r="C17" i="29"/>
  <c r="I16" i="29"/>
  <c r="G16" i="29"/>
  <c r="E16" i="29"/>
  <c r="C16" i="29"/>
  <c r="I15" i="29"/>
  <c r="G15" i="29"/>
  <c r="E15" i="29"/>
  <c r="C15" i="29"/>
  <c r="I14" i="29"/>
  <c r="G14" i="29"/>
  <c r="E14" i="29"/>
  <c r="C14" i="29"/>
  <c r="I13" i="29"/>
  <c r="G13" i="29"/>
  <c r="E13" i="29"/>
  <c r="C13" i="29"/>
  <c r="I12" i="29"/>
  <c r="G12" i="29"/>
  <c r="E12" i="29"/>
  <c r="C12" i="29"/>
  <c r="I11" i="29"/>
  <c r="G11" i="29"/>
  <c r="E11" i="29"/>
  <c r="C11" i="29"/>
  <c r="I10" i="29"/>
  <c r="G10" i="29"/>
  <c r="E10" i="29"/>
  <c r="C10" i="29"/>
  <c r="I9" i="29"/>
  <c r="G9" i="29"/>
  <c r="E9" i="29"/>
  <c r="C8" i="29"/>
  <c r="I8" i="29"/>
  <c r="G8" i="29"/>
  <c r="E8" i="29"/>
  <c r="H7" i="29"/>
  <c r="D7" i="29"/>
  <c r="E36" i="29"/>
  <c r="C36" i="29"/>
  <c r="H31" i="29"/>
  <c r="H29" i="29"/>
  <c r="H27" i="29"/>
  <c r="H25" i="29"/>
  <c r="H23" i="29"/>
  <c r="H21" i="29"/>
  <c r="J19" i="29"/>
  <c r="H19" i="29"/>
  <c r="F19" i="29"/>
  <c r="D19" i="29"/>
  <c r="J18" i="29"/>
  <c r="H18" i="29"/>
  <c r="F18" i="29"/>
  <c r="D18" i="29"/>
  <c r="J17" i="29"/>
  <c r="H17" i="29"/>
  <c r="F17" i="29"/>
  <c r="D17" i="29"/>
  <c r="J16" i="29"/>
  <c r="H16" i="29"/>
  <c r="F16" i="29"/>
  <c r="D16" i="29"/>
  <c r="J15" i="29"/>
  <c r="H15" i="29"/>
  <c r="F15" i="29"/>
  <c r="D15" i="29"/>
  <c r="J14" i="29"/>
  <c r="H14" i="29"/>
  <c r="F14" i="29"/>
  <c r="D14" i="29"/>
  <c r="J13" i="29"/>
  <c r="H13" i="29"/>
  <c r="F13" i="29"/>
  <c r="D13" i="29"/>
  <c r="J12" i="29"/>
  <c r="H12" i="29"/>
  <c r="F12" i="29"/>
  <c r="D12" i="29"/>
  <c r="J11" i="29"/>
  <c r="H11" i="29"/>
  <c r="F11" i="29"/>
  <c r="D11" i="29"/>
  <c r="J10" i="29"/>
  <c r="H10" i="29"/>
  <c r="F10" i="29"/>
  <c r="D10" i="29"/>
  <c r="J9" i="29"/>
  <c r="H9" i="29"/>
  <c r="F9" i="29"/>
  <c r="D9" i="29"/>
  <c r="J8" i="29"/>
  <c r="H8" i="29"/>
  <c r="F8" i="29"/>
  <c r="D8" i="29"/>
  <c r="I7" i="29"/>
  <c r="G7" i="29"/>
  <c r="E7" i="29"/>
  <c r="C7" i="29"/>
  <c r="J7" i="29"/>
  <c r="F7" i="29"/>
  <c r="F176" i="5"/>
  <c r="D247" i="5"/>
  <c r="K177" i="5"/>
  <c r="D220" i="5"/>
  <c r="D255" i="5"/>
  <c r="D239" i="5"/>
  <c r="H176" i="5"/>
  <c r="D203" i="5"/>
  <c r="D231" i="5"/>
  <c r="D107" i="5"/>
  <c r="F182" i="5"/>
  <c r="F187" i="5"/>
  <c r="D207" i="5"/>
  <c r="D226" i="5"/>
  <c r="D235" i="5"/>
  <c r="D243" i="5"/>
  <c r="D251" i="5"/>
  <c r="D269" i="5"/>
  <c r="F222" i="5"/>
  <c r="H233" i="5"/>
  <c r="H237" i="5"/>
  <c r="D205" i="5"/>
  <c r="D215" i="5"/>
  <c r="D222" i="5"/>
  <c r="D233" i="5"/>
  <c r="D241" i="5"/>
  <c r="D249" i="5"/>
  <c r="D257" i="5"/>
  <c r="D262" i="5"/>
  <c r="F220" i="5"/>
  <c r="H232" i="5"/>
  <c r="H236" i="5"/>
  <c r="F218" i="5"/>
  <c r="L364" i="29"/>
  <c r="L356" i="29"/>
  <c r="L349" i="29"/>
  <c r="L338" i="29"/>
  <c r="L329" i="29"/>
  <c r="L321" i="29"/>
  <c r="L309" i="29"/>
  <c r="L302" i="29"/>
  <c r="L291" i="29"/>
  <c r="L284" i="29"/>
  <c r="L278" i="29"/>
  <c r="L273" i="29"/>
  <c r="L267" i="29"/>
  <c r="L263" i="29"/>
  <c r="L255" i="29"/>
  <c r="L251" i="29"/>
  <c r="L247" i="29"/>
  <c r="L241" i="29"/>
  <c r="L235" i="29"/>
  <c r="L223" i="29"/>
  <c r="L227" i="29"/>
  <c r="L222" i="29"/>
  <c r="L205" i="29"/>
  <c r="L200" i="29"/>
  <c r="L192" i="29"/>
  <c r="L188" i="29"/>
  <c r="L180" i="29"/>
  <c r="L167" i="29"/>
  <c r="L163" i="29"/>
  <c r="L148" i="29"/>
  <c r="L144" i="29"/>
  <c r="L136" i="29"/>
  <c r="L130" i="29"/>
  <c r="L124" i="29"/>
  <c r="L113" i="29"/>
  <c r="L107" i="29"/>
  <c r="L99" i="29"/>
  <c r="L95" i="29"/>
  <c r="L90" i="29"/>
  <c r="L86" i="29"/>
  <c r="L81" i="29"/>
  <c r="L75" i="29"/>
  <c r="L69" i="29"/>
  <c r="L63" i="29"/>
  <c r="L59" i="29"/>
  <c r="L51" i="29"/>
  <c r="L45" i="29"/>
  <c r="L39" i="29"/>
  <c r="L30" i="29"/>
  <c r="L26" i="29"/>
  <c r="L22" i="29"/>
  <c r="L18" i="29"/>
  <c r="L13" i="29"/>
  <c r="H338" i="29"/>
  <c r="C329" i="29"/>
  <c r="C325" i="29"/>
  <c r="C321" i="29"/>
  <c r="H329" i="29"/>
  <c r="D329" i="29"/>
  <c r="G328" i="29"/>
  <c r="J327" i="29"/>
  <c r="F327" i="29"/>
  <c r="I326" i="29"/>
  <c r="E326" i="29"/>
  <c r="H325" i="29"/>
  <c r="D325" i="29"/>
  <c r="G324" i="29"/>
  <c r="J323" i="29"/>
  <c r="F323" i="29"/>
  <c r="I322" i="29"/>
  <c r="E322" i="29"/>
  <c r="H321" i="29"/>
  <c r="D321" i="29"/>
  <c r="G320" i="29"/>
  <c r="J319" i="29"/>
  <c r="F319" i="29"/>
  <c r="H364" i="29"/>
  <c r="H356" i="29"/>
  <c r="I351" i="29"/>
  <c r="E351" i="29"/>
  <c r="J349" i="29"/>
  <c r="F349" i="29"/>
  <c r="I348" i="29"/>
  <c r="E348" i="29"/>
  <c r="H308" i="29"/>
  <c r="E308" i="29"/>
  <c r="I302" i="29"/>
  <c r="E302" i="29"/>
  <c r="I301" i="29"/>
  <c r="E301" i="29"/>
  <c r="H292" i="29"/>
  <c r="H288" i="29"/>
  <c r="L366" i="29"/>
  <c r="L360" i="29"/>
  <c r="L351" i="29"/>
  <c r="L339" i="29"/>
  <c r="L332" i="29"/>
  <c r="L326" i="29"/>
  <c r="L322" i="29"/>
  <c r="L311" i="29"/>
  <c r="L306" i="29"/>
  <c r="L292" i="29"/>
  <c r="L288" i="29"/>
  <c r="L280" i="29"/>
  <c r="L274" i="29"/>
  <c r="L268" i="29"/>
  <c r="L264" i="29"/>
  <c r="L256" i="29"/>
  <c r="L252" i="29"/>
  <c r="L248" i="29"/>
  <c r="L242" i="29"/>
  <c r="L236" i="29"/>
  <c r="L232" i="29"/>
  <c r="L228" i="29"/>
  <c r="L224" i="29"/>
  <c r="L219" i="29"/>
  <c r="L206" i="29"/>
  <c r="L201" i="29"/>
  <c r="L193" i="29"/>
  <c r="L189" i="29"/>
  <c r="L182" i="29"/>
  <c r="L164" i="29"/>
  <c r="L157" i="29"/>
  <c r="L145" i="29"/>
  <c r="L138" i="29"/>
  <c r="L133" i="29"/>
  <c r="L125" i="29"/>
  <c r="L120" i="29"/>
  <c r="L108" i="29"/>
  <c r="L101" i="29"/>
  <c r="L96" i="29"/>
  <c r="L91" i="29"/>
  <c r="L87" i="29"/>
  <c r="L82" i="29"/>
  <c r="L78" i="29"/>
  <c r="L70" i="29"/>
  <c r="L64" i="29"/>
  <c r="L60" i="29"/>
  <c r="L52" i="29"/>
  <c r="L46" i="29"/>
  <c r="L40" i="29"/>
  <c r="L36" i="29"/>
  <c r="L31" i="29"/>
  <c r="L27" i="29"/>
  <c r="L23" i="29"/>
  <c r="L19" i="29"/>
  <c r="L15" i="29"/>
  <c r="L10" i="29"/>
  <c r="H339" i="29"/>
  <c r="H332" i="29"/>
  <c r="C326" i="29"/>
  <c r="C322" i="29"/>
  <c r="I329" i="29"/>
  <c r="E329" i="29"/>
  <c r="H328" i="29"/>
  <c r="D328" i="29"/>
  <c r="G327" i="29"/>
  <c r="J326" i="29"/>
  <c r="F326" i="29"/>
  <c r="I325" i="29"/>
  <c r="E325" i="29"/>
  <c r="H324" i="29"/>
  <c r="D324" i="29"/>
  <c r="G323" i="29"/>
  <c r="J322" i="29"/>
  <c r="F322" i="29"/>
  <c r="I321" i="29"/>
  <c r="E321" i="29"/>
  <c r="H320" i="29"/>
  <c r="D320" i="29"/>
  <c r="G319" i="29"/>
  <c r="C319" i="29"/>
  <c r="H360" i="29"/>
  <c r="J351" i="29"/>
  <c r="F351" i="29"/>
  <c r="C349" i="29"/>
  <c r="G349" i="29"/>
  <c r="J348" i="29"/>
  <c r="F348" i="29"/>
  <c r="H309" i="29"/>
  <c r="E309" i="29"/>
  <c r="J302" i="29"/>
  <c r="F302" i="29"/>
  <c r="J301" i="29"/>
  <c r="F301" i="29"/>
  <c r="H289" i="29"/>
  <c r="L361" i="29"/>
  <c r="L354" i="29"/>
  <c r="L341" i="29"/>
  <c r="L333" i="29"/>
  <c r="L323" i="29"/>
  <c r="L319" i="29"/>
  <c r="L307" i="29"/>
  <c r="L294" i="29"/>
  <c r="L289" i="29"/>
  <c r="L282" i="29"/>
  <c r="L275" i="29"/>
  <c r="L269" i="29"/>
  <c r="L265" i="29"/>
  <c r="L259" i="29"/>
  <c r="L253" i="29"/>
  <c r="L249" i="29"/>
  <c r="L245" i="29"/>
  <c r="L237" i="29"/>
  <c r="L233" i="29"/>
  <c r="L225" i="29"/>
  <c r="L220" i="29"/>
  <c r="L207" i="29"/>
  <c r="L202" i="29"/>
  <c r="L195" i="29"/>
  <c r="L190" i="29"/>
  <c r="L183" i="29"/>
  <c r="L165" i="29"/>
  <c r="L158" i="29"/>
  <c r="L146" i="29"/>
  <c r="L142" i="29"/>
  <c r="L134" i="29"/>
  <c r="L126" i="29"/>
  <c r="L122" i="29"/>
  <c r="L109" i="29"/>
  <c r="L105" i="29"/>
  <c r="L97" i="29"/>
  <c r="L93" i="29"/>
  <c r="L88" i="29"/>
  <c r="L83" i="29"/>
  <c r="L79" i="29"/>
  <c r="L71" i="29"/>
  <c r="L67" i="29"/>
  <c r="L61" i="29"/>
  <c r="L55" i="29"/>
  <c r="L49" i="29"/>
  <c r="L41" i="29"/>
  <c r="L37" i="29"/>
  <c r="L32" i="29"/>
  <c r="L28" i="29"/>
  <c r="L24" i="29"/>
  <c r="L20" i="29"/>
  <c r="L16" i="29"/>
  <c r="L11" i="29"/>
  <c r="H333" i="29"/>
  <c r="C327" i="29"/>
  <c r="C323" i="29"/>
  <c r="J329" i="29"/>
  <c r="F329" i="29"/>
  <c r="I328" i="29"/>
  <c r="E328" i="29"/>
  <c r="H327" i="29"/>
  <c r="D327" i="29"/>
  <c r="G326" i="29"/>
  <c r="J325" i="29"/>
  <c r="F325" i="29"/>
  <c r="I324" i="29"/>
  <c r="E324" i="29"/>
  <c r="H323" i="29"/>
  <c r="D323" i="29"/>
  <c r="G322" i="29"/>
  <c r="J321" i="29"/>
  <c r="F321" i="29"/>
  <c r="I320" i="29"/>
  <c r="E320" i="29"/>
  <c r="H319" i="29"/>
  <c r="D319" i="29"/>
  <c r="H361" i="29"/>
  <c r="H354" i="29"/>
  <c r="G351" i="29"/>
  <c r="C351" i="29"/>
  <c r="H349" i="29"/>
  <c r="D349" i="29"/>
  <c r="G348" i="29"/>
  <c r="C348" i="29"/>
  <c r="H306" i="29"/>
  <c r="E306" i="29"/>
  <c r="G302" i="29"/>
  <c r="C302" i="29"/>
  <c r="G301" i="29"/>
  <c r="C301" i="29"/>
  <c r="H290" i="29"/>
  <c r="L363" i="29"/>
  <c r="L355" i="29"/>
  <c r="L348" i="29"/>
  <c r="L337" i="29"/>
  <c r="L324" i="29"/>
  <c r="L308" i="29"/>
  <c r="L301" i="29"/>
  <c r="L290" i="29"/>
  <c r="L283" i="29"/>
  <c r="L276" i="29"/>
  <c r="L272" i="29"/>
  <c r="L266" i="29"/>
  <c r="L260" i="29"/>
  <c r="L254" i="29"/>
  <c r="L250" i="29"/>
  <c r="L246" i="29"/>
  <c r="L240" i="29"/>
  <c r="L234" i="29"/>
  <c r="L226" i="29"/>
  <c r="L221" i="29"/>
  <c r="L209" i="29"/>
  <c r="L203" i="29"/>
  <c r="L199" i="29"/>
  <c r="L191" i="29"/>
  <c r="L185" i="29"/>
  <c r="L173" i="29"/>
  <c r="L159" i="29"/>
  <c r="L150" i="29"/>
  <c r="L143" i="29"/>
  <c r="L135" i="29"/>
  <c r="L128" i="29"/>
  <c r="L123" i="29"/>
  <c r="L111" i="29"/>
  <c r="L106" i="29"/>
  <c r="L98" i="29"/>
  <c r="L94" i="29"/>
  <c r="L89" i="29"/>
  <c r="L85" i="29"/>
  <c r="L80" i="29"/>
  <c r="L73" i="29"/>
  <c r="L68" i="29"/>
  <c r="L62" i="29"/>
  <c r="L56" i="29"/>
  <c r="L50" i="29"/>
  <c r="L44" i="29"/>
  <c r="L38" i="29"/>
  <c r="L29" i="29"/>
  <c r="L25" i="29"/>
  <c r="L21" i="29"/>
  <c r="L17" i="29"/>
  <c r="L12" i="29"/>
  <c r="L7" i="29"/>
  <c r="H337" i="29"/>
  <c r="C328" i="29"/>
  <c r="C324" i="29"/>
  <c r="C320" i="29"/>
  <c r="G329" i="29"/>
  <c r="J328" i="29"/>
  <c r="F328" i="29"/>
  <c r="I327" i="29"/>
  <c r="E327" i="29"/>
  <c r="H326" i="29"/>
  <c r="D326" i="29"/>
  <c r="G325" i="29"/>
  <c r="J324" i="29"/>
  <c r="F324" i="29"/>
  <c r="I323" i="29"/>
  <c r="E323" i="29"/>
  <c r="H322" i="29"/>
  <c r="D322" i="29"/>
  <c r="G321" i="29"/>
  <c r="J320" i="29"/>
  <c r="F320" i="29"/>
  <c r="I319" i="29"/>
  <c r="E319" i="29"/>
  <c r="H363" i="29"/>
  <c r="H355" i="29"/>
  <c r="H351" i="29"/>
  <c r="D351" i="29"/>
  <c r="I349" i="29"/>
  <c r="E349" i="29"/>
  <c r="H348" i="29"/>
  <c r="D348" i="29"/>
  <c r="H307" i="29"/>
  <c r="E307" i="29"/>
  <c r="H302" i="29"/>
  <c r="D302" i="29"/>
  <c r="H301" i="29"/>
  <c r="D301" i="29"/>
  <c r="H291" i="29"/>
  <c r="H200" i="29"/>
  <c r="H192" i="29"/>
  <c r="H188" i="29"/>
  <c r="E191" i="29"/>
  <c r="G185" i="29"/>
  <c r="C185" i="29"/>
  <c r="G183" i="29"/>
  <c r="C183" i="29"/>
  <c r="G180" i="29"/>
  <c r="C180" i="29"/>
  <c r="H148" i="29"/>
  <c r="H143" i="29"/>
  <c r="H135" i="29"/>
  <c r="E136" i="29"/>
  <c r="J130" i="29"/>
  <c r="F130" i="29"/>
  <c r="J128" i="29"/>
  <c r="F128" i="29"/>
  <c r="I126" i="29"/>
  <c r="H125" i="29"/>
  <c r="D125" i="29"/>
  <c r="H124" i="29"/>
  <c r="D124" i="29"/>
  <c r="H123" i="29"/>
  <c r="D123" i="29"/>
  <c r="H122" i="29"/>
  <c r="D122" i="29"/>
  <c r="H120" i="29"/>
  <c r="D120" i="29"/>
  <c r="F272" i="5"/>
  <c r="F268" i="5"/>
  <c r="F264" i="5"/>
  <c r="J258" i="5"/>
  <c r="J256" i="5"/>
  <c r="J254" i="5"/>
  <c r="J252" i="5"/>
  <c r="J250" i="5"/>
  <c r="J248" i="5"/>
  <c r="J246" i="5"/>
  <c r="J244" i="5"/>
  <c r="J242" i="5"/>
  <c r="J238" i="5"/>
  <c r="J236" i="5"/>
  <c r="J234" i="5"/>
  <c r="J232" i="5"/>
  <c r="H230" i="5"/>
  <c r="D272" i="5"/>
  <c r="D268" i="5"/>
  <c r="D261" i="5"/>
  <c r="F214" i="5"/>
  <c r="F209" i="5"/>
  <c r="F207" i="5"/>
  <c r="F205" i="5"/>
  <c r="F203" i="5"/>
  <c r="D190" i="5"/>
  <c r="D188" i="5"/>
  <c r="K183" i="5"/>
  <c r="F183" i="5"/>
  <c r="D183" i="5"/>
  <c r="J177" i="5"/>
  <c r="F177" i="5"/>
  <c r="K176" i="5"/>
  <c r="K171" i="5"/>
  <c r="D170" i="5"/>
  <c r="K165" i="5"/>
  <c r="F167" i="5"/>
  <c r="F165" i="5"/>
  <c r="F163" i="5"/>
  <c r="F161" i="5"/>
  <c r="F159" i="5"/>
  <c r="H165" i="5"/>
  <c r="D164" i="5"/>
  <c r="D153" i="5"/>
  <c r="D151" i="5"/>
  <c r="I149" i="5"/>
  <c r="H201" i="29"/>
  <c r="H193" i="29"/>
  <c r="H189" i="29"/>
  <c r="E192" i="29"/>
  <c r="E188" i="29"/>
  <c r="H185" i="29"/>
  <c r="D185" i="29"/>
  <c r="H183" i="29"/>
  <c r="D183" i="29"/>
  <c r="H182" i="29"/>
  <c r="H180" i="29"/>
  <c r="D180" i="29"/>
  <c r="H144" i="29"/>
  <c r="H136" i="29"/>
  <c r="E138" i="29"/>
  <c r="E133" i="29"/>
  <c r="G130" i="29"/>
  <c r="C130" i="29"/>
  <c r="G128" i="29"/>
  <c r="C128" i="29"/>
  <c r="I125" i="29"/>
  <c r="E125" i="29"/>
  <c r="I124" i="29"/>
  <c r="E124" i="29"/>
  <c r="I123" i="29"/>
  <c r="E123" i="29"/>
  <c r="I122" i="29"/>
  <c r="E122" i="29"/>
  <c r="I120" i="29"/>
  <c r="E120" i="29"/>
  <c r="H272" i="5"/>
  <c r="F269" i="5"/>
  <c r="F265" i="5"/>
  <c r="K258" i="5"/>
  <c r="K256" i="5"/>
  <c r="K254" i="5"/>
  <c r="K252" i="5"/>
  <c r="K250" i="5"/>
  <c r="K248" i="5"/>
  <c r="K246" i="5"/>
  <c r="K244" i="5"/>
  <c r="K242" i="5"/>
  <c r="F258" i="5"/>
  <c r="F257" i="5"/>
  <c r="F256" i="5"/>
  <c r="F255" i="5"/>
  <c r="F254" i="5"/>
  <c r="F253" i="5"/>
  <c r="F252" i="5"/>
  <c r="F251" i="5"/>
  <c r="F250" i="5"/>
  <c r="F249" i="5"/>
  <c r="F248" i="5"/>
  <c r="F247" i="5"/>
  <c r="F246" i="5"/>
  <c r="F245" i="5"/>
  <c r="F244" i="5"/>
  <c r="F243" i="5"/>
  <c r="F242" i="5"/>
  <c r="K238" i="5"/>
  <c r="K236" i="5"/>
  <c r="K234" i="5"/>
  <c r="K232" i="5"/>
  <c r="H239" i="5"/>
  <c r="H238" i="5"/>
  <c r="H207" i="29"/>
  <c r="H202" i="29"/>
  <c r="H195" i="29"/>
  <c r="H190" i="29"/>
  <c r="E193" i="29"/>
  <c r="E189" i="29"/>
  <c r="I185" i="29"/>
  <c r="E185" i="29"/>
  <c r="I183" i="29"/>
  <c r="E183" i="29"/>
  <c r="I182" i="29"/>
  <c r="I180" i="29"/>
  <c r="E180" i="29"/>
  <c r="H145" i="29"/>
  <c r="H138" i="29"/>
  <c r="H133" i="29"/>
  <c r="E134" i="29"/>
  <c r="H130" i="29"/>
  <c r="D130" i="29"/>
  <c r="H128" i="29"/>
  <c r="D128" i="29"/>
  <c r="J125" i="29"/>
  <c r="F125" i="29"/>
  <c r="J124" i="29"/>
  <c r="F124" i="29"/>
  <c r="J123" i="29"/>
  <c r="F123" i="29"/>
  <c r="J122" i="29"/>
  <c r="F122" i="29"/>
  <c r="J120" i="29"/>
  <c r="F120" i="29"/>
  <c r="J107" i="5"/>
  <c r="K272" i="5"/>
  <c r="F270" i="5"/>
  <c r="F266" i="5"/>
  <c r="F261" i="5"/>
  <c r="J257" i="5"/>
  <c r="J255" i="5"/>
  <c r="J253" i="5"/>
  <c r="J251" i="5"/>
  <c r="J249" i="5"/>
  <c r="J247" i="5"/>
  <c r="J245" i="5"/>
  <c r="J243" i="5"/>
  <c r="J239" i="5"/>
  <c r="J237" i="5"/>
  <c r="J235" i="5"/>
  <c r="J233" i="5"/>
  <c r="F240" i="5"/>
  <c r="K230" i="5"/>
  <c r="F230" i="5"/>
  <c r="D270" i="5"/>
  <c r="D266" i="5"/>
  <c r="F215" i="5"/>
  <c r="F213" i="5"/>
  <c r="F210" i="5"/>
  <c r="F208" i="5"/>
  <c r="F206" i="5"/>
  <c r="F204" i="5"/>
  <c r="D189" i="5"/>
  <c r="D187" i="5"/>
  <c r="H183" i="5"/>
  <c r="D181" i="5"/>
  <c r="H177" i="5"/>
  <c r="D177" i="5"/>
  <c r="I176" i="5"/>
  <c r="I171" i="5"/>
  <c r="K170" i="5"/>
  <c r="H169" i="5"/>
  <c r="F166" i="5"/>
  <c r="F164" i="5"/>
  <c r="F162" i="5"/>
  <c r="F160" i="5"/>
  <c r="H166" i="5"/>
  <c r="D166" i="5"/>
  <c r="D158" i="5"/>
  <c r="H203" i="29"/>
  <c r="H199" i="29"/>
  <c r="H191" i="29"/>
  <c r="E195" i="29"/>
  <c r="E190" i="29"/>
  <c r="J185" i="29"/>
  <c r="F185" i="29"/>
  <c r="J183" i="29"/>
  <c r="F183" i="29"/>
  <c r="J182" i="29"/>
  <c r="J180" i="29"/>
  <c r="F180" i="29"/>
  <c r="H146" i="29"/>
  <c r="H142" i="29"/>
  <c r="H134" i="29"/>
  <c r="E135" i="29"/>
  <c r="I130" i="29"/>
  <c r="E130" i="29"/>
  <c r="I128" i="29"/>
  <c r="E128" i="29"/>
  <c r="G126" i="29"/>
  <c r="G125" i="29"/>
  <c r="C125" i="29"/>
  <c r="G124" i="29"/>
  <c r="C124" i="29"/>
  <c r="G123" i="29"/>
  <c r="C123" i="29"/>
  <c r="G122" i="29"/>
  <c r="C122" i="29"/>
  <c r="G120" i="29"/>
  <c r="C120" i="29"/>
  <c r="F271" i="5"/>
  <c r="F267" i="5"/>
  <c r="F263" i="5"/>
  <c r="K257" i="5"/>
  <c r="K255" i="5"/>
  <c r="K253" i="5"/>
  <c r="K251" i="5"/>
  <c r="K249" i="5"/>
  <c r="K247" i="5"/>
  <c r="K245" i="5"/>
  <c r="K243" i="5"/>
  <c r="H258" i="5"/>
  <c r="H257" i="5"/>
  <c r="H256" i="5"/>
  <c r="H255" i="5"/>
  <c r="H254" i="5"/>
  <c r="H253" i="5"/>
  <c r="H252" i="5"/>
  <c r="H251" i="5"/>
  <c r="H250" i="5"/>
  <c r="H249" i="5"/>
  <c r="H248" i="5"/>
  <c r="H247" i="5"/>
  <c r="H246" i="5"/>
  <c r="H245" i="5"/>
  <c r="H244" i="5"/>
  <c r="H243" i="5"/>
  <c r="H242" i="5"/>
  <c r="K239" i="5"/>
  <c r="K237" i="5"/>
  <c r="K235" i="5"/>
  <c r="K233" i="5"/>
  <c r="F239" i="5"/>
  <c r="F238" i="5"/>
  <c r="F237" i="5"/>
  <c r="F236" i="5"/>
  <c r="F235" i="5"/>
  <c r="F234" i="5"/>
  <c r="F233" i="5"/>
  <c r="F232" i="5"/>
  <c r="G229" i="5"/>
  <c r="F223" i="5"/>
  <c r="F221" i="5"/>
  <c r="F219" i="5"/>
  <c r="D271" i="5"/>
  <c r="D267" i="5"/>
  <c r="D258" i="5"/>
  <c r="D256" i="5"/>
  <c r="D254" i="5"/>
  <c r="D252" i="5"/>
  <c r="D250" i="5"/>
  <c r="D248" i="5"/>
  <c r="D246" i="5"/>
  <c r="D244" i="5"/>
  <c r="D242" i="5"/>
  <c r="D240" i="5"/>
  <c r="D238" i="5"/>
  <c r="D236" i="5"/>
  <c r="D234" i="5"/>
  <c r="D232" i="5"/>
  <c r="D230" i="5"/>
  <c r="D227" i="5"/>
  <c r="D223" i="5"/>
  <c r="D221" i="5"/>
  <c r="D219" i="5"/>
  <c r="D214" i="5"/>
  <c r="D210" i="5"/>
  <c r="D208" i="5"/>
  <c r="D206" i="5"/>
  <c r="D204" i="5"/>
  <c r="F190" i="5"/>
  <c r="F188" i="5"/>
  <c r="H181" i="5"/>
  <c r="H182" i="5"/>
  <c r="D182" i="5"/>
  <c r="J176" i="5"/>
  <c r="I177" i="5"/>
  <c r="F189" i="5"/>
  <c r="D209" i="5"/>
  <c r="D218" i="5"/>
  <c r="D229" i="5"/>
  <c r="D237" i="5"/>
  <c r="D245" i="5"/>
  <c r="D253" i="5"/>
  <c r="J230" i="5"/>
  <c r="H234" i="5"/>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E47" i="181"/>
  <c r="F47" i="181" s="1"/>
  <c r="G47" i="181" s="1"/>
  <c r="E46" i="181"/>
  <c r="F46" i="181" s="1"/>
  <c r="G46" i="181" s="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D14" i="171" l="1"/>
  <c r="D12" i="171"/>
  <c r="A10" i="169"/>
  <c r="A16" i="169"/>
  <c r="A15" i="169"/>
  <c r="A14" i="169"/>
  <c r="K18" i="169"/>
  <c r="G18" i="169"/>
  <c r="G15" i="169"/>
  <c r="I13" i="169"/>
  <c r="G11" i="169"/>
  <c r="G10" i="169"/>
  <c r="G9" i="169"/>
  <c r="G7" i="169"/>
  <c r="E7" i="169"/>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A2" i="173"/>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B7762" i="106"/>
  <c r="K12" i="12"/>
  <c r="K23" i="12"/>
  <c r="J12" i="12"/>
  <c r="J21" i="12"/>
  <c r="J23" i="12"/>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C211" i="5"/>
  <c r="B5260" i="106" s="1"/>
  <c r="D5260" i="106" s="1"/>
  <c r="C216" i="5"/>
  <c r="B4411" i="106" s="1"/>
  <c r="D4411" i="106" s="1"/>
  <c r="C224" i="5"/>
  <c r="C228" i="5"/>
  <c r="C259" i="5"/>
  <c r="B6833" i="106" s="1"/>
  <c r="D6833" i="106" s="1"/>
  <c r="B7761" i="106"/>
  <c r="D7761" i="106" s="1"/>
  <c r="L127" i="29"/>
  <c r="L129" i="29" s="1"/>
  <c r="L139" i="29"/>
  <c r="L149" i="29"/>
  <c r="I7" i="145"/>
  <c r="I6" i="145"/>
  <c r="D78" i="36"/>
  <c r="K75" i="29"/>
  <c r="F52" i="34" s="1"/>
  <c r="K130" i="29"/>
  <c r="B2805" i="106" s="1"/>
  <c r="D2805" i="106" s="1"/>
  <c r="K185" i="29"/>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7" i="108"/>
  <c r="G28" i="108"/>
  <c r="D37" i="108"/>
  <c r="E31" i="108"/>
  <c r="G31"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K41" i="3" l="1"/>
  <c r="B3568" i="106" s="1"/>
  <c r="D3568" i="106" s="1"/>
  <c r="K24" i="12"/>
  <c r="B2056" i="106"/>
  <c r="D2056" i="106" s="1"/>
  <c r="M16" i="3"/>
  <c r="F42" i="34"/>
  <c r="D6103" i="106"/>
  <c r="F44" i="34"/>
  <c r="G29" i="108"/>
  <c r="F46" i="34"/>
  <c r="F50" i="34"/>
  <c r="D14" i="4"/>
  <c r="B2570" i="106" s="1"/>
  <c r="D2570" i="106" s="1"/>
  <c r="F56" i="34"/>
  <c r="H29" i="118"/>
  <c r="D11" i="37"/>
  <c r="D31" i="36"/>
  <c r="D69" i="36"/>
  <c r="F19" i="7"/>
  <c r="B1807" i="106" s="1"/>
  <c r="D1807" i="106" s="1"/>
  <c r="L13" i="11"/>
  <c r="B2060" i="106" s="1"/>
  <c r="D2060" i="106" s="1"/>
  <c r="G33" i="108"/>
  <c r="F45" i="34"/>
  <c r="F41" i="34"/>
  <c r="F49" i="34"/>
  <c r="C14" i="4"/>
  <c r="B2558" i="106" s="1"/>
  <c r="D2558" i="106" s="1"/>
  <c r="F36" i="108"/>
  <c r="L312" i="29"/>
  <c r="F70" i="34"/>
  <c r="F36" i="34"/>
  <c r="G35" i="108"/>
  <c r="G26" i="108"/>
  <c r="B7076" i="106"/>
  <c r="D7076" i="106" s="1"/>
  <c r="G14" i="4"/>
  <c r="B2609" i="106" s="1"/>
  <c r="D2609" i="106" s="1"/>
  <c r="F71" i="34"/>
  <c r="H112" i="29"/>
  <c r="B7018" i="106" s="1"/>
  <c r="D7018" i="106" s="1"/>
  <c r="E35" i="108"/>
  <c r="E29" i="108"/>
  <c r="E26" i="108"/>
  <c r="B1274" i="106"/>
  <c r="D1274" i="106" s="1"/>
  <c r="I210" i="29"/>
  <c r="B7071" i="106" s="1"/>
  <c r="D7071" i="106" s="1"/>
  <c r="J210" i="29"/>
  <c r="B7072" i="106" s="1"/>
  <c r="D7072" i="106" s="1"/>
  <c r="F67" i="34"/>
  <c r="B7078" i="106"/>
  <c r="D7078" i="106" s="1"/>
  <c r="G39" i="108"/>
  <c r="F38" i="34"/>
  <c r="G30" i="108"/>
  <c r="E28" i="108"/>
  <c r="F34" i="34"/>
  <c r="D36" i="108"/>
  <c r="F28" i="108"/>
  <c r="F41" i="108" s="1"/>
  <c r="G43" i="108" s="1"/>
  <c r="B6995" i="106"/>
  <c r="D6995" i="106" s="1"/>
  <c r="B2724" i="106"/>
  <c r="D2724" i="106" s="1"/>
  <c r="J274" i="5"/>
  <c r="B7054" i="106" s="1"/>
  <c r="D7054" i="106" s="1"/>
  <c r="E30" i="108"/>
  <c r="I342" i="29"/>
  <c r="B7222" i="106" s="1"/>
  <c r="D7222" i="106" s="1"/>
  <c r="I274" i="5"/>
  <c r="B4435" i="106" s="1"/>
  <c r="D4435" i="106" s="1"/>
  <c r="F136" i="34"/>
  <c r="F131" i="34"/>
  <c r="J352" i="29"/>
  <c r="J367" i="29" s="1"/>
  <c r="B7245" i="106" s="1"/>
  <c r="D7245" i="106" s="1"/>
  <c r="F128" i="34"/>
  <c r="H342" i="29"/>
  <c r="B7221" i="106" s="1"/>
  <c r="D7221" i="106" s="1"/>
  <c r="H365" i="29"/>
  <c r="B7242" i="106" s="1"/>
  <c r="D7242" i="106" s="1"/>
  <c r="L342" i="29"/>
  <c r="L367" i="29"/>
  <c r="K285" i="29"/>
  <c r="B3724" i="106" s="1"/>
  <c r="D3724" i="106" s="1"/>
  <c r="G352" i="29"/>
  <c r="B3649" i="106" s="1"/>
  <c r="D3649" i="106" s="1"/>
  <c r="B7235" i="106"/>
  <c r="D7235" i="106" s="1"/>
  <c r="C352" i="29"/>
  <c r="K350" i="29"/>
  <c r="C342" i="29"/>
  <c r="B7216" i="106" s="1"/>
  <c r="D7216" i="106" s="1"/>
  <c r="B1410" i="106"/>
  <c r="D1410" i="106" s="1"/>
  <c r="F64" i="34"/>
  <c r="E38" i="108"/>
  <c r="G38" i="108"/>
  <c r="K184" i="29"/>
  <c r="F13" i="4" s="1"/>
  <c r="B2596" i="106" s="1"/>
  <c r="D2596" i="106" s="1"/>
  <c r="G210" i="29"/>
  <c r="E174" i="29"/>
  <c r="B1309" i="106" s="1"/>
  <c r="D1309" i="106" s="1"/>
  <c r="B1329" i="106"/>
  <c r="D1329" i="106" s="1"/>
  <c r="F61" i="34"/>
  <c r="B1223" i="106"/>
  <c r="D1223" i="106" s="1"/>
  <c r="G15" i="145"/>
  <c r="D27" i="108"/>
  <c r="D31" i="108"/>
  <c r="F35" i="34"/>
  <c r="F37" i="34"/>
  <c r="D52" i="36"/>
  <c r="K274" i="5"/>
  <c r="K7" i="4" s="1"/>
  <c r="B3718" i="106" s="1"/>
  <c r="D3718" i="106" s="1"/>
  <c r="B7041" i="106"/>
  <c r="D7041" i="106" s="1"/>
  <c r="F130" i="34"/>
  <c r="F127" i="34"/>
  <c r="B5096" i="106"/>
  <c r="D5096" i="106" s="1"/>
  <c r="F106" i="34"/>
  <c r="B5752" i="106"/>
  <c r="D5752" i="106" s="1"/>
  <c r="B1746" i="106"/>
  <c r="D1746" i="106" s="1"/>
  <c r="I173" i="5"/>
  <c r="B4216" i="106" s="1"/>
  <c r="D4216" i="106" s="1"/>
  <c r="K173" i="5"/>
  <c r="K6" i="4" s="1"/>
  <c r="B3570" i="106" s="1"/>
  <c r="D3570" i="106" s="1"/>
  <c r="H173" i="5"/>
  <c r="B5906" i="106" s="1"/>
  <c r="D5906" i="106" s="1"/>
  <c r="F111" i="34"/>
  <c r="G172" i="5"/>
  <c r="G173" i="5" s="1"/>
  <c r="B5778" i="106" s="1"/>
  <c r="D5778" i="106" s="1"/>
  <c r="C172" i="5"/>
  <c r="B5214" i="106" s="1"/>
  <c r="D5214" i="106" s="1"/>
  <c r="F172" i="5"/>
  <c r="B5644" i="106" s="1"/>
  <c r="D5644" i="106" s="1"/>
  <c r="G109" i="5"/>
  <c r="B6024" i="106" s="1"/>
  <c r="D6024" i="106" s="1"/>
  <c r="G5" i="4"/>
  <c r="B3409" i="106" s="1"/>
  <c r="D3409" i="106" s="1"/>
  <c r="D5" i="4"/>
  <c r="B3406" i="106" s="1"/>
  <c r="D3406" i="106" s="1"/>
  <c r="H109" i="5"/>
  <c r="B6025" i="106" s="1"/>
  <c r="D6025" i="106" s="1"/>
  <c r="C109" i="5"/>
  <c r="B5121" i="106" s="1"/>
  <c r="D5121" i="106" s="1"/>
  <c r="D109" i="5"/>
  <c r="B5356" i="106" s="1"/>
  <c r="D5356" i="106" s="1"/>
  <c r="E109" i="5"/>
  <c r="E4" i="4" s="1"/>
  <c r="B2630" i="106" s="1"/>
  <c r="D2630" i="106" s="1"/>
  <c r="D13" i="7"/>
  <c r="B3726" i="106" s="1"/>
  <c r="D3726" i="106" s="1"/>
  <c r="D12" i="7"/>
  <c r="B1769" i="106" s="1"/>
  <c r="D1769" i="106" s="1"/>
  <c r="D4" i="7"/>
  <c r="B1760" i="106" s="1"/>
  <c r="D1760" i="106" s="1"/>
  <c r="D11" i="7"/>
  <c r="B1768" i="106" s="1"/>
  <c r="D1768" i="106" s="1"/>
  <c r="D7" i="7"/>
  <c r="B1763" i="106" s="1"/>
  <c r="D1763" i="106" s="1"/>
  <c r="D15" i="7"/>
  <c r="B1772" i="106" s="1"/>
  <c r="D1772" i="106" s="1"/>
  <c r="D5" i="7"/>
  <c r="B1761" i="106" s="1"/>
  <c r="D1761" i="106" s="1"/>
  <c r="D9" i="7"/>
  <c r="B1767" i="106" s="1"/>
  <c r="D1767"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2059" i="106" l="1"/>
  <c r="D2059" i="106" s="1"/>
  <c r="M19" i="3"/>
  <c r="B276" i="106" s="1"/>
  <c r="D276" i="106" s="1"/>
  <c r="D7255" i="106"/>
  <c r="D7251" i="106"/>
  <c r="D7250" i="106"/>
  <c r="B273" i="106"/>
  <c r="D273" i="106" s="1"/>
  <c r="B7733" i="106"/>
  <c r="D7733" i="106" s="1"/>
  <c r="K26" i="12"/>
  <c r="B7743" i="106" s="1"/>
  <c r="D7743" i="106" s="1"/>
  <c r="B2057" i="106"/>
  <c r="D2057" i="106" s="1"/>
  <c r="M17" i="3"/>
  <c r="B274" i="106" s="1"/>
  <c r="D274" i="106" s="1"/>
  <c r="B2058" i="106"/>
  <c r="D2058" i="106" s="1"/>
  <c r="M18" i="3"/>
  <c r="B275" i="106" s="1"/>
  <c r="D275" i="106" s="1"/>
  <c r="L16" i="11"/>
  <c r="B2061" i="106" s="1"/>
  <c r="D2061" i="106" s="1"/>
  <c r="J16" i="4"/>
  <c r="B6226" i="106" s="1"/>
  <c r="D6226" i="106" s="1"/>
  <c r="B1266" i="106"/>
  <c r="D1266" i="106" s="1"/>
  <c r="B1381" i="106"/>
  <c r="D1381" i="106" s="1"/>
  <c r="L114" i="29"/>
  <c r="J7" i="4"/>
  <c r="K365" i="29"/>
  <c r="K16" i="4" s="1"/>
  <c r="B5914" i="106"/>
  <c r="D5914" i="106" s="1"/>
  <c r="B6022" i="106"/>
  <c r="D6022" i="106" s="1"/>
  <c r="F66" i="34"/>
  <c r="B1328" i="106"/>
  <c r="D1328" i="106" s="1"/>
  <c r="K342" i="29"/>
  <c r="F13" i="34" s="1"/>
  <c r="G367" i="29"/>
  <c r="B3650" i="106" s="1"/>
  <c r="D3650" i="106" s="1"/>
  <c r="B3628" i="106"/>
  <c r="D3628" i="106" s="1"/>
  <c r="F73" i="34"/>
  <c r="G15" i="4"/>
  <c r="B6032" i="106" s="1"/>
  <c r="D6032" i="106" s="1"/>
  <c r="D41" i="108"/>
  <c r="E43" i="108" s="1"/>
  <c r="H367" i="29"/>
  <c r="B3660" i="106" s="1"/>
  <c r="D3660" i="106" s="1"/>
  <c r="B3621" i="106"/>
  <c r="D3621" i="106" s="1"/>
  <c r="C367" i="29"/>
  <c r="B3622" i="106" s="1"/>
  <c r="D3622" i="106" s="1"/>
  <c r="B3670" i="106"/>
  <c r="D3670" i="106" s="1"/>
  <c r="K352" i="29"/>
  <c r="B1365" i="106"/>
  <c r="D1365" i="106" s="1"/>
  <c r="F65" i="34"/>
  <c r="B1317" i="106"/>
  <c r="D1317" i="106" s="1"/>
  <c r="C114" i="29"/>
  <c r="B757" i="106" s="1"/>
  <c r="D757" i="106" s="1"/>
  <c r="F274" i="5"/>
  <c r="B5719" i="106" s="1"/>
  <c r="D5719" i="106" s="1"/>
  <c r="D274" i="5"/>
  <c r="D7" i="4" s="1"/>
  <c r="I6" i="4"/>
  <c r="B5011" i="106" s="1"/>
  <c r="D5011" i="106" s="1"/>
  <c r="B6014" i="106"/>
  <c r="D6014" i="106" s="1"/>
  <c r="H6" i="4"/>
  <c r="B2656" i="106" s="1"/>
  <c r="D2656" i="106" s="1"/>
  <c r="F173" i="5"/>
  <c r="B5770" i="106"/>
  <c r="D5770" i="106" s="1"/>
  <c r="G6" i="4"/>
  <c r="B2604" i="106" s="1"/>
  <c r="D2604" i="106" s="1"/>
  <c r="C173" i="5"/>
  <c r="B5223" i="106" s="1"/>
  <c r="D5223" i="106" s="1"/>
  <c r="G4" i="4"/>
  <c r="B2603" i="106" s="1"/>
  <c r="D2603" i="106" s="1"/>
  <c r="H4" i="4"/>
  <c r="B2655" i="106" s="1"/>
  <c r="D2655" i="106" s="1"/>
  <c r="H275" i="5"/>
  <c r="B5915" i="106" s="1"/>
  <c r="D5915" i="106" s="1"/>
  <c r="C4" i="4"/>
  <c r="B2551" i="106" s="1"/>
  <c r="D2551" i="106" s="1"/>
  <c r="D4" i="4"/>
  <c r="B2564" i="106" s="1"/>
  <c r="D2564" i="106" s="1"/>
  <c r="B5527" i="106"/>
  <c r="D5527"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M23" i="3" l="1"/>
  <c r="B1145" i="106"/>
  <c r="D1145" i="106" s="1"/>
  <c r="B5507" i="106"/>
  <c r="D5507" i="106" s="1"/>
  <c r="F7" i="4"/>
  <c r="B2594" i="106" s="1"/>
  <c r="D2594" i="106" s="1"/>
  <c r="B7243" i="106"/>
  <c r="D7243" i="106" s="1"/>
  <c r="K367" i="29"/>
  <c r="B3678" i="106" s="1"/>
  <c r="D3678" i="106" s="1"/>
  <c r="B7224" i="106"/>
  <c r="D7224" i="106" s="1"/>
  <c r="K13" i="4"/>
  <c r="B3572" i="106" s="1"/>
  <c r="D3572" i="106" s="1"/>
  <c r="B3672" i="106"/>
  <c r="D3672" i="106" s="1"/>
  <c r="D275" i="5"/>
  <c r="B5508" i="106" s="1"/>
  <c r="D5508" i="106" s="1"/>
  <c r="F275" i="5"/>
  <c r="B5720" i="106" s="1"/>
  <c r="D5720" i="106" s="1"/>
  <c r="F6" i="4"/>
  <c r="B2593" i="106" s="1"/>
  <c r="D2593" i="106" s="1"/>
  <c r="B5653" i="106"/>
  <c r="D5653" i="106" s="1"/>
  <c r="C6" i="4"/>
  <c r="B2553" i="106" s="1"/>
  <c r="D2553" i="106" s="1"/>
  <c r="H8" i="4"/>
  <c r="B2658" i="106" s="1"/>
  <c r="D2658" i="106" s="1"/>
  <c r="J17" i="4"/>
  <c r="B6227" i="106" s="1"/>
  <c r="D6227" i="106" s="1"/>
  <c r="J8" i="4"/>
  <c r="J10" i="4" s="1"/>
  <c r="B6225" i="106" s="1"/>
  <c r="D62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0" i="3" l="1"/>
  <c r="B279" i="106"/>
  <c r="D279" i="106" s="1"/>
  <c r="K368" i="29"/>
  <c r="B3681" i="106" s="1"/>
  <c r="D3681" i="106" s="1"/>
  <c r="J19" i="4"/>
  <c r="B6229" i="106" s="1"/>
  <c r="D6229" i="106" s="1"/>
  <c r="K17" i="4"/>
  <c r="K19" i="4" s="1"/>
  <c r="B4144" i="106" s="1"/>
  <c r="D4144" i="106" s="1"/>
  <c r="B6223" i="106"/>
  <c r="D6223" i="106" s="1"/>
  <c r="F8" i="4"/>
  <c r="F10" i="4" s="1"/>
  <c r="B4125" i="106" s="1"/>
  <c r="D4125" i="106" s="1"/>
  <c r="H10" i="4"/>
  <c r="B4127" i="106" s="1"/>
  <c r="D4127" i="106" s="1"/>
  <c r="D8" i="4"/>
  <c r="D10" i="4" s="1"/>
  <c r="B4123" i="106" s="1"/>
  <c r="D4123" i="106" s="1"/>
  <c r="J20" i="4"/>
  <c r="J78" i="4"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K20" i="4"/>
  <c r="B3576" i="106" s="1"/>
  <c r="D3576" i="106" s="1"/>
  <c r="B3575" i="106"/>
  <c r="D3575" i="106" s="1"/>
  <c r="B6230" i="106"/>
  <c r="D6230" i="106" s="1"/>
  <c r="B2595" i="106"/>
  <c r="D2595" i="106" s="1"/>
  <c r="D8" i="146"/>
  <c r="B2568" i="106"/>
  <c r="D2568" i="106" s="1"/>
  <c r="C8" i="146"/>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J81" i="4"/>
  <c r="B6263" i="106"/>
  <c r="D6263" i="106" s="1"/>
  <c r="B281" i="106" l="1"/>
  <c r="D281" i="106" s="1"/>
  <c r="D54" i="36"/>
  <c r="F179" i="34"/>
  <c r="F79" i="34"/>
  <c r="K78" i="4"/>
  <c r="K81" i="4" s="1"/>
  <c r="B2574" i="106"/>
  <c r="D2574" i="106" s="1"/>
  <c r="D10" i="146"/>
  <c r="F8" i="146"/>
  <c r="C10" i="146"/>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B3588" i="106"/>
  <c r="D3588"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<sst xmlns="http://schemas.openxmlformats.org/spreadsheetml/2006/main" count="8544" uniqueCount="4054">
  <si>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</si>
  <si>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</si>
  <si>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</si>
  <si>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</si>
  <si>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</si>
  <si>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</si>
  <si>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</si>
  <si>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</si>
  <si>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</si>
  <si>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</si>
  <si>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</si>
  <si>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</si>
  <si>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</si>
  <si>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</si>
  <si>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</si>
  <si>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</si>
  <si>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</si>
  <si>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</si>
  <si>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</si>
  <si>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</si>
  <si>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</si>
  <si>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</si>
  <si>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</si>
  <si>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</si>
  <si>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</si>
  <si>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</si>
  <si>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</si>
  <si>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</si>
  <si>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</si>
  <si>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</si>
  <si>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</si>
  <si>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</si>
  <si>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</si>
  <si>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</si>
  <si>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</si>
  <si>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</si>
  <si>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</si>
  <si>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</si>
  <si>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</si>
  <si>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</si>
  <si>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</si>
  <si>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</si>
  <si>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</si>
  <si>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</si>
  <si>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</si>
  <si>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</si>
  <si>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</si>
  <si>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</si>
  <si>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</si>
  <si>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</si>
  <si>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</si>
  <si>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</si>
  <si>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</si>
  <si>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</si>
  <si>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</si>
  <si>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</si>
  <si>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</si>
  <si>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</si>
  <si>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</si>
  <si>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</si>
  <si>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</si>
  <si>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</si>
  <si>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</si>
  <si>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</si>
  <si>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</si>
  <si>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</si>
  <si>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</si>
  <si>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</si>
  <si>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</si>
  <si>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</si>
  <si>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</si>
  <si>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</si>
  <si>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</si>
  <si>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</si>
  <si>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</si>
  <si>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</si>
  <si>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</si>
  <si>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</si>
  <si>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</si>
  <si>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</si>
  <si>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</si>
  <si>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</si>
  <si>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</si>
  <si>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</si>
  <si>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</si>
  <si>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</si>
  <si>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</si>
  <si>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</si>
  <si>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</si>
  <si>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</si>
  <si>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</si>
  <si>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</si>
  <si>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</si>
  <si>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</si>
  <si>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</si>
  <si>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</si>
  <si>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</si>
  <si>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</si>
  <si>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</si>
  <si>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</si>
  <si>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</si>
  <si>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</si>
  <si>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</si>
  <si>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</si>
  <si>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</si>
  <si>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</si>
  <si>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</si>
  <si>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</si>
  <si>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</si>
  <si>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</si>
  <si>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</si>
  <si>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</si>
  <si>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</si>
  <si>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</si>
  <si>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</si>
  <si>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</si>
  <si>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</si>
  <si>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</si>
  <si>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</si>
  <si>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</si>
  <si>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</si>
  <si>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</si>
  <si>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</si>
  <si>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</si>
  <si>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</si>
  <si>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</si>
  <si>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</si>
  <si>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</si>
  <si>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</si>
  <si>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</si>
  <si>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</si>
  <si>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</si>
  <si>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</si>
  <si>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</si>
  <si>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</si>
  <si>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</si>
  <si>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</si>
  <si>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</si>
  <si>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</si>
  <si>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</si>
  <si>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</si>
  <si>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</si>
  <si>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</si>
  <si>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</si>
  <si>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</si>
  <si>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</si>
  <si>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</si>
  <si>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</si>
  <si>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</si>
  <si>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</si>
  <si>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</si>
  <si>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</si>
  <si>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</si>
  <si>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</si>
  <si>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</si>
  <si>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</si>
  <si>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</si>
  <si>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</si>
  <si>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</si>
  <si>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</si>
  <si>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</si>
  <si>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</si>
  <si>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</si>
  <si>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</si>
  <si>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</si>
  <si>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</si>
  <si>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</si>
  <si>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</si>
  <si>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</si>
  <si>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</si>
  <si>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</si>
  <si>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</si>
  <si>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</si>
  <si>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</si>
  <si>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</si>
  <si>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</si>
  <si>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</si>
  <si>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</si>
  <si>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</si>
  <si>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</si>
  <si>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</si>
  <si>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</si>
  <si>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</si>
  <si>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</si>
  <si>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</si>
  <si>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</si>
  <si>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</si>
  <si>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</si>
  <si>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</si>
  <si>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</si>
  <si>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</si>
  <si>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</si>
  <si>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</si>
  <si>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</si>
  <si>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</si>
  <si>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</si>
  <si>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</si>
  <si>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</si>
  <si>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</si>
  <si>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</si>
  <si>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</si>
  <si>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</si>
  <si>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</si>
  <si>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</si>
  <si>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</si>
  <si>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</si>
  <si>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</si>
  <si>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</si>
  <si>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</si>
  <si>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</si>
  <si>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</si>
  <si>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</si>
  <si>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</si>
  <si>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</si>
  <si>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</si>
  <si>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</si>
  <si>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</si>
  <si>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</si>
  <si>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</si>
  <si>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</si>
  <si>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</si>
  <si>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</si>
  <si>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</si>
  <si>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</si>
  <si>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</si>
  <si>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</si>
  <si>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</si>
  <si>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</si>
  <si>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</si>
  <si>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</si>
  <si>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</si>
  <si>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</si>
  <si>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</si>
  <si>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</si>
  <si>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</si>
  <si>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</si>
  <si>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</si>
  <si>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</si>
  <si>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</si>
  <si>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</si>
  <si>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</si>
  <si>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</si>
  <si>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</si>
  <si>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</si>
  <si>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</si>
  <si>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</si>
  <si>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</si>
  <si>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</si>
  <si>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</si>
  <si>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</si>
  <si>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</si>
  <si>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</si>
  <si>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</si>
  <si>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</si>
  <si>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</si>
  <si>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</si>
  <si>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</si>
  <si>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</si>
  <si>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</si>
  <si>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</si>
  <si>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</si>
  <si>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</si>
  <si>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</si>
  <si>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</si>
  <si>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</si>
  <si>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</si>
  <si>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</si>
  <si>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</si>
  <si>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</si>
  <si>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</si>
  <si>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</si>
  <si>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</si>
  <si>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</si>
  <si>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</si>
  <si>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</si>
  <si>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</si>
  <si>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</si>
  <si>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</si>
  <si>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</si>
  <si>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</si>
  <si>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</si>
  <si>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</si>
  <si>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</si>
  <si>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</si>
  <si>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</si>
  <si>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</si>
  <si>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</si>
  <si>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</si>
  <si>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</si>
  <si>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</si>
  <si>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</si>
  <si>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</si>
  <si>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</si>
  <si>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</si>
  <si>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</si>
  <si>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</si>
  <si>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</si>
  <si>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</si>
  <si>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</si>
  <si>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</si>
  <si>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</si>
  <si>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</si>
  <si>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</si>
  <si>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</si>
  <si>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</si>
  <si>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</si>
  <si>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</si>
  <si>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</si>
  <si>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</si>
  <si>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</si>
  <si>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</si>
  <si>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</si>
  <si>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</si>
  <si>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</si>
  <si>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</si>
  <si>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</si>
  <si>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</si>
  <si>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</si>
  <si>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</si>
  <si>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</si>
  <si>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</si>
  <si>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</si>
  <si>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</si>
  <si>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</si>
  <si>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</si>
  <si>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</si>
  <si>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</si>
  <si>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</si>
  <si>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</si>
  <si>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</si>
  <si>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</si>
  <si>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</si>
  <si>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</si>
  <si>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</si>
  <si>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</si>
  <si>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</si>
  <si>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</si>
  <si>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</si>
  <si>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</si>
  <si>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</si>
  <si>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</si>
  <si>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</si>
  <si>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</si>
  <si>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</si>
  <si>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</si>
  <si>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</si>
  <si>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</si>
  <si>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</si>
  <si>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</si>
  <si>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</si>
  <si>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</si>
  <si>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</si>
  <si>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</si>
  <si>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</si>
  <si>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</si>
  <si>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</si>
  <si>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</si>
  <si>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</si>
  <si>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</si>
  <si>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</si>
  <si>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</si>
  <si>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</si>
  <si>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</si>
  <si>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</si>
  <si>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</si>
  <si>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</si>
  <si>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</si>
  <si>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</si>
  <si>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</si>
  <si>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</si>
  <si>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</si>
  <si>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</si>
  <si>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</si>
  <si>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</si>
  <si>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</si>
  <si>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</si>
  <si>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</si>
  <si>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</si>
  <si>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</si>
  <si>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</si>
  <si>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</si>
  <si>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</si>
  <si>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</si>
  <si>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</si>
  <si>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</si>
  <si>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</si>
  <si>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</si>
  <si>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</si>
  <si>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</si>
  <si>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</si>
  <si>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</si>
  <si>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</si>
  <si>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</si>
  <si>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</si>
  <si>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</si>
  <si>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</si>
  <si>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</si>
  <si>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</si>
  <si>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</si>
  <si>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</si>
  <si>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</si>
  <si>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</si>
  <si>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</si>
  <si>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</si>
  <si>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</si>
  <si>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</si>
  <si>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</si>
  <si>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</si>
  <si>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</si>
  <si>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</si>
  <si>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</si>
  <si>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</si>
  <si>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</si>
  <si>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</si>
  <si>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</si>
  <si>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</si>
  <si>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</si>
  <si>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</si>
  <si>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</si>
  <si>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</si>
  <si>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</si>
  <si>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</si>
  <si>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</si>
  <si>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</si>
  <si>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</si>
  <si>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</si>
  <si>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</si>
  <si>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</si>
  <si>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</si>
  <si>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</si>
  <si>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</si>
  <si>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</si>
  <si>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</si>
  <si>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</si>
  <si>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</si>
  <si>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</si>
  <si>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</si>
  <si>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</si>
  <si>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</si>
  <si>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</si>
  <si>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</si>
  <si>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</si>
  <si>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</si>
  <si>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</si>
  <si>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</si>
  <si>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</si>
  <si>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</si>
  <si>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</si>
  <si>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</si>
  <si>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</si>
  <si>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</si>
  <si>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</si>
  <si>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</si>
  <si>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</si>
  <si>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</si>
  <si>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</si>
  <si>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</si>
  <si>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</si>
  <si>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</si>
  <si>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</si>
  <si>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</si>
  <si>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</si>
  <si>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</si>
  <si>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</si>
  <si>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</si>
  <si>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</si>
  <si>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</si>
  <si>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</si>
  <si>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</si>
  <si>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</si>
  <si>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</si>
  <si>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</si>
  <si>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</si>
  <si>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</si>
  <si>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</si>
  <si>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</si>
  <si>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</si>
  <si>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</si>
  <si>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</si>
  <si>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</si>
  <si>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</si>
  <si>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</si>
  <si>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</si>
  <si>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</si>
  <si>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</si>
  <si>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</si>
  <si>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</si>
  <si>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</si>
  <si>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</si>
  <si>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</si>
  <si>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</si>
  <si>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</si>
  <si>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</si>
  <si>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</si>
  <si>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</si>
  <si>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</si>
  <si>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</si>
  <si>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</si>
  <si>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</si>
  <si>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</si>
  <si>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</si>
  <si>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</si>
  <si>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</si>
  <si>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</si>
  <si>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</si>
  <si>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</si>
  <si>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</si>
  <si>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</si>
  <si>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</si>
  <si>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</si>
  <si>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</si>
  <si>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</si>
  <si>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</si>
  <si>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</si>
  <si>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</si>
  <si>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</si>
  <si>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</si>
  <si>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</si>
  <si>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</si>
  <si>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</si>
  <si>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</si>
  <si>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</si>
  <si>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</si>
  <si>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</si>
  <si>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</si>
  <si>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</si>
  <si>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</si>
  <si>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</si>
  <si>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</si>
  <si>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</si>
  <si>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</si>
  <si>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</si>
  <si>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</si>
  <si>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</si>
  <si>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</si>
  <si>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</si>
  <si>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</si>
  <si>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</si>
  <si>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</si>
  <si>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</si>
  <si>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</si>
  <si>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</si>
  <si>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</si>
  <si>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</si>
  <si>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</si>
  <si>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</si>
  <si>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</si>
  <si>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</si>
  <si>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</si>
  <si>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</si>
  <si>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</si>
  <si>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</si>
  <si>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</si>
  <si>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</si>
  <si>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</si>
  <si>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</si>
  <si>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</si>
  <si>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</si>
  <si>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</si>
  <si>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</si>
  <si>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</si>
  <si>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</si>
  <si>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</si>
  <si>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</si>
  <si>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</si>
  <si>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</si>
  <si>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</si>
  <si>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</si>
  <si>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</si>
  <si>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</si>
  <si>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</si>
  <si>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</si>
  <si>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</si>
  <si>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</si>
  <si>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</si>
  <si>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</si>
  <si>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</si>
  <si>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</si>
  <si>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</si>
  <si>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</si>
  <si>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</si>
  <si>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</si>
  <si>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</si>
  <si>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</si>
  <si>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</si>
  <si>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</si>
  <si>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</si>
  <si>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</si>
  <si>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</si>
  <si>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</si>
  <si>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</si>
  <si>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</si>
  <si>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</si>
  <si>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</si>
  <si>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</si>
  <si>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</si>
  <si>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</si>
  <si>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</si>
  <si>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</si>
  <si>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</si>
  <si>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</si>
  <si>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</si>
  <si>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</si>
  <si>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</si>
  <si>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</si>
  <si>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</si>
  <si>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</si>
  <si>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</si>
  <si>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</si>
  <si>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</si>
  <si>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</si>
  <si>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</si>
  <si>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</si>
  <si>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</si>
  <si>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</si>
  <si>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</si>
  <si>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</si>
  <si>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</si>
  <si>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</si>
  <si>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</si>
  <si>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</si>
  <si>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</si>
  <si>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</si>
  <si>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</si>
  <si>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</si>
  <si>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</si>
  <si>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</si>
  <si>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</si>
  <si>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</si>
  <si>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</si>
  <si>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</si>
  <si>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</si>
  <si>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</si>
  <si>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</si>
  <si>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</si>
  <si>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</si>
  <si>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</si>
  <si>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</si>
  <si>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</si>
  <si>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</si>
  <si>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</si>
  <si>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</si>
  <si>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</si>
  <si>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</si>
  <si>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</si>
  <si>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</si>
  <si>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</si>
  <si>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</si>
  <si>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</si>
  <si>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</si>
  <si>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</si>
  <si>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</si>
  <si>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</si>
  <si>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</si>
  <si>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</si>
  <si>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</si>
  <si>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</si>
  <si>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</si>
  <si>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</si>
  <si>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</si>
  <si>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</si>
  <si>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</si>
  <si>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</si>
  <si>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</si>
  <si>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</si>
  <si>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</si>
  <si>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</si>
  <si>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</si>
  <si>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</si>
  <si>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</si>
  <si>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</si>
  <si>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</si>
  <si>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</si>
  <si>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</si>
  <si>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</si>
  <si>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</si>
  <si>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</si>
  <si>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</si>
  <si>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</si>
  <si>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</si>
  <si>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</si>
  <si>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</si>
  <si>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</si>
  <si>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</si>
  <si>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</si>
  <si>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</si>
  <si>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</si>
  <si>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</si>
  <si>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</si>
  <si>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</si>
  <si>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</si>
  <si>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</si>
  <si>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</si>
  <si>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</si>
  <si>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</si>
  <si>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</si>
  <si>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</si>
  <si>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</si>
  <si>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</si>
  <si>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</si>
  <si>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</si>
  <si>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</si>
  <si>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</si>
  <si>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</si>
  <si>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</si>
  <si>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</si>
  <si>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</si>
  <si>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</si>
  <si>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</si>
  <si>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</si>
  <si>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</si>
  <si>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</si>
  <si>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</si>
  <si>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</si>
  <si>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</si>
  <si>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</si>
  <si>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</si>
  <si>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</si>
  <si>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</si>
  <si>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</si>
  <si>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</si>
  <si>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</si>
  <si>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</si>
  <si>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</si>
  <si>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</si>
  <si>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</si>
  <si>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</si>
  <si>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</si>
  <si>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</si>
  <si>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</si>
  <si>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</si>
  <si>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</si>
  <si>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</si>
  <si>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</si>
  <si>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</si>
  <si>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</si>
  <si>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</si>
  <si>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</si>
  <si>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</si>
  <si>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</si>
  <si>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</si>
  <si>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</si>
  <si>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</si>
  <si>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</si>
  <si>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</si>
  <si>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</si>
  <si>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</si>
  <si>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</si>
  <si>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</si>
  <si>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</si>
  <si>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</si>
  <si>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</si>
  <si>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</si>
  <si>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</si>
  <si>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</si>
  <si>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</si>
  <si>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</si>
  <si>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</si>
  <si>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</si>
  <si>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</si>
  <si>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</si>
  <si>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</si>
  <si>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</si>
  <si>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</si>
  <si>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</si>
  <si>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</si>
  <si>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</si>
  <si>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</si>
  <si>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</si>
  <si>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</si>
  <si>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</si>
  <si>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</si>
  <si>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</si>
  <si>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</si>
  <si>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</si>
  <si>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</si>
  <si>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</si>
  <si>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</si>
  <si>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</si>
  <si>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</si>
  <si>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</si>
  <si>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</si>
  <si>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</si>
  <si>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</si>
  <si>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</si>
  <si>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</si>
  <si>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</si>
  <si>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</si>
  <si>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</si>
  <si>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</si>
  <si>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</si>
  <si>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</si>
  <si>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</si>
  <si>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</si>
  <si>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</si>
  <si>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</si>
  <si>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</si>
  <si>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</si>
  <si>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</si>
  <si>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</si>
  <si>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</si>
  <si>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</si>
  <si>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</si>
  <si>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</si>
  <si>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</si>
  <si>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</si>
  <si>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</si>
  <si>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</si>
  <si>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</si>
  <si>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</si>
  <si>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</si>
  <si>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</si>
  <si>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</si>
  <si>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</si>
  <si>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</si>
  <si>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</si>
  <si>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</si>
  <si>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</si>
  <si>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</si>
  <si>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</si>
  <si>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</si>
  <si>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</si>
  <si>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</si>
  <si>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</si>
  <si>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</si>
  <si>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</si>
  <si>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</si>
  <si>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</si>
  <si>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</si>
  <si>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</si>
  <si>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</si>
  <si>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</si>
  <si>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</si>
  <si>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</si>
  <si>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</si>
  <si>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</si>
  <si>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</si>
  <si>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</si>
  <si>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</si>
  <si>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</si>
  <si>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</si>
  <si>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</si>
  <si>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</si>
  <si>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</si>
  <si>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</si>
  <si>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</si>
  <si>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</si>
  <si>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</si>
  <si>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</si>
  <si>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</si>
  <si>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</si>
  <si>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</si>
  <si>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</si>
  <si>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</si>
  <si>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</si>
  <si>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</si>
  <si>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</si>
  <si>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</si>
  <si>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</si>
  <si>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</si>
  <si>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</si>
  <si>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</si>
  <si>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</si>
  <si>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</si>
  <si>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</si>
  <si>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</si>
  <si>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</si>
  <si>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</si>
  <si>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</si>
  <si>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</si>
  <si>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</si>
  <si>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</si>
  <si>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</si>
  <si>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</si>
  <si>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</si>
  <si>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</si>
  <si>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</si>
  <si>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</si>
  <si>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</si>
  <si>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</si>
  <si>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</si>
  <si>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</si>
  <si>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</si>
  <si>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</si>
  <si>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</si>
  <si>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</si>
  <si>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</si>
  <si>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</si>
  <si>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</si>
  <si>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</si>
  <si>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</si>
  <si>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</si>
  <si>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</si>
  <si>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</si>
  <si>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</si>
  <si>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</si>
  <si>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</si>
  <si>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</si>
  <si>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</si>
  <si>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</si>
  <si>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</si>
  <si>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</si>
  <si>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</si>
  <si>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</si>
  <si>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</si>
  <si>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</si>
  <si>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</si>
  <si>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</si>
  <si>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</si>
  <si>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</si>
  <si>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</si>
  <si>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</si>
  <si>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</si>
  <si>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</si>
  <si>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</si>
  <si>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</si>
  <si>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</si>
  <si>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</si>
  <si>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</si>
  <si>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</si>
  <si>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</si>
  <si>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</si>
  <si>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</si>
  <si>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</si>
  <si>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</si>
  <si>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</si>
  <si>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</si>
  <si>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</si>
  <si>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</si>
  <si>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</si>
  <si>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</si>
  <si>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</si>
  <si>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</si>
  <si>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</si>
  <si>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</si>
  <si>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</si>
  <si>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</si>
  <si>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</si>
  <si>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</si>
  <si>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</si>
  <si>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</si>
  <si>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</si>
  <si>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</si>
  <si>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</si>
  <si>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</si>
  <si>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</si>
  <si>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</si>
  <si>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</si>
  <si>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</si>
  <si>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</si>
  <si>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</si>
  <si>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</si>
  <si>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</si>
  <si>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</si>
  <si>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</si>
  <si>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</si>
  <si>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</si>
  <si>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</si>
  <si>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</si>
  <si>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</si>
  <si>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</si>
  <si>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</si>
  <si>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</si>
  <si>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</si>
  <si>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</si>
  <si>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</si>
  <si>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</si>
  <si>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</si>
  <si>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</si>
  <si>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</si>
  <si>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</si>
  <si>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</si>
  <si>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</si>
  <si>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</si>
  <si>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</si>
  <si>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</si>
  <si>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</si>
  <si>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</si>
  <si>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</si>
  <si>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</si>
  <si>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</si>
  <si>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</si>
  <si>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</si>
  <si>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</si>
  <si>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</si>
  <si>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</si>
  <si>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</si>
  <si>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</si>
  <si>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</si>
  <si>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</si>
  <si>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</si>
  <si>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</si>
  <si>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</si>
  <si>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</si>
  <si>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</si>
  <si>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</si>
  <si>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</si>
  <si>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</si>
  <si>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</si>
  <si>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</si>
  <si>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</si>
  <si>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</si>
  <si>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</si>
  <si>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</si>
  <si>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</si>
  <si>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</si>
  <si>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</si>
  <si>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</si>
  <si>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</si>
  <si>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</si>
  <si>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</si>
  <si>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</si>
  <si>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</si>
  <si>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</si>
  <si>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</si>
  <si>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</si>
  <si>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</si>
  <si>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</si>
  <si>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</si>
  <si>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</si>
  <si>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</si>
  <si>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</si>
  <si>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</si>
  <si>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</si>
  <si>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</si>
  <si>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</si>
  <si>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</si>
  <si>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</si>
  <si>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</si>
  <si>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</si>
  <si>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</si>
  <si>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</si>
  <si>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</si>
  <si>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</si>
  <si>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</si>
  <si>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</si>
  <si>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</si>
  <si>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</si>
  <si>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</si>
  <si>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</si>
  <si>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</si>
  <si>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</si>
  <si>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</si>
  <si>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</si>
  <si>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</si>
  <si>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</si>
  <si>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</si>
  <si>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</si>
  <si>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</si>
  <si>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</si>
  <si>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</si>
  <si>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</si>
  <si>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</si>
  <si>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</si>
  <si>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</si>
  <si>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</si>
  <si>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</si>
  <si>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</si>
  <si>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</si>
  <si>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</si>
  <si>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</si>
  <si>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</si>
  <si>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</si>
  <si>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</si>
  <si>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</si>
  <si>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</si>
  <si>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</si>
  <si>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</si>
  <si>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</si>
  <si>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</si>
  <si>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</si>
  <si>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</si>
  <si>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</si>
  <si>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</si>
  <si>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</si>
  <si>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</si>
  <si>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</si>
  <si>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</si>
  <si>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</si>
  <si>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</si>
  <si>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</si>
  <si>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</si>
  <si>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</si>
  <si>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</si>
  <si>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</si>
  <si>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</si>
  <si>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</si>
  <si>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</si>
  <si>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</si>
  <si>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</si>
  <si>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</si>
  <si>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</si>
  <si>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</si>
  <si>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</si>
  <si>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</si>
  <si>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</si>
  <si>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</si>
  <si>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</si>
  <si>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</si>
  <si>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</si>
  <si>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</si>
  <si>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</si>
  <si>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</si>
  <si>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</si>
  <si>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</si>
  <si>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</si>
  <si>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</si>
  <si>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</si>
  <si>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</si>
  <si>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</si>
  <si>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</si>
  <si>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</si>
  <si>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</si>
  <si>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</si>
  <si>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</si>
  <si>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</si>
  <si>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</si>
  <si>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</si>
  <si>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</si>
  <si>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</si>
  <si>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</si>
  <si>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</si>
  <si>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</si>
  <si>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</si>
  <si>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</si>
  <si>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</si>
  <si>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</si>
  <si>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</si>
  <si>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</si>
  <si>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</si>
  <si>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</si>
  <si>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</si>
  <si>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</si>
  <si>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</si>
  <si>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</si>
  <si>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</si>
  <si>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</si>
  <si>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</si>
  <si>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</si>
  <si>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</si>
  <si>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</si>
  <si>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</si>
  <si>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</si>
  <si>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</si>
  <si>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</si>
  <si>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</si>
  <si>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</si>
  <si>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</si>
  <si>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</si>
  <si>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</si>
  <si>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</si>
  <si>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</si>
  <si>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</si>
  <si>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</si>
  <si>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</si>
  <si>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</si>
  <si>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</si>
  <si>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</si>
  <si>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</si>
  <si>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</si>
  <si>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</si>
  <si>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</si>
  <si>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</si>
  <si>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</si>
  <si>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</si>
  <si>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</si>
  <si>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</si>
  <si>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</si>
  <si>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</si>
  <si>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</si>
  <si>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</si>
  <si>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</si>
  <si>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</si>
  <si>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</si>
  <si>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</si>
  <si>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</si>
  <si>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</si>
  <si>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</si>
  <si>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</si>
  <si>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</si>
  <si>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</si>
  <si>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</si>
  <si>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</si>
  <si>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</si>
  <si>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</si>
  <si>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</si>
  <si>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</si>
  <si>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</si>
  <si>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</si>
  <si>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</si>
  <si>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</si>
  <si>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</si>
  <si>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</si>
  <si>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</si>
  <si>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</si>
  <si>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</si>
  <si>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</si>
  <si>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</si>
  <si>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</si>
  <si>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</si>
  <si>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</si>
  <si>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</si>
  <si>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</si>
  <si>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</si>
  <si>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</si>
  <si>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</si>
  <si>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</si>
  <si>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</si>
  <si>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</si>
  <si>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</si>
  <si>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</si>
  <si>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</si>
  <si>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</si>
  <si>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</si>
  <si>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</si>
  <si>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</si>
  <si>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</si>
  <si>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</si>
  <si>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</si>
  <si>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</si>
  <si>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</si>
  <si>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</si>
  <si>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</si>
  <si>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</si>
  <si>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</si>
  <si>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</si>
  <si>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</si>
  <si>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</si>
  <si>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</si>
  <si>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</si>
  <si>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</si>
  <si>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</si>
  <si>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</si>
  <si>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</si>
  <si>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</si>
  <si>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</si>
  <si>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</si>
  <si>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</si>
  <si>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</si>
  <si>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</si>
  <si>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</si>
  <si>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</si>
  <si>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</si>
  <si>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</si>
  <si>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</si>
  <si>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</si>
  <si>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</si>
  <si>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</si>
  <si>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</si>
  <si>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</si>
  <si>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</si>
  <si>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</si>
  <si>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</si>
  <si>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</si>
  <si>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</si>
  <si>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</si>
  <si>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</si>
  <si>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</si>
  <si>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</si>
  <si>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</si>
  <si>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</si>
  <si>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</si>
  <si>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</si>
  <si>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</si>
  <si>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</si>
  <si>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</si>
  <si>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</si>
  <si>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</si>
  <si>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</si>
  <si>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</si>
  <si>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</si>
  <si>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</si>
  <si>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</si>
  <si>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</si>
  <si>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</si>
  <si>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</si>
  <si>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</si>
  <si>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</si>
  <si>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</si>
  <si>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</si>
  <si>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</si>
  <si>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</si>
  <si>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</si>
  <si>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</si>
  <si>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</si>
  <si>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</si>
  <si>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</si>
  <si>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</si>
  <si>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</si>
  <si>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</si>
  <si>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</si>
  <si>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</si>
  <si>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</si>
  <si>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</si>
  <si>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</si>
  <si>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</si>
  <si>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</si>
  <si>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</si>
  <si>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</si>
  <si>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</si>
  <si>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</si>
  <si>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</si>
  <si>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</si>
  <si>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</si>
  <si>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</si>
  <si>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</si>
  <si>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</si>
  <si>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</si>
  <si>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</si>
  <si>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</si>
  <si>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</si>
  <si>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</si>
  <si>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</si>
  <si>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</si>
  <si>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</si>
  <si>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</si>
  <si>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</si>
  <si>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</si>
  <si>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</si>
  <si>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</si>
  <si>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</si>
  <si>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</si>
  <si>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</si>
  <si>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</si>
  <si>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</si>
  <si>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</si>
  <si>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</si>
  <si>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</si>
  <si>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</si>
  <si>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</si>
  <si>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</si>
  <si>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</si>
  <si>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</si>
  <si>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</si>
  <si>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</si>
  <si>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</si>
  <si>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</si>
  <si>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</si>
  <si>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</si>
  <si>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</si>
  <si>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</si>
  <si>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</si>
  <si>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</si>
  <si>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</si>
  <si>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</si>
  <si>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</si>
  <si>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</si>
  <si>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</si>
  <si>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</si>
  <si>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</si>
  <si>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</si>
  <si>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</si>
  <si>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</si>
  <si>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</si>
  <si>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</si>
  <si>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</si>
  <si>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</si>
  <si>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</si>
  <si>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</si>
  <si>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</si>
  <si>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</si>
  <si>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</si>
  <si>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</si>
  <si>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</si>
  <si>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</si>
  <si>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</si>
  <si>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</si>
  <si>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</si>
  <si>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</si>
  <si>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</si>
  <si>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</si>
  <si>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</si>
  <si>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</si>
  <si>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</si>
  <si>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</si>
  <si>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</si>
  <si>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</si>
  <si>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</si>
  <si>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</si>
  <si>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</si>
  <si>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</si>
  <si>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</si>
  <si>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</si>
  <si>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</si>
  <si>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</si>
  <si>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</si>
  <si>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</si>
  <si>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</si>
  <si>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</si>
  <si>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</si>
  <si>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</si>
  <si>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</si>
  <si>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</si>
  <si>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</si>
  <si>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</si>
  <si>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</si>
  <si>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</si>
  <si>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</si>
  <si>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</si>
  <si>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</si>
  <si>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</si>
  <si>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</si>
  <si>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</si>
  <si>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</si>
  <si>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</si>
  <si>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</si>
  <si>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</si>
  <si>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</si>
  <si>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</si>
  <si>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</si>
  <si>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</si>
  <si>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</si>
  <si>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</si>
  <si>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</si>
  <si>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</si>
  <si>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</si>
  <si>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</si>
  <si>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</si>
  <si>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</si>
  <si>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</si>
  <si>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</si>
  <si>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</si>
  <si>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</si>
  <si>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</si>
  <si>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</si>
  <si>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</si>
  <si>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</si>
  <si>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</si>
  <si>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</si>
  <si>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</si>
  <si>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</si>
  <si>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</si>
  <si>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</si>
  <si>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</si>
  <si>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</si>
  <si>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</si>
  <si>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</si>
  <si>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</si>
  <si>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</si>
  <si>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</si>
  <si>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</si>
  <si>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</si>
  <si>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</si>
  <si>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</si>
  <si>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</si>
  <si>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</si>
  <si>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</si>
  <si>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</si>
  <si>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</si>
  <si>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</si>
  <si>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</si>
  <si>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</si>
  <si>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</si>
  <si>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</si>
  <si>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</si>
  <si>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</si>
  <si>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</si>
  <si>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</si>
  <si>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</si>
  <si>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</si>
  <si>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</si>
  <si>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</si>
  <si>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</si>
  <si>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</si>
  <si>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</si>
  <si>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</si>
  <si>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</si>
  <si>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</si>
  <si>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</si>
  <si>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</si>
  <si>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</si>
  <si>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</si>
  <si>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</si>
  <si>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</si>
  <si>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</si>
  <si>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</si>
  <si>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</si>
  <si>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</si>
  <si>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</si>
  <si>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</si>
  <si>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</si>
  <si>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</si>
  <si>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</si>
  <si>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</si>
  <si>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</si>
  <si>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</si>
  <si>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</si>
  <si>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</si>
  <si>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</si>
  <si>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</si>
  <si>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</si>
  <si>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</si>
  <si>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</si>
  <si>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</si>
  <si>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</si>
  <si>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</si>
  <si>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</si>
  <si>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</si>
  <si>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</si>
  <si>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</si>
  <si>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</si>
  <si>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</si>
  <si>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</si>
  <si>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</si>
  <si>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</si>
  <si>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</si>
  <si>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</si>
  <si>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</si>
  <si>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</si>
  <si>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</si>
  <si>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</si>
  <si>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</si>
  <si>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</si>
  <si>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</si>
  <si>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</si>
  <si>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</si>
  <si>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</si>
  <si>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</si>
  <si>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</si>
  <si>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</si>
  <si>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</si>
  <si>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</si>
  <si>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</si>
  <si>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</si>
  <si>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</si>
  <si>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</si>
  <si>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</si>
  <si>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</si>
  <si>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</si>
  <si>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</si>
  <si>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</si>
  <si>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</si>
  <si>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</si>
  <si>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</si>
  <si>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</si>
  <si>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</si>
  <si>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</si>
  <si>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</si>
  <si>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</si>
  <si>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</si>
  <si>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</si>
  <si>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</si>
  <si>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</si>
  <si>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</si>
  <si>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</si>
  <si>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</si>
  <si>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</si>
  <si>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</si>
  <si>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</si>
  <si>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</si>
  <si>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</si>
  <si>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</si>
  <si>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</si>
  <si>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</si>
  <si>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</si>
  <si>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</si>
  <si>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</si>
  <si>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</si>
  <si>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</si>
  <si>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</si>
  <si>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</si>
  <si>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</si>
  <si>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</si>
  <si>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</si>
  <si>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</si>
  <si>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</si>
  <si>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</si>
  <si>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</si>
  <si>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</si>
  <si>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</si>
  <si>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</si>
  <si>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</si>
  <si>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</si>
  <si>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</si>
  <si>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</si>
  <si>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</si>
  <si>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</si>
  <si>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</si>
  <si>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</si>
  <si>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</si>
  <si>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</si>
  <si>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</si>
  <si>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</si>
  <si>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</si>
  <si>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</si>
  <si>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</si>
  <si>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</si>
  <si>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</si>
  <si>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</si>
  <si>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</si>
  <si>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</si>
  <si>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</si>
  <si>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</si>
  <si>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</si>
  <si>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</si>
  <si>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</si>
  <si>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</si>
  <si>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</si>
  <si>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</si>
  <si>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</si>
  <si>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</si>
  <si>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</si>
  <si>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</si>
  <si>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</si>
  <si>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</si>
  <si>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</si>
  <si>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</si>
  <si>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</si>
  <si>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</si>
  <si>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</si>
  <si>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</si>
  <si>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</si>
  <si>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</si>
  <si>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</si>
  <si>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</si>
  <si>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</si>
  <si>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</si>
  <si>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</si>
  <si>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</si>
  <si>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</si>
  <si>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</si>
  <si>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</si>
  <si>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</si>
  <si>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</si>
  <si>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</si>
  <si>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</si>
  <si>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</si>
  <si>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</si>
  <si>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</si>
  <si>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</si>
  <si>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</si>
  <si>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</si>
  <si>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</si>
  <si>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</si>
  <si>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</si>
  <si>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</si>
  <si>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</si>
  <si>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</si>
  <si>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</si>
  <si>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</si>
  <si>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</si>
  <si>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</si>
  <si>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</si>
  <si>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</si>
  <si>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</si>
  <si>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</si>
  <si>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</si>
  <si>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</si>
  <si>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</si>
  <si>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</si>
  <si>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</si>
  <si>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</si>
  <si>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</si>
  <si>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</si>
  <si>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</si>
  <si>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</si>
  <si>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</si>
  <si>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</si>
  <si>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</si>
  <si>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</si>
  <si>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</si>
  <si>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</si>
  <si>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</si>
  <si>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</si>
  <si>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</si>
  <si>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</si>
  <si>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</si>
  <si>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</si>
  <si>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</si>
  <si>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</si>
  <si>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</si>
  <si>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</si>
  <si>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</si>
  <si>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</si>
  <si>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</si>
  <si>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</si>
  <si>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</si>
  <si>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</si>
  <si>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</si>
  <si>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</si>
  <si>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</si>
  <si>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</si>
  <si>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</si>
  <si>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</si>
  <si>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</si>
  <si>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</si>
  <si>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</si>
  <si>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</si>
  <si>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</si>
  <si>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</si>
  <si>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</si>
  <si>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</si>
  <si>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</si>
  <si>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</si>
  <si>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</si>
  <si>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</si>
  <si>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</si>
  <si>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</si>
  <si>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</si>
  <si>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</si>
  <si>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</si>
  <si>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</si>
  <si>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</si>
  <si>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</si>
  <si>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</si>
  <si>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</si>
  <si>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</si>
  <si>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</si>
  <si>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</si>
  <si>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</si>
  <si>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</si>
  <si>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</si>
  <si>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</si>
  <si>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</si>
  <si>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</si>
  <si>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</si>
  <si>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</si>
  <si>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</si>
  <si>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</si>
  <si>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</si>
  <si>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</si>
  <si>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</si>
  <si>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</si>
  <si>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</si>
  <si>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</si>
  <si>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</si>
  <si>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</si>
  <si>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</si>
  <si>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</si>
  <si>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</si>
  <si>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</si>
  <si>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</si>
  <si>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</si>
  <si>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</si>
  <si>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</si>
  <si>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</si>
  <si>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</si>
  <si>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</si>
  <si>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</si>
  <si>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</si>
  <si>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</si>
  <si>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</si>
  <si>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</si>
  <si>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</si>
  <si>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</si>
  <si>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</si>
  <si>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</si>
  <si>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</si>
  <si>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</si>
  <si>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</si>
  <si>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</si>
  <si>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</si>
  <si>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</si>
  <si>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</si>
  <si>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</si>
  <si>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</si>
  <si>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</si>
  <si>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</si>
  <si>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</si>
  <si>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</si>
  <si>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</si>
  <si>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</si>
  <si>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</si>
  <si>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</si>
  <si>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</si>
  <si>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</si>
  <si>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</si>
  <si>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</si>
  <si>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</si>
  <si>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</si>
  <si>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</si>
  <si>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</si>
  <si>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</si>
  <si>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</si>
  <si>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</si>
  <si>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</si>
  <si>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</si>
  <si>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</si>
  <si>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</si>
  <si>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</si>
  <si>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</si>
  <si>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</si>
  <si>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</si>
  <si>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</si>
  <si>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</si>
  <si>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</si>
  <si>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</si>
  <si>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</si>
  <si>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</si>
  <si>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</si>
  <si>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</si>
  <si>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</si>
  <si>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</si>
  <si>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</si>
  <si>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</si>
  <si>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</si>
  <si>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</si>
  <si>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</si>
  <si>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</si>
  <si>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</si>
  <si>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</si>
  <si>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</si>
  <si>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</si>
  <si>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</si>
  <si>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</si>
  <si>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</si>
  <si>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</si>
  <si>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</si>
  <si>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</si>
  <si>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</si>
  <si>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</si>
  <si>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</si>
  <si>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</si>
  <si>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</si>
  <si>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</si>
  <si>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</si>
  <si>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</si>
  <si>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</si>
  <si>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</si>
  <si>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</si>
  <si>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</si>
  <si>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</si>
  <si>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</si>
  <si>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</si>
  <si>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</si>
  <si>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</si>
  <si>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</si>
  <si>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</si>
  <si>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</si>
  <si>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</si>
  <si>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</si>
  <si>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</si>
  <si>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</si>
  <si>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</si>
  <si>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</si>
  <si>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</si>
  <si>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</si>
  <si>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</si>
  <si>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</si>
  <si>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</si>
  <si>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</si>
  <si>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</si>
  <si>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</si>
  <si>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</si>
  <si>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</si>
  <si>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</si>
  <si>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</si>
  <si>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</si>
  <si>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</si>
  <si>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</si>
  <si>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</si>
  <si>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</si>
  <si>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</si>
  <si>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</si>
  <si>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</si>
  <si>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</si>
  <si>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</si>
  <si>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</si>
  <si>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</si>
  <si>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</si>
  <si>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</si>
  <si>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</si>
  <si>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</si>
  <si>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</si>
  <si>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</si>
  <si>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</si>
  <si>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</si>
  <si>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</si>
  <si>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</si>
  <si>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</si>
  <si>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</si>
  <si>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</si>
  <si>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</si>
  <si>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</si>
  <si>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</si>
  <si>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</si>
  <si>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</si>
  <si>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</si>
  <si>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</si>
  <si>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</si>
  <si>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</si>
  <si>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</si>
  <si>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</si>
  <si>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</si>
  <si>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</si>
  <si>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</si>
  <si>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</si>
  <si>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</si>
  <si>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</si>
  <si>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</si>
  <si>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</si>
  <si>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</si>
  <si>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</si>
  <si>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</si>
  <si>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</si>
  <si>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</si>
  <si>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</si>
  <si>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</si>
  <si>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</si>
  <si>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</si>
  <si>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</si>
  <si>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</si>
  <si>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</si>
  <si>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</si>
  <si>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</si>
  <si>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</si>
  <si>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</si>
  <si>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</si>
  <si>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</si>
  <si>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</si>
  <si>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</si>
  <si>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</si>
  <si>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</si>
  <si>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</si>
  <si>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</si>
  <si>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</si>
  <si>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</si>
  <si>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</si>
  <si>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</si>
  <si>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</si>
  <si>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</si>
  <si>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</si>
  <si>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</si>
  <si>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</si>
  <si>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</si>
  <si>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</si>
  <si>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</si>
  <si>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</si>
  <si>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</si>
  <si>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</si>
  <si>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</si>
  <si>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</si>
  <si>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</si>
  <si>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</si>
  <si>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</si>
  <si>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</si>
  <si>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</si>
  <si>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</si>
  <si>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</si>
  <si>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</si>
  <si>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</si>
  <si>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</si>
  <si>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</si>
  <si>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</si>
  <si>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</si>
  <si>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</si>
  <si>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</si>
  <si>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</si>
  <si>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</si>
  <si>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</si>
  <si>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</si>
  <si>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</si>
  <si>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</si>
  <si>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</si>
  <si>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</si>
  <si>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</si>
  <si>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</si>
  <si>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</si>
  <si>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</si>
  <si>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</si>
  <si>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</si>
  <si>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</si>
  <si>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</si>
  <si>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</si>
  <si>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</si>
  <si>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</si>
  <si>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</si>
  <si>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</si>
  <si>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</si>
  <si>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</si>
  <si>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</si>
  <si>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</si>
  <si>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</si>
  <si>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</si>
  <si>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</si>
  <si>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</si>
  <si>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</si>
  <si>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</si>
  <si>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</si>
  <si>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</si>
  <si>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</si>
  <si>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</si>
  <si>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</si>
  <si>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</si>
  <si>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</si>
  <si>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</si>
  <si>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</si>
  <si>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</si>
  <si>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</si>
  <si>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</si>
  <si>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</si>
  <si>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</si>
  <si>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</si>
  <si>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</si>
  <si>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</si>
  <si>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</si>
  <si>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</si>
  <si>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</si>
  <si>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</si>
  <si>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</si>
  <si>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</si>
  <si>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</si>
  <si>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</si>
  <si>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</si>
  <si>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</si>
  <si>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</si>
  <si>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</si>
  <si>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</si>
  <si>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</si>
  <si>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</si>
  <si>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</si>
  <si>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</si>
  <si>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</si>
  <si>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</si>
  <si>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</si>
  <si>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</si>
  <si>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</si>
  <si>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</si>
  <si>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</si>
  <si>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</si>
  <si>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</si>
  <si>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</si>
  <si>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</si>
  <si>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</si>
  <si>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</si>
  <si>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</si>
  <si>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</si>
  <si>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</si>
  <si>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</si>
  <si>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</si>
  <si>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</si>
  <si>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</si>
  <si>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</si>
  <si>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</si>
  <si>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</si>
  <si>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</si>
  <si>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</si>
  <si>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</si>
  <si>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</si>
  <si>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</si>
  <si>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</si>
  <si>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</si>
  <si>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</si>
  <si>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</si>
  <si>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</si>
  <si>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</si>
  <si>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</si>
  <si>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</si>
  <si>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</si>
  <si>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</si>
  <si>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</si>
  <si>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</si>
  <si>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</si>
  <si>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</si>
  <si>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</si>
  <si>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</si>
  <si>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</si>
  <si>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</si>
  <si>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</si>
  <si>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</si>
  <si>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</si>
  <si>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</si>
  <si>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</si>
  <si>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</si>
  <si>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</si>
  <si>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</si>
  <si>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</si>
  <si>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</si>
  <si>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</si>
  <si>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</si>
  <si>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</si>
  <si>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</si>
  <si>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</si>
  <si>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Roenfeldt &amp; Lockas, P.C.</t>
  </si>
  <si>
    <t>1100 Columbus Street</t>
  </si>
  <si>
    <t>Ottawa</t>
  </si>
  <si>
    <t>Illinois</t>
  </si>
  <si>
    <t>815-433-0464</t>
  </si>
  <si>
    <t>815-433-6464</t>
  </si>
  <si>
    <t>admin@roenfeldtlockas.com</t>
  </si>
  <si>
    <t>Duane K. Lockas, C.P.A.</t>
  </si>
  <si>
    <t>LaSalle</t>
  </si>
  <si>
    <t>320 West Main Street</t>
  </si>
  <si>
    <t>Cleve Threadgill</t>
  </si>
  <si>
    <t>x</t>
  </si>
  <si>
    <t>Account_Description</t>
  </si>
  <si>
    <t>DO NOT DELETE COLUMN - FORMULAS</t>
  </si>
  <si>
    <t>1-1111</t>
  </si>
  <si>
    <t xml:space="preserve">CURRENT LEVY  </t>
  </si>
  <si>
    <t>Source of Revenue 1000</t>
  </si>
  <si>
    <t>Invalid Account in Employee Master</t>
  </si>
  <si>
    <t>Source of Revenue 1110</t>
  </si>
  <si>
    <t>1-1131</t>
  </si>
  <si>
    <t xml:space="preserve">TECHNOLOGY LEVY  </t>
  </si>
  <si>
    <t>Source of Revenue 1130</t>
  </si>
  <si>
    <t>1-1141</t>
  </si>
  <si>
    <t xml:space="preserve">SPECIAL ED LEVY  </t>
  </si>
  <si>
    <t>Curr Yr Levy-Special Ed</t>
  </si>
  <si>
    <t>1-1230</t>
  </si>
  <si>
    <t xml:space="preserve">CPP REP TAX  </t>
  </si>
  <si>
    <t>Corp Pers Prop Repl Tax</t>
  </si>
  <si>
    <t>1-1321</t>
  </si>
  <si>
    <t>Invalid Account in Cash Receipts</t>
  </si>
  <si>
    <t>Summer School Tuition - Pupils/ Parents (In-State)</t>
  </si>
  <si>
    <t>1-1342</t>
  </si>
  <si>
    <t xml:space="preserve">SPECIAL ED TUITION  </t>
  </si>
  <si>
    <t>Sp Ed Tuition-from Other Districts  (In-State)</t>
  </si>
  <si>
    <t>1-1510</t>
  </si>
  <si>
    <t xml:space="preserve">INVESTMENT INTEREST  </t>
  </si>
  <si>
    <t>Interest On Investments</t>
  </si>
  <si>
    <t>1-1611</t>
  </si>
  <si>
    <t xml:space="preserve">PUPIL LUNCH  </t>
  </si>
  <si>
    <t>Sales To Pupils-Lunch</t>
  </si>
  <si>
    <t>1-1612</t>
  </si>
  <si>
    <t xml:space="preserve">PUPIL BREAKFAST  </t>
  </si>
  <si>
    <t>Sales To Pupils-BFast</t>
  </si>
  <si>
    <t>1-1613</t>
  </si>
  <si>
    <t xml:space="preserve">ALA CARTE PUPIL  </t>
  </si>
  <si>
    <t>Sales To Pupils-Ala Carte</t>
  </si>
  <si>
    <t>1-1614</t>
  </si>
  <si>
    <t xml:space="preserve">JUICE MACHINE  </t>
  </si>
  <si>
    <t>Sales To Pupils-Other</t>
  </si>
  <si>
    <t xml:space="preserve">ADULT LUNCH  </t>
  </si>
  <si>
    <t xml:space="preserve">ADULT BREAKFAST  </t>
  </si>
  <si>
    <t>Sales To Adults</t>
  </si>
  <si>
    <t>1-1690</t>
  </si>
  <si>
    <t xml:space="preserve">ALA CARTE ADULT  </t>
  </si>
  <si>
    <t>Other Food Service</t>
  </si>
  <si>
    <t>1-1711</t>
  </si>
  <si>
    <t xml:space="preserve">ATHLETIC ADMISSION  </t>
  </si>
  <si>
    <t>Admissions-Athletic</t>
  </si>
  <si>
    <t>1-1722</t>
  </si>
  <si>
    <t xml:space="preserve">BAND FEES  </t>
  </si>
  <si>
    <t>1-1724</t>
  </si>
  <si>
    <t xml:space="preserve">FCS FEES  </t>
  </si>
  <si>
    <t>1-1725</t>
  </si>
  <si>
    <t xml:space="preserve">ATHLETIC FEES  </t>
  </si>
  <si>
    <t>1-1726</t>
  </si>
  <si>
    <t xml:space="preserve">GRADUATION GOWNS  </t>
  </si>
  <si>
    <t>1-1727</t>
  </si>
  <si>
    <t xml:space="preserve">SUPPLY FEES  </t>
  </si>
  <si>
    <t>1-1728</t>
  </si>
  <si>
    <t xml:space="preserve">BOOK FINES/MISC FEES  </t>
  </si>
  <si>
    <t>1-1729</t>
  </si>
  <si>
    <t xml:space="preserve">PE UNIFORMS  </t>
  </si>
  <si>
    <t xml:space="preserve">PRIVATE DONATIONS  </t>
  </si>
  <si>
    <t>Donations-Private Sources</t>
  </si>
  <si>
    <t xml:space="preserve">REFUND OF PREV YEAR EXP  </t>
  </si>
  <si>
    <t>Source of Revenue 1950</t>
  </si>
  <si>
    <t xml:space="preserve">OTHER LEA  </t>
  </si>
  <si>
    <t>Payments from Other Districts</t>
  </si>
  <si>
    <t xml:space="preserve">E-RATE  </t>
  </si>
  <si>
    <t xml:space="preserve">OTHER REVENUE  </t>
  </si>
  <si>
    <t>Other Local  Revenues</t>
  </si>
  <si>
    <t>General Levy</t>
  </si>
  <si>
    <t xml:space="preserve">STATE AID  </t>
  </si>
  <si>
    <t>General State Aid</t>
  </si>
  <si>
    <t xml:space="preserve">PRIVATE FACILITY SPEC ED  </t>
  </si>
  <si>
    <t>Spec Ed-Priv Facility Tui</t>
  </si>
  <si>
    <t xml:space="preserve">CHILDREN-SPED SERVICES  </t>
  </si>
  <si>
    <t>Spec Ed -Extraordinary</t>
  </si>
  <si>
    <t xml:space="preserve">SPECIAL ED PERSONNEL  </t>
  </si>
  <si>
    <t>Spec Ed -Personnel</t>
  </si>
  <si>
    <t xml:space="preserve">SPEC ED ORPHANAGE INDIV  </t>
  </si>
  <si>
    <t>Spec Ed-Orphanage-Individ</t>
  </si>
  <si>
    <t xml:space="preserve">SP ED SUMMER SCHOOL  </t>
  </si>
  <si>
    <t>Spec Ed -Summer School</t>
  </si>
  <si>
    <t xml:space="preserve">FREE LUNCH  </t>
  </si>
  <si>
    <t>State Free Lunch/BFast</t>
  </si>
  <si>
    <t>National Board Certification</t>
  </si>
  <si>
    <t xml:space="preserve">EARLY CHILDHOOD  </t>
  </si>
  <si>
    <t xml:space="preserve">STATE LIBRARY GRANT  </t>
  </si>
  <si>
    <t>State Library Grant</t>
  </si>
  <si>
    <t>System generated Check</t>
  </si>
  <si>
    <t>Source of Revenue 3810</t>
  </si>
  <si>
    <t>Emer Fin Assist/Temp Reloc Grant/Other Restr Rev</t>
  </si>
  <si>
    <t>Revenue From State Sources</t>
  </si>
  <si>
    <t xml:space="preserve">RURAL EDUCATION INTIATIV  </t>
  </si>
  <si>
    <t>Source of Revenue 4107</t>
  </si>
  <si>
    <t xml:space="preserve">LUNCH REIMB  </t>
  </si>
  <si>
    <t>Source of Revenue 4210</t>
  </si>
  <si>
    <t xml:space="preserve">BREAKFAST  </t>
  </si>
  <si>
    <t>Source of Revenue 4220</t>
  </si>
  <si>
    <t xml:space="preserve">TITLE I  </t>
  </si>
  <si>
    <t xml:space="preserve">NO DESC  </t>
  </si>
  <si>
    <t>Source of Revenue 4600</t>
  </si>
  <si>
    <t xml:space="preserve">IDEA  </t>
  </si>
  <si>
    <t>Source of Revenue 4620</t>
  </si>
  <si>
    <t>FED.-SP. ED.-I.D.E.A.-ROOM &amp; BOARD</t>
  </si>
  <si>
    <t>Fed-Sp Ed-Idea Room&amp;Board</t>
  </si>
  <si>
    <t>IDEA Part B Flow Through</t>
  </si>
  <si>
    <t>Education Jobs Program</t>
  </si>
  <si>
    <t xml:space="preserve">MEDICAID MATCHING FUNDS  </t>
  </si>
  <si>
    <t>Medicaid Matching Fund</t>
  </si>
  <si>
    <t xml:space="preserve">TITLE II TEACHER QUALITY  </t>
  </si>
  <si>
    <t>TitleII-Eisen.Math/Sci Fo</t>
  </si>
  <si>
    <t xml:space="preserve">MEDICAID FEE FOR SERV  </t>
  </si>
  <si>
    <t>Source of Revenue 4992</t>
  </si>
  <si>
    <t>TITLE 4 - ESSA</t>
  </si>
  <si>
    <t>Other Revenue-Federal Sources</t>
  </si>
  <si>
    <t>Revenue From Federal Sources</t>
  </si>
  <si>
    <t xml:space="preserve">ABATEMENT FROM WC  </t>
  </si>
  <si>
    <t>Abolishment or Abatement of Working Cash Fund</t>
  </si>
  <si>
    <t>Sources of Funds</t>
  </si>
  <si>
    <t>I</t>
  </si>
  <si>
    <t>ELEM TEACHER CENTRAL</t>
  </si>
  <si>
    <t>ELEM TEACHER JEFFERSON</t>
  </si>
  <si>
    <t>ELEM TEACHER LINCOLN</t>
  </si>
  <si>
    <t>ELEM TEACHER MCKINLEY</t>
  </si>
  <si>
    <t>ELEM TEACHER SHEPHERD</t>
  </si>
  <si>
    <t>ELEM ITINERANT DIST</t>
  </si>
  <si>
    <t>CODIN XFER ARRA JOBS EDUCATION</t>
  </si>
  <si>
    <t>PAYROLL EXPENSE</t>
  </si>
  <si>
    <t>ELEM REGULAR TA DIST</t>
  </si>
  <si>
    <t>ELEM STIPENDS SHEPHERD</t>
  </si>
  <si>
    <t>ELEM CONTR SUBS DIST</t>
  </si>
  <si>
    <t>ELEM TEACHER SUBS DIST</t>
  </si>
  <si>
    <t>ELEM CONFERENCE SUBS DIST</t>
  </si>
  <si>
    <t>ELEM TA SUBS DIST</t>
  </si>
  <si>
    <t>ELEM RED SCHOOLHOUSE DIST</t>
  </si>
  <si>
    <t>ELEM TA RETIREMENT BONUS DIST</t>
  </si>
  <si>
    <t>ELEM BD SH TRS CENTRAL</t>
  </si>
  <si>
    <t>ELEM BD SH TRS JEFFERSON</t>
  </si>
  <si>
    <t>ELEM BD SH TRS LINCOLN</t>
  </si>
  <si>
    <t>ELEM BD SH TRS MCKINLEY</t>
  </si>
  <si>
    <t>ELEM BD SH TRS SHEPHERD</t>
  </si>
  <si>
    <t>ELEM BD SH TRS DIST</t>
  </si>
  <si>
    <t>ELEM FY17 BD SH TRS DUE DIST</t>
  </si>
  <si>
    <t>ELEM TRS/IMRF (RETIREES PEN) DIST</t>
  </si>
  <si>
    <t>ELEM BD SH HEALTH CENTRAL</t>
  </si>
  <si>
    <t>ELEM BD SH HEALTH JEFFERSON</t>
  </si>
  <si>
    <t>ELEM BD SH HEALTH LINCOLN</t>
  </si>
  <si>
    <t>ELEM BD SH HEALTH MCKINLEY</t>
  </si>
  <si>
    <t>ELEM BD SH HEALTH SHEPHERD</t>
  </si>
  <si>
    <t>ELEM INS/ERLY RET SUPT OFFICE</t>
  </si>
  <si>
    <t>ELEM BD SH HEALTH DIST</t>
  </si>
  <si>
    <t>ELEM BD SH THIS CENTRAL</t>
  </si>
  <si>
    <t>ELEM BD SH THIS JEFFERSON</t>
  </si>
  <si>
    <t>ELEM BD SH THIS LINCOLN</t>
  </si>
  <si>
    <t>ELEM BD SH THIS MCKINLEY</t>
  </si>
  <si>
    <t>ELEM BD SH THIS SHEPHERD</t>
  </si>
  <si>
    <t>ELEM BD SH THIS DIST</t>
  </si>
  <si>
    <t>FY13 THIS</t>
  </si>
  <si>
    <t>ELEM BD SH LIFE CENTRAL</t>
  </si>
  <si>
    <t>ELEM BD SH LIFE JEFFERSON</t>
  </si>
  <si>
    <t>ELEM BD SH LIFE LINCOLN</t>
  </si>
  <si>
    <t>ELEM BD SH LIFE MCKINLEY</t>
  </si>
  <si>
    <t>ELEM BD SH LIFE SHEPHERD</t>
  </si>
  <si>
    <t>ELEM BD SH LIFE DIST</t>
  </si>
  <si>
    <t>STEM LAB CONTRACTED SERVICE SHEPHERD</t>
  </si>
  <si>
    <t>ELEM STEM REPAIRS SHEPHERD</t>
  </si>
  <si>
    <t>ELEM SUPPLIES CENTRAL</t>
  </si>
  <si>
    <t>ELEM SUPPLIES JEFFERSON</t>
  </si>
  <si>
    <t>ELEM SUPPLIES LINCOLN</t>
  </si>
  <si>
    <t>ELEM SUPPLIES MCKINLEY</t>
  </si>
  <si>
    <t>ELEM SUPPLIES SHEPHERD</t>
  </si>
  <si>
    <t>ELEM SUPPLIES DIST WIDE</t>
  </si>
  <si>
    <t>ELEM PTO SUPPLIES CENTRAL</t>
  </si>
  <si>
    <t>ELEM PTO SUPPLIES JEFFERSON</t>
  </si>
  <si>
    <t>ELEM PTO SUPPLIES LINCOLN</t>
  </si>
  <si>
    <t>ELEM PTO SUPPLIES MCKINLEY</t>
  </si>
  <si>
    <t>INDUSTRIAL ARTS SHEPHERD</t>
  </si>
  <si>
    <t>ELEM STEM/FOOD/SEW SHEPHERD</t>
  </si>
  <si>
    <t>ELEMENTARY RURAL EDUCATION GRANT DIST WIDE</t>
  </si>
  <si>
    <t>CODING XFER SIEBERT GRANT</t>
  </si>
  <si>
    <t>ELEM PE UNIFORMS SHEPHERD</t>
  </si>
  <si>
    <t>VIP SUPPLIES DIST WIDE</t>
  </si>
  <si>
    <t>STUDENT COUNCIL JEFFERSON</t>
  </si>
  <si>
    <t>ELEM FINE ARTS SUPPLIES DIST</t>
  </si>
  <si>
    <t>FAIRMOUNT 4 GR TECH JEFFERSON NO D</t>
  </si>
  <si>
    <t>ELEM FAIRMNT/HERMES JEFFERSON</t>
  </si>
  <si>
    <t>ELEM WALMART/CADE JEFFERSON</t>
  </si>
  <si>
    <t>ELEM FAIRMNT/HIGGINS LINCOLN</t>
  </si>
  <si>
    <t>GRANTS LINCOLN BROVELLI</t>
  </si>
  <si>
    <t>ELEM FAIRMNT/CJOHNSON LINCOLN</t>
  </si>
  <si>
    <t>ELEM SRYC - VANDERVORT LINCOLN</t>
  </si>
  <si>
    <t>SRYC KATH/JOHNSON LINCOLN NO DESC</t>
  </si>
  <si>
    <t>SRYC/G JOHNSON LINCOLN</t>
  </si>
  <si>
    <t>THERAPY 4 CLSSRM/JOHNSON LINCOLN</t>
  </si>
  <si>
    <t>SRYC - BROVELLI - MATH LINCOLN</t>
  </si>
  <si>
    <t>EXELON ART GRANT MCKINLEY</t>
  </si>
  <si>
    <t>IV NETWORK USERS MCKINLEY</t>
  </si>
  <si>
    <t>PRETTYMAN MEMORIAL MCKINLEY</t>
  </si>
  <si>
    <t>GRANT SHEPHERD PURPLE CORD</t>
  </si>
  <si>
    <t>ELEM JANE HERMAN SHEPHERD</t>
  </si>
  <si>
    <t>FAIRMOUNT 2012 SHEPHERD</t>
  </si>
  <si>
    <t>CHROMEBOOK CLASSROOM SHEPHERD REUS</t>
  </si>
  <si>
    <t>ADM-FY16 REUSNOW SHEPHERD</t>
  </si>
  <si>
    <t>ELEMENTARY FAIRMOUNT/LEVIN/MACDAV DIST WIDE</t>
  </si>
  <si>
    <t>ELEMENTARY ANDERSON MEMORIAL DISTRICT</t>
  </si>
  <si>
    <t>ELEMENTARY SANDERS ART GRANT DIST WIDE</t>
  </si>
  <si>
    <t>MIGHTY ACORNS PROGRAM</t>
  </si>
  <si>
    <t>SOS (SUPPORT OUR STUDENTS)</t>
  </si>
  <si>
    <t>ELEM ROLANDO`S KITCHN CENTRAL</t>
  </si>
  <si>
    <t>TEXTBOOKS CENTRAL</t>
  </si>
  <si>
    <t>TEXTBOOKS JEFFERSON</t>
  </si>
  <si>
    <t>TEXTBOOKS LINCOLN</t>
  </si>
  <si>
    <t>TEXTBOOKS MCKINLEY</t>
  </si>
  <si>
    <t>TEXTBOOKS SHEPHERD</t>
  </si>
  <si>
    <t>ELEMENTARY TEXTBOOKS DIST</t>
  </si>
  <si>
    <t>Supplies And Materials</t>
  </si>
  <si>
    <t>ELEMENTARY HOME EC SHEPHERD</t>
  </si>
  <si>
    <t>CAP OUTLAY DIST</t>
  </si>
  <si>
    <t>ELEM STEM LAB SHEPHERD</t>
  </si>
  <si>
    <t>BD TEACHER SPED</t>
  </si>
  <si>
    <t>B D T.A. SPED</t>
  </si>
  <si>
    <t>BD BD SH TRS SPED</t>
  </si>
  <si>
    <t>B D BD SH INS SPED</t>
  </si>
  <si>
    <t>B D BD SH THIS SPED</t>
  </si>
  <si>
    <t>BD  BD SH LIFE SPED</t>
  </si>
  <si>
    <t>Behavior Disorder</t>
  </si>
  <si>
    <t>L D TEACHER SPED</t>
  </si>
  <si>
    <t>L D SUB (1) DIST WIDE</t>
  </si>
  <si>
    <t>L D T.A. DIST</t>
  </si>
  <si>
    <t>LD BD SH TRS SPED</t>
  </si>
  <si>
    <t>LD BD SH HEALTH SPED</t>
  </si>
  <si>
    <t>L D BD SH THIS SPED</t>
  </si>
  <si>
    <t>LD BD SH LIFE SPED</t>
  </si>
  <si>
    <t>L D SUPPLIES SPED</t>
  </si>
  <si>
    <t>LEARNING DISABLED (LD)</t>
  </si>
  <si>
    <t>MUSIC THERAPY TUITION SPED</t>
  </si>
  <si>
    <t>Other Health Impairment</t>
  </si>
  <si>
    <t>HILLMAN PEDIATRICS TUITION SPED</t>
  </si>
  <si>
    <t>Infant/Toddler (I/T)</t>
  </si>
  <si>
    <t>DHH TEACHER SPED</t>
  </si>
  <si>
    <t>DHH SUMMER SCHOOL SPED</t>
  </si>
  <si>
    <t>DHH TA SPED</t>
  </si>
  <si>
    <t>DHH CONTRACTED SERVICE-CLAIR SPECIAL ED</t>
  </si>
  <si>
    <t>DHH BD SH TRS SPED</t>
  </si>
  <si>
    <t>DHH BD SH HEALTH SPED</t>
  </si>
  <si>
    <t>DHH BD SH THIS SPED</t>
  </si>
  <si>
    <t>DHH BD SH LIFE SPED</t>
  </si>
  <si>
    <t>DHH REPAIRS SPED</t>
  </si>
  <si>
    <t>DHH SUPPLIES SPED</t>
  </si>
  <si>
    <t>DHH CAP OUTLAY SPED</t>
  </si>
  <si>
    <t>DHH</t>
  </si>
  <si>
    <t>COGNITIVE DIS TEACHER SPED</t>
  </si>
  <si>
    <t>COGNITIVE DISABILITY SUB (1) DIST WIDE</t>
  </si>
  <si>
    <t xml:space="preserve">COGNITIVE DIS TA </t>
  </si>
  <si>
    <t>COGNITIVE DIS BD SH TRS SPED</t>
  </si>
  <si>
    <t>COGNITIVE DIS BD SH HLTH SPED</t>
  </si>
  <si>
    <t>COGNITIVE DIS BD SH THIS SPED</t>
  </si>
  <si>
    <t>COGNITIVE DIS BD SH LIFE SPED</t>
  </si>
  <si>
    <t>COGNITIVE DIS SUPPLIES SPED</t>
  </si>
  <si>
    <t>COGNITIVE DIS FOOD/SUPPLIES SPED</t>
  </si>
  <si>
    <t>EMH/TMH</t>
  </si>
  <si>
    <t>PRE SCHOOL TEACHER SAL (1.5) SPED</t>
  </si>
  <si>
    <t>PRE SCHOOL TA SALARY (.5) SPED</t>
  </si>
  <si>
    <t>PRE SCHOOL BD SH TRS SPED</t>
  </si>
  <si>
    <t>PRE SCHOOL BD SH HEALTH SPED</t>
  </si>
  <si>
    <t>PRE SCHOOL BD SH THIS SPED</t>
  </si>
  <si>
    <t>PRE SCHOOL BD SH LIFE SPED</t>
  </si>
  <si>
    <t>SPECIAL ED PROGAM PRE-K</t>
  </si>
  <si>
    <t>TITLE I TEACHER SAL DIST</t>
  </si>
  <si>
    <t>TITLE I PAROCHIAL DIST</t>
  </si>
  <si>
    <t>TITLE I ELL SALARY (2) DIST</t>
  </si>
  <si>
    <t>CODING XFER SES TUTOR TRANS</t>
  </si>
  <si>
    <t>TITLE I CONFERENCE SUBS DIST</t>
  </si>
  <si>
    <t>TITLE I BD SH TRS DIST</t>
  </si>
  <si>
    <t>11-12 FED FUNDS TRS</t>
  </si>
  <si>
    <t>FY13 TRS</t>
  </si>
  <si>
    <t>TITLE I FED TRS 10.10% DIST</t>
  </si>
  <si>
    <t>TITLE I BD SH HEALTH DIST</t>
  </si>
  <si>
    <t>TITLE I BD SH THIS DIST</t>
  </si>
  <si>
    <t>TITLE I BD SH LIFE DIST</t>
  </si>
  <si>
    <t>CODING XFER TO 425551179</t>
  </si>
  <si>
    <t>TITLE I PARENTS DIST</t>
  </si>
  <si>
    <t>TITLE I PAROCHIAL STAFF DEV DIST</t>
  </si>
  <si>
    <t>TITLE I PAROCHIAL PARENTS DIST</t>
  </si>
  <si>
    <t>TITLE I ELL INTERPRETING DIST</t>
  </si>
  <si>
    <t>SES TUTORING SERVICE DIST WIDE</t>
  </si>
  <si>
    <t>TITLE I STAFF DEVELOPMENT DIST</t>
  </si>
  <si>
    <t>SUPPLIES CENTRAL</t>
  </si>
  <si>
    <t>TITLE I SUPPLIES/BUCCIARELLI CENTRAL</t>
  </si>
  <si>
    <t>SUPPLIES JEFFERSON</t>
  </si>
  <si>
    <t>TITLE I SUPPLIES/BUCCIARELLI JEFFERSON</t>
  </si>
  <si>
    <t>TITLE I SUPPLIES/BUCCIARELLI LINCOLN</t>
  </si>
  <si>
    <t>TRFR CODE FRM 1-1250-332-9 PER CT</t>
  </si>
  <si>
    <t>SUPPLIES SHEPHERD</t>
  </si>
  <si>
    <t>TITLE I SUPPLIES/BUCCIARELLI SHEPHERD</t>
  </si>
  <si>
    <t>TITLE I SUPPLIES DIST</t>
  </si>
  <si>
    <t>TITLE I ELL SUPPLIES DIST</t>
  </si>
  <si>
    <t>CODING XFER FROM 125604139</t>
  </si>
  <si>
    <t>SUMMER SCHOOL TITLE 1 FOOD COST</t>
  </si>
  <si>
    <t>TITLE I HOMELESS DIST</t>
  </si>
  <si>
    <t>CODING XFER SES TUTOR TRANS FUEL</t>
  </si>
  <si>
    <t>Title 1</t>
  </si>
  <si>
    <t>EC GRANT TEACHER SAL</t>
  </si>
  <si>
    <t xml:space="preserve">EC GRANT PARENT COOD </t>
  </si>
  <si>
    <t>EC GRANT GENERAL ADMIN</t>
  </si>
  <si>
    <t>EC GRANT SUB SALARY</t>
  </si>
  <si>
    <t xml:space="preserve">EC GRANT TA SALARY </t>
  </si>
  <si>
    <t>EC GRANT CUSTODIAL SAL</t>
  </si>
  <si>
    <t>EC GRANT DRIVER/MONITOR SAL</t>
  </si>
  <si>
    <t>EC GRANT BD SH TRS</t>
  </si>
  <si>
    <t>EC GRANT BD SH HEALTH</t>
  </si>
  <si>
    <t>EC GRANT BD SH THIS</t>
  </si>
  <si>
    <t>EC GRANT BD SH LIFE</t>
  </si>
  <si>
    <t>EC GRANT FIELD TRIPS</t>
  </si>
  <si>
    <t>CODING XFER FOR EC GRANT</t>
  </si>
  <si>
    <t>EC GRANT STAFF DEVLPMNT &amp; TRAV</t>
  </si>
  <si>
    <t>EC GRANT SUPPLIES</t>
  </si>
  <si>
    <t>EC GRANT TRANS FUEL &amp; MAINT</t>
  </si>
  <si>
    <t>EC GRANT PARENTS</t>
  </si>
  <si>
    <t>EC GRANT FOOD/SNACKS</t>
  </si>
  <si>
    <t>EC GRANT EQUIPMENT</t>
  </si>
  <si>
    <t>TUITION DIST WIDE</t>
  </si>
  <si>
    <t>VOCAL ACCOMPANIST  SHEPHERD</t>
  </si>
  <si>
    <t>VOCAL REPAIR/MAINT SHEPHERD</t>
  </si>
  <si>
    <t>VOCAL SUPPLIES SHEPHERD</t>
  </si>
  <si>
    <t>EQUIPMENT SHEPHERD</t>
  </si>
  <si>
    <t>Function 1510</t>
  </si>
  <si>
    <t>K-6 VOCAL REPAIR/MAINT DIST</t>
  </si>
  <si>
    <t>K-6 VOCAL SUPPLIES DIST</t>
  </si>
  <si>
    <t>K-6 VOCAL EQUIPMENT DIST</t>
  </si>
  <si>
    <t>Function 1511</t>
  </si>
  <si>
    <t>FCS ACCOMPANIST DIST</t>
  </si>
  <si>
    <t>FCS DIRECTOR DIST</t>
  </si>
  <si>
    <t>FCS DIRECTOR DIST TRS</t>
  </si>
  <si>
    <t>FCS PROF SERVICE DIST WIDE</t>
  </si>
  <si>
    <t>FCS SUPPLIES DIST</t>
  </si>
  <si>
    <t>FCS UNIFORMS DIST</t>
  </si>
  <si>
    <t>FCS FIELD TRIPS DIST</t>
  </si>
  <si>
    <t>Function 1512</t>
  </si>
  <si>
    <t>BAND TEACHER SAL (2) DIST</t>
  </si>
  <si>
    <t>BAND BD SH TRS DIST</t>
  </si>
  <si>
    <t>BAND BD SH HEALTH DIST</t>
  </si>
  <si>
    <t>BAND BD SH THIS DIST</t>
  </si>
  <si>
    <t>BAND BD SH LIFE DIST</t>
  </si>
  <si>
    <t>BAND REPAIR/MAINT DIST</t>
  </si>
  <si>
    <t>BAND SUPPLIES DIST</t>
  </si>
  <si>
    <t>BAND OHS/OES FEST DIST</t>
  </si>
  <si>
    <t>BAND EQUIPMENT DIST</t>
  </si>
  <si>
    <t>BAND DUES/FEES DIST</t>
  </si>
  <si>
    <t>Extracurricular Programs</t>
  </si>
  <si>
    <t>ATHLETICS COACH/SPONSR SMS</t>
  </si>
  <si>
    <t>ATHLETICS BD SH TRS SMS</t>
  </si>
  <si>
    <t>ATHLETICS COACH/SPONSR SM (BCB</t>
  </si>
  <si>
    <t>ATHLETICS BD SH THIS SMS</t>
  </si>
  <si>
    <t>ATHLETICS COACH/SPONSR SM (2-4</t>
  </si>
  <si>
    <t>ATHLETICS REFEREES DIST</t>
  </si>
  <si>
    <t>ATHLETICS BANQUETS</t>
  </si>
  <si>
    <t>ATHLETICS SUPPLIES</t>
  </si>
  <si>
    <t>ATHLETICS UNIFORMS DIST</t>
  </si>
  <si>
    <t>ATHLETICS AWARDS DIST</t>
  </si>
  <si>
    <t>ATHLETICS EQUIPMENT DIST</t>
  </si>
  <si>
    <t>ATHLETICS DUES/FEES SHEPHERD</t>
  </si>
  <si>
    <t>ATHLETICS STARVED ROCK CONFERENCE SHEPHERD</t>
  </si>
  <si>
    <t>Function 1550</t>
  </si>
  <si>
    <t>ATHLETICS 5TH/6TH DIST</t>
  </si>
  <si>
    <t>ATHLETICS 5/6TH BD SH TRS DIST</t>
  </si>
  <si>
    <t>ATHLETICS 5/6TH BD SH THIS DIST</t>
  </si>
  <si>
    <t>Function 1560</t>
  </si>
  <si>
    <t>STUDENT SERVICES DEAN OF STUDENTS CENTRAL</t>
  </si>
  <si>
    <t>STUDENT SERVICES DEAN OF STUDENTS SHEPHERD</t>
  </si>
  <si>
    <t>STUDENT SERVICES ASST PRINCIPAL</t>
  </si>
  <si>
    <t>STUDENT SERVICES BD SH TRS CENTRAL</t>
  </si>
  <si>
    <t>STUDENT SERVICES BD SH TRS SHEPHERD</t>
  </si>
  <si>
    <t>STUDENT SERVICES BD SH TRS</t>
  </si>
  <si>
    <t>STUDENT SERVICES BD SH HEALTH CENTRAL</t>
  </si>
  <si>
    <t>STUDENT SERVICES BD SH HEALTH SHEPHERD</t>
  </si>
  <si>
    <t>STUDENT SERVICES BD SH HEALTH</t>
  </si>
  <si>
    <t>STUDENT SERVICES BD SH THIS CENTRAL</t>
  </si>
  <si>
    <t>STUDENT SERVICES BD SH THIS SHEPHERD</t>
  </si>
  <si>
    <t>STUDENT SERVICES BD SH THIS</t>
  </si>
  <si>
    <t>STUDENT SERVICES BD SH LIFE CENTRAL</t>
  </si>
  <si>
    <t>STUDENT SERVICES BD SH LIFE SHEPHERD</t>
  </si>
  <si>
    <t>STUDENT SERVICES BD SH LIFE</t>
  </si>
  <si>
    <t>TRAVEL PAY CODING CORRECTION</t>
  </si>
  <si>
    <t>STUDENT SERVICES GRADUATION</t>
  </si>
  <si>
    <t>Attendance Services</t>
  </si>
  <si>
    <t>SSW SALARIES SPECIAL ED</t>
  </si>
  <si>
    <t>SSW INTERN SPECIAL ED FY17</t>
  </si>
  <si>
    <t>SSW BD SH TRS SPECIAL ED</t>
  </si>
  <si>
    <t>SSW BD SH HEALTH SPECIAL ED</t>
  </si>
  <si>
    <t>SSW BD SH THIS SPECIAL ED</t>
  </si>
  <si>
    <t>SSW BD SH LIFE SPECIAL ED</t>
  </si>
  <si>
    <t>SSW CONTRACTED SERVICE SPED</t>
  </si>
  <si>
    <t>SSW SUPPLIES SPECIAL ED</t>
  </si>
  <si>
    <t>Social Work Services</t>
  </si>
  <si>
    <t>CURRICULUM DIRECTOR SALARY</t>
  </si>
  <si>
    <t>CURRICULUM DIRECTOR BD SH TRS</t>
  </si>
  <si>
    <t>CURRICULUM DIRECTOR BD SH HLTH</t>
  </si>
  <si>
    <t>CURRICULUM DIRECTOR BD SH THIS</t>
  </si>
  <si>
    <t>CURRICULUM DIRECTOR BD SH LIFE</t>
  </si>
  <si>
    <t>CURRICULUM DIRECTOR BD SH FLEX</t>
  </si>
  <si>
    <t>CURR &amp; ASSESS DIRECTOR STAFF DEVELOPMENT/TRAVEL DI</t>
  </si>
  <si>
    <t>Othr Attend/Social Wrk Sv</t>
  </si>
  <si>
    <t>COUNSELOR SALARIES (1) SHEPHERD</t>
  </si>
  <si>
    <t>COUNSELOR SALARIES (1) MCKINLEY</t>
  </si>
  <si>
    <t>COUNSELOR BD SH TRS SHEPHERD</t>
  </si>
  <si>
    <t>COUNSELOR BD SH TRS DIST WIDE</t>
  </si>
  <si>
    <t>COUNSELOR BD SH HLTH SHEPHERD</t>
  </si>
  <si>
    <t>COUNSELOR BD SH HEALTH</t>
  </si>
  <si>
    <t>COUNSELOR BD SH THIS SHEPHERD</t>
  </si>
  <si>
    <t>COUNSELOR BD SH THIS DIST WIDE</t>
  </si>
  <si>
    <t>COUNSELOR BD SH LIFE SHEPHERD</t>
  </si>
  <si>
    <t>COUNSELOR BD SH LIFE DIST WIDE</t>
  </si>
  <si>
    <t>Service Area Direction</t>
  </si>
  <si>
    <t>HEALTH PROVIDER SPED SALARY</t>
  </si>
  <si>
    <t>BD SH INS</t>
  </si>
  <si>
    <t>HEALTH PROVIDER LIFE INS SPED</t>
  </si>
  <si>
    <t>Medical Services</t>
  </si>
  <si>
    <t>HEALTH SRVCES NURSE SALARIES (3)</t>
  </si>
  <si>
    <t>HEALTH SRVCES INDIVIDUAL NURSE</t>
  </si>
  <si>
    <t>HEALTH SERVICES BD SH HEALTH</t>
  </si>
  <si>
    <t>HEALTH SERVICE BD SH LIFE</t>
  </si>
  <si>
    <t>HEALTH SERVICE SUPPLIES</t>
  </si>
  <si>
    <t>HEALTH SERVICES CAPITAL OUTLAY</t>
  </si>
  <si>
    <t>Nurse Services</t>
  </si>
  <si>
    <t>SPED OFFICE PROF SALARY</t>
  </si>
  <si>
    <t>SPED OFFICE PYSCHOLOGIST (1)</t>
  </si>
  <si>
    <t>SPED OFFICE PSYCH INTERN</t>
  </si>
  <si>
    <t>SPED OFFICE HOME TUTORS</t>
  </si>
  <si>
    <t>SPED OFFICE CLERICAL SALARY</t>
  </si>
  <si>
    <t>SPECIAL EDUC OFFICE BD SH TRS</t>
  </si>
  <si>
    <t>SPED OFFICE BD SH HEALTH</t>
  </si>
  <si>
    <t>SPED OFFICE BD SH THIS</t>
  </si>
  <si>
    <t>SPED OFFICE BD SH LIFE</t>
  </si>
  <si>
    <t>SPED OFFICE BD SH FLEX</t>
  </si>
  <si>
    <t>SPED OFFICE INTERPRETING</t>
  </si>
  <si>
    <t>SPED OFFICE DIAG EVALUATION</t>
  </si>
  <si>
    <t>SPED OFFICE HOSPITAL TUTORS</t>
  </si>
  <si>
    <t>SPED OFFICE REPAIR/MAINT</t>
  </si>
  <si>
    <t>SPED  PYSCH CONTRCTD SERV</t>
  </si>
  <si>
    <t>SPED STAFF DEVELOPMENT/TRAVEL</t>
  </si>
  <si>
    <t>SPED OFFICE STAFF DEV IDEA FLOW</t>
  </si>
  <si>
    <t>SPED OFFICE TELEPHONE</t>
  </si>
  <si>
    <t>SPED OFFICE SUPPLIES</t>
  </si>
  <si>
    <t>SPED OFFICE ASSESSMENT (TESTING)</t>
  </si>
  <si>
    <t>SPED OFFICE CAPITAL OUTLAY</t>
  </si>
  <si>
    <t>SPED OFFICE DUES/FEES</t>
  </si>
  <si>
    <t>SPEECH SALARY (5) SPED</t>
  </si>
  <si>
    <t>SPEECH SUMMER SCHOOL SPED</t>
  </si>
  <si>
    <t>SPEECH BD SH TRS SPED</t>
  </si>
  <si>
    <t>SPEECH FY16 FED FUNDS DUE DIST WIDE</t>
  </si>
  <si>
    <t>SPEECH 10.10% FED FUNDS SPED</t>
  </si>
  <si>
    <t>SPEECH BD SH INS SPED</t>
  </si>
  <si>
    <t>SPEECH BD SH THIS SPED</t>
  </si>
  <si>
    <t>SPEECH BD SH LIFE SPED</t>
  </si>
  <si>
    <t>SUPPLIES SPECIAL ED</t>
  </si>
  <si>
    <t>SPEECH DUES/FEES SPED</t>
  </si>
  <si>
    <t>SPEECH PATHOLOGY SERVICES</t>
  </si>
  <si>
    <t>TITLE 2 TCH QUALITY TEACHER DIST WIDE</t>
  </si>
  <si>
    <t>TITLE 2 TCH QUALITY STIPEND</t>
  </si>
  <si>
    <t>TITLE 2 TCH QUALITY BD SH TRS</t>
  </si>
  <si>
    <t>TITLE 2 TCH QUALITY 10.10% FED FUNDS</t>
  </si>
  <si>
    <t>TITLE 2 TCH QUALITY BD SH INS DIST WIDE</t>
  </si>
  <si>
    <t>TITLE 2 TCH QUALITY BD SH THIS</t>
  </si>
  <si>
    <t>TITLE 2 TCH QUALITY BD SH LIFE DIST WIDE</t>
  </si>
  <si>
    <t>TITLE 2 TCH QUALITY TUITION REIMB</t>
  </si>
  <si>
    <t>TITLE 2 TCH QUALITY PAROCHIAL</t>
  </si>
  <si>
    <t>TITLE 2 TCH QUALITY STAFF DEVELOPMENT/TRAVEL</t>
  </si>
  <si>
    <t>TITLE 2 TCH QUALITY SUPPLIES</t>
  </si>
  <si>
    <t>DUES/FEES DIST WIDE</t>
  </si>
  <si>
    <t>Improvement of Instruction Serv</t>
  </si>
  <si>
    <t>SADD STIPENDS</t>
  </si>
  <si>
    <t>SADD TRS</t>
  </si>
  <si>
    <t>SADD THIS</t>
  </si>
  <si>
    <t>SUBSTANCE ABUSE D.A.R.E.</t>
  </si>
  <si>
    <t>TITLE IV-A SSAE</t>
  </si>
  <si>
    <t>TITLE IV-A SSAE PAROCHIAL</t>
  </si>
  <si>
    <t>CHAR CNTS/DRUG FREE DUES/FEES (CHAR CNTS)</t>
  </si>
  <si>
    <t>Instruction &amp; Curriculum</t>
  </si>
  <si>
    <t>STAFF DEVELOPMENT STIPEND</t>
  </si>
  <si>
    <t>STAFF DEVELOPMENT BD SH TRS</t>
  </si>
  <si>
    <t>STAFF DEVELOPMENT BD SH THIS</t>
  </si>
  <si>
    <t>STAFF DEVELOPMENT STAFF DEVELOPMENT/TRAVEL</t>
  </si>
  <si>
    <t>LYONS GRANT DIST WIDE</t>
  </si>
  <si>
    <t>MINI GRANTS DIST WIDE</t>
  </si>
  <si>
    <t>STAFF DEVELOPMENT SUPPLIES</t>
  </si>
  <si>
    <t>Instrctnl Staff Training</t>
  </si>
  <si>
    <t>POSTING CORRECTION WOOLLEY LF INS</t>
  </si>
  <si>
    <t>Function 2215</t>
  </si>
  <si>
    <t>LIBRARY TEACHER (1) SHEPHERD</t>
  </si>
  <si>
    <t>LIBRARY TEACHING ASSIST (4) DIST</t>
  </si>
  <si>
    <t>LIBRARY BD SH TRS SHEPHERD</t>
  </si>
  <si>
    <t>LIBRARY BD SH HEALTH SHEPHERD</t>
  </si>
  <si>
    <t>LIBRARY BD SH HEALTH DIST</t>
  </si>
  <si>
    <t>LIBRARY BD SH THIS SHEPHERD</t>
  </si>
  <si>
    <t>LIBRARY BD SH LIFE SHEPHERD</t>
  </si>
  <si>
    <t>LIBRARY  BD SH LIFE DIST</t>
  </si>
  <si>
    <t>LIBRARY SUPPLIES CENTRAL</t>
  </si>
  <si>
    <t>LIBRARY SUPPLIES JEFFERSON</t>
  </si>
  <si>
    <t>LIBRARY SUPPLIES LINCOLN</t>
  </si>
  <si>
    <t>LIBRARY SUPPLIES MCKINLEY</t>
  </si>
  <si>
    <t>LIBRARY SUPPLIES SHEPHERD</t>
  </si>
  <si>
    <t>LIBRARY BOOKS CENTRAL</t>
  </si>
  <si>
    <t>LIBRARY BOOKS JEFFERSON</t>
  </si>
  <si>
    <t>LIBRARY BOOKS LINCOLN</t>
  </si>
  <si>
    <t>LIBRARY BOOKS MCKINLEY</t>
  </si>
  <si>
    <t>LIBRARY BOOKS SHEPHERD</t>
  </si>
  <si>
    <t>SCHOOL LIBRARY GRANT BOOKS</t>
  </si>
  <si>
    <t>Sch Library Services</t>
  </si>
  <si>
    <t>FILM DIST WIDE</t>
  </si>
  <si>
    <t>AUDIO/VISUAL REPAIR/MAINT CENTRAL</t>
  </si>
  <si>
    <t>AUDIO/VISUAL REPAIR/MAINT JEFFERSON</t>
  </si>
  <si>
    <t>AUDIO/VISUAL REPAIR/MAINT LINCOLN</t>
  </si>
  <si>
    <t>AUDIO/VISUAL REPAIR/MAINT MCKINLEY</t>
  </si>
  <si>
    <t>AUDIO/VISUAL REPAIR/MAINT SHEPHERD</t>
  </si>
  <si>
    <t>AUDIO/VISUAL MEDIA CENTER SMS</t>
  </si>
  <si>
    <t>AUDIO/VISUAL SUPPLIES CENTRAL</t>
  </si>
  <si>
    <t>AUDIO/VISUAL SUPPLIES JEFFERSON</t>
  </si>
  <si>
    <t>AUDIO/VISUAL SUPPLIES LINCOLN</t>
  </si>
  <si>
    <t>AUDIO/VISUAL SUPPLIES MCKINLEY</t>
  </si>
  <si>
    <t>Audio-Visual Services</t>
  </si>
  <si>
    <t>TECHNOLOGY TECH DIRECTOR</t>
  </si>
  <si>
    <t>TECHNOLOGY TECH ASST</t>
  </si>
  <si>
    <t>TECHNOLOGY TECH ASST SUMMER</t>
  </si>
  <si>
    <t>P/R VOID CK#119969-NEVIN</t>
  </si>
  <si>
    <t>TECHNOLOGY BD SH INS</t>
  </si>
  <si>
    <t>TECHNOLOGY BD SH LIFE</t>
  </si>
  <si>
    <t>TECHNOLOGY SOFTWARE MAINT</t>
  </si>
  <si>
    <t>TECHNOLOGY CONSULTANT</t>
  </si>
  <si>
    <t>TECHNOLOGY REPAIRS &amp; NETWORKING</t>
  </si>
  <si>
    <t>TECHNOLOGY T-1/INTERNET</t>
  </si>
  <si>
    <t>TECHNOLOGY SERVICE TECH TELEPHONE</t>
  </si>
  <si>
    <t>TECHNOLOGY FIBER WAN</t>
  </si>
  <si>
    <t>TECHNOLOGY RK DIXON MAINT AGREE</t>
  </si>
  <si>
    <t>TECHNOLOGY STAFF DEV/TRAVEL</t>
  </si>
  <si>
    <t>TECHNOLOGY SOFTWARE</t>
  </si>
  <si>
    <t>TECHNOLOGY SUPPLIES</t>
  </si>
  <si>
    <t>TECHNOLOGY INCIDENTALS</t>
  </si>
  <si>
    <t>TECHNOLOGY CAPITAL OUTLAY</t>
  </si>
  <si>
    <t>TECHNOLOGY E-RATE CATEGORY 2</t>
  </si>
  <si>
    <t>Educational Television Sv</t>
  </si>
  <si>
    <t>BOARD OF EDUCATION BOARD SECRETARY</t>
  </si>
  <si>
    <t>CONSULTING-FEMA DIST WIDE</t>
  </si>
  <si>
    <t>BOARD OF EDUCATION AUDIT</t>
  </si>
  <si>
    <t>BOARD OF EDUCATION LEGAL SERV</t>
  </si>
  <si>
    <t>BOARD OF EDUC CONF/TRAVEL</t>
  </si>
  <si>
    <t>BOARD OF EDUC LIABILITY INS</t>
  </si>
  <si>
    <t>BOARD OF EDUC HLTH INS ADMIN</t>
  </si>
  <si>
    <t>BOARD OF EDUC FLEXPLAN ADMIN</t>
  </si>
  <si>
    <t>BOARD OF EDUC BCBS REFUND ACCT (STAFF)</t>
  </si>
  <si>
    <t>BOARD OF EDUC SUPPLIES</t>
  </si>
  <si>
    <t>BOARD OF EDUC DUES/FEES</t>
  </si>
  <si>
    <t>SUPT OFFICE SUPT SALARY</t>
  </si>
  <si>
    <t>SUPT OFFICE SUPT SEC</t>
  </si>
  <si>
    <t>SUPT OFFICE SECRETARY</t>
  </si>
  <si>
    <t>SUPT OFFICE BD SH TRS</t>
  </si>
  <si>
    <t>SUPT OFFICE BD SH HEALTH</t>
  </si>
  <si>
    <t>RETIREE BD SH BCBS INS</t>
  </si>
  <si>
    <t>SUPT OFFICE BD SH THIS</t>
  </si>
  <si>
    <t>SUPT OFFICE BD SH LIFE</t>
  </si>
  <si>
    <t>BD SH LIFE - RETIREE DIST WIDE</t>
  </si>
  <si>
    <t>SUPT OFFICE BD SH FLEX</t>
  </si>
  <si>
    <t>SUPT OFFICE REPAIR/MAINT</t>
  </si>
  <si>
    <t>SUPT OFFICE POSTAGE RENT</t>
  </si>
  <si>
    <t>SUPT OFFICE MILEAGE</t>
  </si>
  <si>
    <t>SUPT OFFICE CONFERENCES</t>
  </si>
  <si>
    <t>SUPT OFFICE PROFESSIONAL DUES</t>
  </si>
  <si>
    <t>SUPT OFFICE TELEPHONE</t>
  </si>
  <si>
    <t>SUPT OFFICE POSTAGE</t>
  </si>
  <si>
    <t>SUPT OFFICE SUPPLIES</t>
  </si>
  <si>
    <t>SUPT OFFICE PERIODICALS</t>
  </si>
  <si>
    <t>SUPT OFFICE EQUIPMENT</t>
  </si>
  <si>
    <t>Office Of Supt Services</t>
  </si>
  <si>
    <t>PRINCIPAL OFFICE SALARY CENTRAL</t>
  </si>
  <si>
    <t>PRINCIPAL OFFICE SALARY JEFFERSON</t>
  </si>
  <si>
    <t>PRINCIPAL OFFICE SALARY LINCOLN</t>
  </si>
  <si>
    <t>PRINCIPAL OFFICE SALARY MCKINLEY</t>
  </si>
  <si>
    <t>PRINCIPAL OFFICE SALARY SHEPHERD</t>
  </si>
  <si>
    <t>PRINCIPAL OFFICE CLERICAL SALARY CENTRAL</t>
  </si>
  <si>
    <t>PRINCIPAL OFFICE CLERICAL SALARY JEFFERSON</t>
  </si>
  <si>
    <t>PRINCIPAL OFFICE CLERICAL SALARY LINCOLN</t>
  </si>
  <si>
    <t>PRINCIPAL OFFICE CLERICAL SALARY MCKINLEY</t>
  </si>
  <si>
    <t>PRINCIPAL OFFICE CLERICAL SALARY SHEPHERD</t>
  </si>
  <si>
    <t>PRINCIPAL OFFICE CLERICAL ASSIST</t>
  </si>
  <si>
    <t>PRINCIPAL OFFICE SUB CLERICAL</t>
  </si>
  <si>
    <t>PRINCIPAL OFFICE BD SH TRS CENTRAL</t>
  </si>
  <si>
    <t>PRINCIPAL OFFICE BD SH TRS JEFFERSON</t>
  </si>
  <si>
    <t>PRINCIPAL OFFICE BD SH TRS LINCOLN</t>
  </si>
  <si>
    <t>PRINCIPAL OFFICE BD SH TRS MCKINLEY</t>
  </si>
  <si>
    <t>PRINCIPAL OFFICE BD SH TRS SHEPHERD</t>
  </si>
  <si>
    <t>TRS EARLY RETIREMENT PENALTY</t>
  </si>
  <si>
    <t>PRINCIPAL OFFICE BD SH HEALTH CENTRAL</t>
  </si>
  <si>
    <t>PRINCIPAL OFFICE BD SH HEALTH JEFFERSON</t>
  </si>
  <si>
    <t>PRINCIPAL OFFICE BD SH HEALTH LINCOLN</t>
  </si>
  <si>
    <t>PRINCIPAL OFFICE BD SH HEALTH MCKINLEY</t>
  </si>
  <si>
    <t>PRINCIPAL OFFICE BD SH HEALTH SHEPHERD</t>
  </si>
  <si>
    <t>PRINCIPAL OFFICE CLERICAL (BCB)</t>
  </si>
  <si>
    <t>PRINCIPAL OFFICE BD SH THIS CENTRAL</t>
  </si>
  <si>
    <t>PRINCIPAL OFFICE BD SH THIS JEFFERSON</t>
  </si>
  <si>
    <t>PRINCIPAL OFFICE BD SH THIS LINCOLN</t>
  </si>
  <si>
    <t>PRINCIPAL OFFICE BD SH THIS MCKINLEY</t>
  </si>
  <si>
    <t>PRINCIPAL OFFICE BD SH THIS SHEPHERD</t>
  </si>
  <si>
    <t>PRINCIPAL OFFICE BD SH LIFE CENTRAL</t>
  </si>
  <si>
    <t>PRINCIPAL OFFICE BD SH LIFE JEFFERSON</t>
  </si>
  <si>
    <t>PRINCIPAL OFFICE BD SH LIFE LINCOLN</t>
  </si>
  <si>
    <t>PRINCIPAL OFFICE BD SH LIFE MCKINLEY</t>
  </si>
  <si>
    <t>PRINCIPAL OFFICE BD SH LIFE SHEPHERD</t>
  </si>
  <si>
    <t>PRINCIPAL OFFICE CLERICAL (2-4</t>
  </si>
  <si>
    <t>PRINCIPAL OFFICE FLEX CENTRAL</t>
  </si>
  <si>
    <t>PRINCIPAL OFFICE FLEX JEFFERSON</t>
  </si>
  <si>
    <t>PRINCIPAL OFFICE FLEX LINCOLN</t>
  </si>
  <si>
    <t>PRINCIPAL OFFICE FLEX MCKINLEY</t>
  </si>
  <si>
    <t>PRINCIPAL OFFICE FLEX SHEPHERD</t>
  </si>
  <si>
    <t>PRINCIPAL OFFICE REPAIR/MAINT CENTRAL</t>
  </si>
  <si>
    <t>PRINCIPAL OFFICE REPAIR/MAINT JEFFERSON</t>
  </si>
  <si>
    <t>PRINCIPAL OFFICE REPAIR/MAINT LINCOLN</t>
  </si>
  <si>
    <t>PRINCIPAL OFFICE REPAIR/MAINT MCKINLEY</t>
  </si>
  <si>
    <t>PRINCIPAL OFFICE REPAIR/MAINT SHEPHERD</t>
  </si>
  <si>
    <t>PRINCIPAL OFFICE TRAVEL SHEPHERD</t>
  </si>
  <si>
    <t>PRINCIPAL OFFICE TELEPHONE CENTRAL</t>
  </si>
  <si>
    <t>PRINCIPAL OFFICE TELEPHONE JEFFERSON</t>
  </si>
  <si>
    <t>PRINCIPAL OFFICE TELEPHONE LINCOLN</t>
  </si>
  <si>
    <t>PRINCIPAL OFFICE TELEPHONE MCKINLEY</t>
  </si>
  <si>
    <t>PRINCIPAL OFFICE TELEPHONE SHEPHERD</t>
  </si>
  <si>
    <t>PRINCIPAL OFFICE POSTAGE CENTRAL</t>
  </si>
  <si>
    <t>PRINCIPAL OFFICE POSTAGE JEFFERSON</t>
  </si>
  <si>
    <t>PRINCIPAL OFFICE POSTAGE LINCOLN</t>
  </si>
  <si>
    <t>PRINCIPAL OFFICE POSTAGE MCKINLEY</t>
  </si>
  <si>
    <t>PRINCIPAL OFFICE POSTAGE SHEPHERD</t>
  </si>
  <si>
    <t>PRINCIPAL OFFICE SUPPLIES CENTRAL</t>
  </si>
  <si>
    <t>PRINCIPAL OFFICE SUPPLIES JEFFERSON</t>
  </si>
  <si>
    <t>PRINCIPAL OFFICE SUPPLIES LINCOLN</t>
  </si>
  <si>
    <t>PRINCIPAL OFFICE SUPPLIES MCKINLEY</t>
  </si>
  <si>
    <t>PRINCIPAL OFFICE SUPPLIES SHEPHERD</t>
  </si>
  <si>
    <t>PRINCIPAL OFFICE CAP OUTLAY DIST</t>
  </si>
  <si>
    <t>PRINCIPAL OFFICE PROFESSIONAL DUES DIST WIDE</t>
  </si>
  <si>
    <t>Office Of Principal Serv</t>
  </si>
  <si>
    <t>FISCAL SERVICE BUSINESS COORD</t>
  </si>
  <si>
    <t>FISCAL SERVICE BOOKKEEPER</t>
  </si>
  <si>
    <t>FISCAL SERVICE BD SH HEALTH</t>
  </si>
  <si>
    <t>BCBS RETIREES</t>
  </si>
  <si>
    <t>FISCAL SERVICE BD SH LIFE</t>
  </si>
  <si>
    <t>FISCAL SERVICE CONVERSION FEE</t>
  </si>
  <si>
    <t>FISCAL SERVICE SOFTWARE LICENSE FEE</t>
  </si>
  <si>
    <t>FISCAL SERVICE ANNUAL SOFTWARE MAINT</t>
  </si>
  <si>
    <t>FISCAL SERVICE WEB HOSTING FEE</t>
  </si>
  <si>
    <t>FISCAL SERVICE STAFF DEV/TRAVEL</t>
  </si>
  <si>
    <t>FISCAL SERVICE UNEMPLOY COMP</t>
  </si>
  <si>
    <t>FISCAL SERVICE SUPPLIES</t>
  </si>
  <si>
    <t>FISCAL SERVICE CAP OUTLAY</t>
  </si>
  <si>
    <t>FISCAL SERVICE FEES DIST OFFICE</t>
  </si>
  <si>
    <t>TELEPHONE DIST WIDE</t>
  </si>
  <si>
    <t>NATURAL GAS CENTRAL</t>
  </si>
  <si>
    <t>NATURAL GAS JEFFERSON</t>
  </si>
  <si>
    <t>NATURAL GAS LINCOLN</t>
  </si>
  <si>
    <t>NATURAL GAS MCKINLEY</t>
  </si>
  <si>
    <t>NATURAL GAS SHEPHERD</t>
  </si>
  <si>
    <t>ELECTRICITY CENTRAL</t>
  </si>
  <si>
    <t>ELECTRICITY JEFFERSON</t>
  </si>
  <si>
    <t>ELECTRICITY LINCOLN</t>
  </si>
  <si>
    <t>ELECTRICITY MCKINLEY</t>
  </si>
  <si>
    <t>ELECTRICITY SHEPHERD</t>
  </si>
  <si>
    <t>Oper and Maint of Plant Services</t>
  </si>
  <si>
    <t>FOOD SERVICE CAFETERIA MANAGER</t>
  </si>
  <si>
    <t>FOOD SERVICE COOKS</t>
  </si>
  <si>
    <t>FOOD SERVICE VAN DRIVERS</t>
  </si>
  <si>
    <t>FOOD SERVICE SERVERS/CASHIERS</t>
  </si>
  <si>
    <t>FOOD SERVICE SUB COOKS</t>
  </si>
  <si>
    <t>FOOD SERVICE BD SH HEALTH</t>
  </si>
  <si>
    <t>FOOD SERVICE BD SH LIFE</t>
  </si>
  <si>
    <t>FOOD SERVICE REPAIR/MAINT</t>
  </si>
  <si>
    <t>FOOD SERVICE VAN REP/MAIN</t>
  </si>
  <si>
    <t>FOOD SERVICE STAFF DEV/TRAVEL</t>
  </si>
  <si>
    <t>FOOD SERVICE SUPPLIES</t>
  </si>
  <si>
    <t>FOOD SERVICE SUPPLIES - MAINT</t>
  </si>
  <si>
    <t>FOOD SERVICE MILK</t>
  </si>
  <si>
    <t>FOOD SERVICE ICE CREAM</t>
  </si>
  <si>
    <t>FOOD SERVICE FOOD</t>
  </si>
  <si>
    <t>FOOD SERVICE VAN SUPPLIES</t>
  </si>
  <si>
    <t>FOOD SERVICE FOOD CO-OP</t>
  </si>
  <si>
    <t>FOOD SERVICE UNIFORMS</t>
  </si>
  <si>
    <t>FOOD SERVICE VAN GAS</t>
  </si>
  <si>
    <t>FOOD SERVICE CAF ELECTRIC SHEPHERD</t>
  </si>
  <si>
    <t>FOOD SERVICE CAP OUTLAY</t>
  </si>
  <si>
    <t>FOOD SERVICE NUTRITION DUES</t>
  </si>
  <si>
    <t>BOARD SHARE</t>
  </si>
  <si>
    <t>PRINT/PUB REPAIR/MAINT</t>
  </si>
  <si>
    <t>COPIER LEASE DIST WIDE</t>
  </si>
  <si>
    <t>PRINT/PUB PAPER</t>
  </si>
  <si>
    <t>PRINT/PUB SUPPLIES</t>
  </si>
  <si>
    <t>PLAN/RES/EVALUATION NWEA-MAPS</t>
  </si>
  <si>
    <t>MAPS F&amp;P ASSESSMENT DIST WIDE</t>
  </si>
  <si>
    <t>Curriculum Services</t>
  </si>
  <si>
    <t>INFORMATION SERVICE RADIO/NEWSPAPER</t>
  </si>
  <si>
    <t>Information Serices</t>
  </si>
  <si>
    <t>STAFF SERVICE RECOGNITION</t>
  </si>
  <si>
    <t>STAFF SERVICE RECOGNITION - TRS</t>
  </si>
  <si>
    <t>STAFF SERVICE MEDICALS</t>
  </si>
  <si>
    <t>RECOGNITION - SIGN DIST WIDE</t>
  </si>
  <si>
    <t>SPECIAL ED LEASE DUES</t>
  </si>
  <si>
    <t>SPECIAL ED TONICA KEYS PROGRAM</t>
  </si>
  <si>
    <t>SPECIAL ED LEASE PERSONNEL LEVY</t>
  </si>
  <si>
    <t>LEASE PRESCHOOL LEVY</t>
  </si>
  <si>
    <t>Function 4121</t>
  </si>
  <si>
    <t>STREATOR SPECIAL ED</t>
  </si>
  <si>
    <t>SPECIAL ED CBS TUITION</t>
  </si>
  <si>
    <t>SPECIAL ED LIGHTED WAY TUITION SPECIAL ED</t>
  </si>
  <si>
    <t>SPECIAL ED HAMMITT TUITION</t>
  </si>
  <si>
    <t>SPECIAL ED OTHER TUITION</t>
  </si>
  <si>
    <t>SPECIAL ED CAMELOT TUITION SPECIAL ED</t>
  </si>
  <si>
    <t>SPECIAL ED STREATOR TUITION SPECIAL ED</t>
  </si>
  <si>
    <t>SPECIAL ED HEARING IMP TUITION</t>
  </si>
  <si>
    <t>SPECIAL ED VISION ITINERANT TUITION</t>
  </si>
  <si>
    <t>SPECIAL ED ONARGA TUITION SPECIAL ED</t>
  </si>
  <si>
    <t>Function 4123</t>
  </si>
  <si>
    <t>Nonprogrammed Charges</t>
  </si>
  <si>
    <t>X</t>
  </si>
  <si>
    <t>Expense</t>
  </si>
  <si>
    <t>Education Fund</t>
  </si>
  <si>
    <t>2-1111</t>
  </si>
  <si>
    <t>Operations and Maintenance Purposes Levy</t>
  </si>
  <si>
    <t>2-1230</t>
  </si>
  <si>
    <t>2-1290</t>
  </si>
  <si>
    <t xml:space="preserve">CANAL TIF TAX  </t>
  </si>
  <si>
    <t>Other Pmts In Lieu Of Tax</t>
  </si>
  <si>
    <t>2-1510</t>
  </si>
  <si>
    <t xml:space="preserve">BUILDING RENTALS  </t>
  </si>
  <si>
    <t>Source of Revenue 1921</t>
  </si>
  <si>
    <t>2-1999-9</t>
  </si>
  <si>
    <t xml:space="preserve">LAND FEES NO DESC </t>
  </si>
  <si>
    <t>Source of Revenue 3290</t>
  </si>
  <si>
    <t>CODING CORRECTION</t>
  </si>
  <si>
    <t>Source of Revenue 7130</t>
  </si>
  <si>
    <t xml:space="preserve">SALE OF EQUIPMENT  </t>
  </si>
  <si>
    <t>Source of Revenue 7300</t>
  </si>
  <si>
    <t>LAND DIST WIDE</t>
  </si>
  <si>
    <t>Faclities Acqu Const Services</t>
  </si>
  <si>
    <t>TELEPHONE  DISTRICT</t>
  </si>
  <si>
    <t>WATER CENTRAL</t>
  </si>
  <si>
    <t>WATER JEFFERSON</t>
  </si>
  <si>
    <t>WATER LINCOLN</t>
  </si>
  <si>
    <t>WATER MCKINLEY</t>
  </si>
  <si>
    <t>WATER SHEPHERD</t>
  </si>
  <si>
    <t>WATER DIST OFFICE</t>
  </si>
  <si>
    <t>NATURAL GAS DIST OFFICE</t>
  </si>
  <si>
    <t>ELECTRICITY DIST OFFICE</t>
  </si>
  <si>
    <t>CUSTODIAN CENTRAL</t>
  </si>
  <si>
    <t>CUSTODIAN JEFFERSON</t>
  </si>
  <si>
    <t>CUSTODIAN LINCOLN</t>
  </si>
  <si>
    <t>CUSTODIAN MCKINLEY</t>
  </si>
  <si>
    <t>CUSTODIAN SHEPHERD</t>
  </si>
  <si>
    <t>MAINTENANCE DIST WIDE</t>
  </si>
  <si>
    <t>MAINTENANCE OVERTIME</t>
  </si>
  <si>
    <t>SUB CUSTODIAN DIST</t>
  </si>
  <si>
    <t>SUMMER CREWS DIST</t>
  </si>
  <si>
    <t>BLDG RENTALS CENTRAL</t>
  </si>
  <si>
    <t>BLDG RENTALS JEFFERSON</t>
  </si>
  <si>
    <t>BLDG RENTALS LINCOLN</t>
  </si>
  <si>
    <t>BLDG RENTALS MCKINLEY</t>
  </si>
  <si>
    <t>BLDG RENTALS SHEPHERD</t>
  </si>
  <si>
    <t>BLDG MAINT CENTRAL</t>
  </si>
  <si>
    <t>BLDG MAINT JEFFERSON</t>
  </si>
  <si>
    <t>BLDG MAINT LINCOLN</t>
  </si>
  <si>
    <t>BLDG MAINT MCKINLEY</t>
  </si>
  <si>
    <t>BLDG MAINT SHEPHERD</t>
  </si>
  <si>
    <t>BLDG CHECKS CENTRAL</t>
  </si>
  <si>
    <t>BLDG CHECKS JEFFERSON</t>
  </si>
  <si>
    <t>BLDG CHECKS LINCOLN</t>
  </si>
  <si>
    <t>BLDG CHECKS MCKINLEY</t>
  </si>
  <si>
    <t>BLDG CHECKS SHEPHERD</t>
  </si>
  <si>
    <t>BD SH HEALTH CENTRAL</t>
  </si>
  <si>
    <t>BD SH HEALTH JEFFERSON</t>
  </si>
  <si>
    <t>BD SH HEALTH LINCOLN</t>
  </si>
  <si>
    <t>BD SH HEALTH MCKINLEY</t>
  </si>
  <si>
    <t>BD SH HEALTH SHEPHERD</t>
  </si>
  <si>
    <t>BD SH HEALTH DIST</t>
  </si>
  <si>
    <t>BD SH INS RETIREE(1) DIST</t>
  </si>
  <si>
    <t>CARE/UPKEEP BD SH LIFE CENTRAL</t>
  </si>
  <si>
    <t>BD SH LIFE JEFFERSON</t>
  </si>
  <si>
    <t>BD SH LIFE LINCOLN</t>
  </si>
  <si>
    <t>BD SH LIFE MCKINLEY</t>
  </si>
  <si>
    <t>BD SH LIFE SHEPHERD</t>
  </si>
  <si>
    <t>BD SH LIFE DIST</t>
  </si>
  <si>
    <t>PROF SERV DIST WIDE</t>
  </si>
  <si>
    <t>SANIT/EXTERM DIST WIDE</t>
  </si>
  <si>
    <t>REPAIR/MAINT CENTRAL</t>
  </si>
  <si>
    <t>REPAIR/MAINT JEFFERSON</t>
  </si>
  <si>
    <t>REPAIR/MAINT LINCOLN</t>
  </si>
  <si>
    <t>REPAIR/MAINT MCKINLEY</t>
  </si>
  <si>
    <t>REPAIR/MAINT SHEPHERD</t>
  </si>
  <si>
    <t>REPAIR/MAINT MAINT BLDG</t>
  </si>
  <si>
    <t>SIMPLEX CONTRACT DIST</t>
  </si>
  <si>
    <t>WALMART/LEASEHOLD DIST WIDE</t>
  </si>
  <si>
    <t>EQUIP RENTAL DIST</t>
  </si>
  <si>
    <t>MAINTENANCE AGREEMENTS DIST</t>
  </si>
  <si>
    <t>BACK FLOW/GREASE TRAP DIST</t>
  </si>
  <si>
    <t>LEAD WATER TESTING DIST</t>
  </si>
  <si>
    <t>STAFF DEV/TRAVEL DIST</t>
  </si>
  <si>
    <t>SUPPLIES LINCOLN</t>
  </si>
  <si>
    <t>SUPPLIES MCKINLEY</t>
  </si>
  <si>
    <t>SUPPLIES MAINT BLDG</t>
  </si>
  <si>
    <t>VENDING MACH MAINT BLDG</t>
  </si>
  <si>
    <t>CUST UNIFORM DIST</t>
  </si>
  <si>
    <t>FURNITURE DIST</t>
  </si>
  <si>
    <t>IMPRVMNTS - CENTRAL GYM FLOOR</t>
  </si>
  <si>
    <t>IMPROVEMENTS DIST</t>
  </si>
  <si>
    <t>SCHOOL ENERGY EFFICIENCY GRANT ROUND 1/MCKINLEY DI</t>
  </si>
  <si>
    <t>CARE/UPKEEP ROLANDO`S KITCHEN DIST WIDE</t>
  </si>
  <si>
    <t>SCHOOL MAINT GRANT ROUND 1/ROOF LINCON</t>
  </si>
  <si>
    <t>RED SCHOOLHOUSE DIST</t>
  </si>
  <si>
    <t>EQUIPMENT DIST</t>
  </si>
  <si>
    <t>Care &amp; Upkeep Bldg Serv</t>
  </si>
  <si>
    <t>GROUNDS SERV REPAIR/MAINT</t>
  </si>
  <si>
    <t>GROUNDS SERV SUPPLIES ATHLETIC FLD</t>
  </si>
  <si>
    <t>GROUNDS SERV SUPPLIES DIST</t>
  </si>
  <si>
    <t>GROUNDS SERV TRACTOR GAS DIST</t>
  </si>
  <si>
    <t>GROUNDS SERV IMPROVEMENTS</t>
  </si>
  <si>
    <t>GROUNDS SERV EQUIPMENT DIST</t>
  </si>
  <si>
    <t>Care Upkeep Grnds Serv</t>
  </si>
  <si>
    <t>VEHICLE SERV REPAIR/MAINT DIST</t>
  </si>
  <si>
    <t>VEHICLE SERV SUPPLIES DIST</t>
  </si>
  <si>
    <t>VEHICLE SERV GASOLINE DIST</t>
  </si>
  <si>
    <t>Vehicle Serv/Maint Serv</t>
  </si>
  <si>
    <t>Oper, Build, &amp; Maint Fund</t>
  </si>
  <si>
    <t>3-1113</t>
  </si>
  <si>
    <t>WC(12) LEVY  0</t>
  </si>
  <si>
    <t>Transportation Purposes Levy</t>
  </si>
  <si>
    <t>3-1114</t>
  </si>
  <si>
    <t xml:space="preserve">BUILDING (10) LEVY  </t>
  </si>
  <si>
    <t>Municipal Retirement Purposes Levy</t>
  </si>
  <si>
    <t>3-1115</t>
  </si>
  <si>
    <t xml:space="preserve">LS (15) LEVY  </t>
  </si>
  <si>
    <t>Working Cash Purposes Levy</t>
  </si>
  <si>
    <t>3-1116</t>
  </si>
  <si>
    <t xml:space="preserve">RE-LEVY  </t>
  </si>
  <si>
    <t>Public Building Commission Rent Levy</t>
  </si>
  <si>
    <t>3-1117</t>
  </si>
  <si>
    <t xml:space="preserve">WC (16) LEVY  </t>
  </si>
  <si>
    <t>Capital Improvement Purposes Levy</t>
  </si>
  <si>
    <t>REFUND OF PREV YEAR EXP</t>
  </si>
  <si>
    <t>Other Sources of Funds Not Classified Elsewhere</t>
  </si>
  <si>
    <t>LIFE SAFETY BOND (15) PRINCIPAL</t>
  </si>
  <si>
    <t>BUILDING BOND (10) PRINCIPAL</t>
  </si>
  <si>
    <t>W/C BOND (12) PRINCIPAL DIST WIDE</t>
  </si>
  <si>
    <t>W/C BOND (16) PRINCIPAL</t>
  </si>
  <si>
    <t>LIFE SAFETY (15) INTEREST</t>
  </si>
  <si>
    <t>BUILDING BOND (10) INTEREST</t>
  </si>
  <si>
    <t>W/C BOND (12) INTEREST DIST WIDE</t>
  </si>
  <si>
    <t>WC BOND (16) INTEREST</t>
  </si>
  <si>
    <t>BOND REGISTRAR FEES</t>
  </si>
  <si>
    <t>Function 5145</t>
  </si>
  <si>
    <t>FEES DIST WIDE</t>
  </si>
  <si>
    <t>WIRE TRANSFER FOR DEFEASANCE</t>
  </si>
  <si>
    <t>Function 8990</t>
  </si>
  <si>
    <t>Other Financing Uses</t>
  </si>
  <si>
    <t>Bond &amp; Interest Fund</t>
  </si>
  <si>
    <t>4-1111</t>
  </si>
  <si>
    <t>4-1412</t>
  </si>
  <si>
    <t xml:space="preserve">OTHS/LEA  </t>
  </si>
  <si>
    <t>Reg Trans Fees from Other Districts (In-State)</t>
  </si>
  <si>
    <t>4-1510</t>
  </si>
  <si>
    <t xml:space="preserve">REFUND OF PREV YR EXP  </t>
  </si>
  <si>
    <t xml:space="preserve">TRANSPORTATION AID  </t>
  </si>
  <si>
    <t>Transportation Regular/Vocational</t>
  </si>
  <si>
    <t xml:space="preserve">SPECIAL ED TRANSPORT AID  </t>
  </si>
  <si>
    <t>Transportation-Spec Ed</t>
  </si>
  <si>
    <t>ABATEMENT FROM WC</t>
  </si>
  <si>
    <t>TRANSPORT MECHANIC</t>
  </si>
  <si>
    <t>TRANSPORT ASSISTANT MECHANIC</t>
  </si>
  <si>
    <t>TRANSPORTATION DIRECTOR</t>
  </si>
  <si>
    <t>TRANSPORT OES DRIVERS</t>
  </si>
  <si>
    <t>TRANSPORT SUB OES DRIVERS</t>
  </si>
  <si>
    <t>TRANSPORTION ASST</t>
  </si>
  <si>
    <t>TRANSPORT OHS DRIVERS</t>
  </si>
  <si>
    <t>TRANSPORT SUB OHS DRIVERS</t>
  </si>
  <si>
    <t>TRANSPORT VACATION PAY/BONUS</t>
  </si>
  <si>
    <t>TRANSPORT ACCIDENT FREE BONUS</t>
  </si>
  <si>
    <t>TRANSPORTATION MONITORS - OES</t>
  </si>
  <si>
    <t>TRANSPORTATION MONITORS - OHS</t>
  </si>
  <si>
    <t>TRANSPORT MECH OVERTIME</t>
  </si>
  <si>
    <t>TRANSPORT BD SH HEALTH</t>
  </si>
  <si>
    <t>TRANSPORT BD SH LIFE</t>
  </si>
  <si>
    <t>TRANSPORT MEDICALS</t>
  </si>
  <si>
    <t>TRANSPORT LICENSES</t>
  </si>
  <si>
    <t>TRANSPORT CONTR MAINT</t>
  </si>
  <si>
    <t>TRANSPORT LOT RENT</t>
  </si>
  <si>
    <t>TRANSPORT EMPL TRAVEL</t>
  </si>
  <si>
    <t>TRANSPORT TELEPHONE</t>
  </si>
  <si>
    <t>TRANSPORT VERIZON GPS</t>
  </si>
  <si>
    <t>TRANSPORT WATER</t>
  </si>
  <si>
    <t>TRANSPORT FLEET INSURANCE</t>
  </si>
  <si>
    <t>TRANSPORT SUPPLIES</t>
  </si>
  <si>
    <t>TRANSPORT FUEL</t>
  </si>
  <si>
    <t>TRANSPORT HEAT</t>
  </si>
  <si>
    <t>TRANSPORT ELECTRICITY</t>
  </si>
  <si>
    <t>TRANSPORT CAP OUTLAY</t>
  </si>
  <si>
    <t>Function 2555</t>
  </si>
  <si>
    <t>SP ED TRANS PRIVATE</t>
  </si>
  <si>
    <t>Function 2556</t>
  </si>
  <si>
    <t>5-1111</t>
  </si>
  <si>
    <t>5-1151</t>
  </si>
  <si>
    <t xml:space="preserve">CURRENT LEVY SS  </t>
  </si>
  <si>
    <t>Curr Yr Levy-Ss/Med Only</t>
  </si>
  <si>
    <t>5-1230</t>
  </si>
  <si>
    <t>5-1510</t>
  </si>
  <si>
    <t>ELEMENTARY BD SH IMRF</t>
  </si>
  <si>
    <t>ELEMENTARY BD SH FICA</t>
  </si>
  <si>
    <t>ELEMENTARY BD MEDICARE CENTRAL</t>
  </si>
  <si>
    <t>ELEMENTARY BD MEDICARE JEFFERSON</t>
  </si>
  <si>
    <t>ELEMENTARY BD MEDICARE LINCOLN</t>
  </si>
  <si>
    <t>ELEMENTARY BD MEDICARE MC KINLEY</t>
  </si>
  <si>
    <t>ELEMENTARY BD MEDICARE SHEPHERD</t>
  </si>
  <si>
    <t>ELEMENTARY BD MEDICARE</t>
  </si>
  <si>
    <t>B D BD SH IMRF SPECIAL ED</t>
  </si>
  <si>
    <t>B D BD SH FICA SPECIAL ED</t>
  </si>
  <si>
    <t>B D BD SH MEDIC SPECIAL ED</t>
  </si>
  <si>
    <t>L D BD SH IMRF SPECIAL ED</t>
  </si>
  <si>
    <t>L D BD SH FICA SPECIAL ED</t>
  </si>
  <si>
    <t>L D BD MEDICARE SPECIAL ED</t>
  </si>
  <si>
    <t>DHH BD SH IMRF SPECIAL ED</t>
  </si>
  <si>
    <t>DHH BD SH FICA SPECIAL ED</t>
  </si>
  <si>
    <t>DHH BD SH MEDIC SPECIAL ED</t>
  </si>
  <si>
    <t>COGNITIVE DISABILITY BD SH IMRF</t>
  </si>
  <si>
    <t>COGNITIVE DISABILITY BD SH FICA</t>
  </si>
  <si>
    <t>COGNITIVE DISABILITY BD SH MEDIC</t>
  </si>
  <si>
    <t>PRE SCHOOL BD SH IMRF</t>
  </si>
  <si>
    <t>PRE SCHOOL BD SH FICA</t>
  </si>
  <si>
    <t>PRE SCHOOL BD SH MEDIC</t>
  </si>
  <si>
    <t>TITLE I BD MEDICARE</t>
  </si>
  <si>
    <t>TITLE I TEACHER SAL DIST (MR)</t>
  </si>
  <si>
    <t>EARLY CHILDHOOD BD SH IMRF</t>
  </si>
  <si>
    <t>EC GRANT PARENT COOD (RM)</t>
  </si>
  <si>
    <t>EARLY CHILDHOOD BD SH FICA</t>
  </si>
  <si>
    <t>EC GRANT PARENT COOD (FR)</t>
  </si>
  <si>
    <t>EC BD SH MEDICARE</t>
  </si>
  <si>
    <t>EC GRANT TEACHER SAL (MR)</t>
  </si>
  <si>
    <t>FCS DIRECTOR DIST (MR)</t>
  </si>
  <si>
    <t>BAND BD MEDICARE</t>
  </si>
  <si>
    <t>ATHLETICS BD SH IMRF SHEPHERD</t>
  </si>
  <si>
    <t>ATHLETICS BD SH FICA SHEPHERD</t>
  </si>
  <si>
    <t>COACH/SUPRVR BD MEDICARE SHEPHERD</t>
  </si>
  <si>
    <t>INTRAMURALS BD IMRF</t>
  </si>
  <si>
    <t>INTRAMURALS BD FICA</t>
  </si>
  <si>
    <t>INTRAMURAL BD MEDICARE</t>
  </si>
  <si>
    <t>ASST PRIN SHEP BD MEDICARE CENTRAL</t>
  </si>
  <si>
    <t>ASST PRIN SHEP BD MEDICARE SHEPHERD</t>
  </si>
  <si>
    <t>DEAN OF STUDENTS BD MEDICARE</t>
  </si>
  <si>
    <t>SSW BD SH IMRF SPECIAL ED</t>
  </si>
  <si>
    <t>SSW BD SH FICA SPECIAL ED</t>
  </si>
  <si>
    <t>SSW BD MEDICARE SPECIAL ED</t>
  </si>
  <si>
    <t>CURRICULUM COORD BD SH MEDIC</t>
  </si>
  <si>
    <t>COUNSELOR BD MEDICARE</t>
  </si>
  <si>
    <t>MEDICAL TA SP ED BD SH IMRF</t>
  </si>
  <si>
    <t>MEDICAL TA SP ED BD SH FICA</t>
  </si>
  <si>
    <t>MEDICAL TA SP ED BD SH MEDIC</t>
  </si>
  <si>
    <t>HEALTH SERV BD SH IMRF</t>
  </si>
  <si>
    <t>HEALTH SERV BD SH FICA</t>
  </si>
  <si>
    <t>HEALTH SERV BD MEDICARE</t>
  </si>
  <si>
    <t>PSYCH OFFICE BD SH IMRF</t>
  </si>
  <si>
    <t>PSYCH OFFICE BD SH FICA</t>
  </si>
  <si>
    <t>PSYCH OFFICE BD MEDICARE</t>
  </si>
  <si>
    <t>SPEECH BD SH MEDICARE</t>
  </si>
  <si>
    <t>CROSSING GUARDS BD SH IMRF</t>
  </si>
  <si>
    <t>CROSSING GUARDS BD SH FICA</t>
  </si>
  <si>
    <t>CROSSING GUARDS BD SH MEDCRE</t>
  </si>
  <si>
    <t>Other Support Svs Pupils</t>
  </si>
  <si>
    <t>TITLE 2 BD SH MEDICARE</t>
  </si>
  <si>
    <t>SCHOOL IMPRV BD SH IMRF</t>
  </si>
  <si>
    <t>SCHOOL IMPRV BD SH FICA</t>
  </si>
  <si>
    <t>SCHOOL IMPRV BD SH MEDICARE</t>
  </si>
  <si>
    <t>LIBRARY BD SH IMRF</t>
  </si>
  <si>
    <t>LIBRARY  BD SH FICA</t>
  </si>
  <si>
    <t>LIBRARY BD SH MEDICARE SHEPHERD</t>
  </si>
  <si>
    <t>LIBRARY  BD SH MEDICARE</t>
  </si>
  <si>
    <t>TECH BD SH IMRF</t>
  </si>
  <si>
    <t>TECH BD SH FICA</t>
  </si>
  <si>
    <t>BOARD SHARE VICE</t>
  </si>
  <si>
    <t>TECH BD MEDICARE</t>
  </si>
  <si>
    <t>BD OF EDUC BD SH IMRF</t>
  </si>
  <si>
    <t>BD OF EDUC BD SH FICA</t>
  </si>
  <si>
    <t>BD OF EDUC BD SH MEDIC</t>
  </si>
  <si>
    <t>SUPT OFFICE BD SH IMRF</t>
  </si>
  <si>
    <t>SUPT OFFICE BD SH FICA</t>
  </si>
  <si>
    <t>SUPT OFFICE BD MEDICARE</t>
  </si>
  <si>
    <t>PRINC OFFICE BD SH IMRF CENTRAL</t>
  </si>
  <si>
    <t>PRINC OFFICE BD SH IMRF JEFFERSON</t>
  </si>
  <si>
    <t>PRINC OFFICE BD SH IMRF LINCOLN</t>
  </si>
  <si>
    <t>PRINC OFFICE BD SH IMRF MC KINLEY</t>
  </si>
  <si>
    <t>PRINC OFFICE BD SH IMRF SHEPHERD</t>
  </si>
  <si>
    <t>PRINC OFFICE BD SH IMRF</t>
  </si>
  <si>
    <t>PRINC OFFICE BD SH FICA CENTRAL</t>
  </si>
  <si>
    <t>PRINC OFFICE BD SH FICA JEFFERSON</t>
  </si>
  <si>
    <t>PRINC OFFICE BD SH FICA LINCOLN</t>
  </si>
  <si>
    <t>PRINC OFFICE BD SH FICA MC KINLEY</t>
  </si>
  <si>
    <t>PRINC OFFICE BD SH FICA SHEPHERD</t>
  </si>
  <si>
    <t>PRINC OFFICE BD SH FICA</t>
  </si>
  <si>
    <t>PRINC OFFICE BD MEDICARE CENTRAL</t>
  </si>
  <si>
    <t>PRINC OFFICE BD MEDICARE JEFFERSON</t>
  </si>
  <si>
    <t>PRINC OFFICE BD MEDICARE LINCOLN</t>
  </si>
  <si>
    <t>PRINC OFFICE BD MEDICARE MC KINLEY</t>
  </si>
  <si>
    <t>PRINC OFFICE BD MEDICARE SHEPHERD</t>
  </si>
  <si>
    <t>PRINC OFFICE BD MEDICARE</t>
  </si>
  <si>
    <t>FISCAL SERV BD SH IMRF SUPT OFFICE</t>
  </si>
  <si>
    <t>FISCAL SERV BD SH FICA</t>
  </si>
  <si>
    <t>FISCAL SERV BD MEDICARE</t>
  </si>
  <si>
    <t>CARE/UPKEEP BD SH IMRF CENTRAL</t>
  </si>
  <si>
    <t>CARE/UPKEEP BD SH IMRF JEFFERSON</t>
  </si>
  <si>
    <t>CARE/UPKEEP BD SH IMRF LINCOLN</t>
  </si>
  <si>
    <t>CARE/UPKEEP BD SH IMRF MC KINLEY</t>
  </si>
  <si>
    <t>CARE/UPKEEP BD SH IMRF SHEPHERD</t>
  </si>
  <si>
    <t>CARE/UPKEEP BD SH IMRF DIST WIDE</t>
  </si>
  <si>
    <t>CARE/UPKEEP BD SH FICA CENTRAL</t>
  </si>
  <si>
    <t>CARE/UPKEEP BD SH FICA JEFFERSON</t>
  </si>
  <si>
    <t>CARE/UPKEEP BD SH FICA LINCOLN</t>
  </si>
  <si>
    <t>CARE/UPKEEP BD SH FICA MC KINLEY</t>
  </si>
  <si>
    <t>CARE/UPKEEP BD SH FICA SHEPHERD</t>
  </si>
  <si>
    <t>CARE/UPKEEP BD SH FICA</t>
  </si>
  <si>
    <t>OPER/MAINT BD MEDICARE CENTRAL</t>
  </si>
  <si>
    <t>OPER/MAINT BD MEDICARE JEFFERSON</t>
  </si>
  <si>
    <t>OPER/MAINT BD MEDICARE LINCOLN</t>
  </si>
  <si>
    <t>OPER/MAINT BD MEDICARE MC KINLEY</t>
  </si>
  <si>
    <t>OPER/MAINT BD MEDICARE SHEPHERD</t>
  </si>
  <si>
    <t>OPER/MAINT BD MEDICARE</t>
  </si>
  <si>
    <t>REG TRANS BD SH IMRF</t>
  </si>
  <si>
    <t>REG TRANS BD SH FICA</t>
  </si>
  <si>
    <t>REG TRANS BD MEDICARE</t>
  </si>
  <si>
    <t>FOOD SERV BD SH IMRF</t>
  </si>
  <si>
    <t>FOOD SERV BD SH FICA</t>
  </si>
  <si>
    <t>FOOD SERVICE BD MEDICARE</t>
  </si>
  <si>
    <t>STAFF SERVICE BD SH IMRF</t>
  </si>
  <si>
    <t>STAFF SERVICE BD SH FICA</t>
  </si>
  <si>
    <t>STAFF SERVICE NO DESC</t>
  </si>
  <si>
    <t>I.M.R.F./Soc. Sec. Fund</t>
  </si>
  <si>
    <t>Source of Revenue 1922</t>
  </si>
  <si>
    <t>Source of Revenue 1923</t>
  </si>
  <si>
    <t>Source of Revenue 1924</t>
  </si>
  <si>
    <t>BUILDING DIST WIDE</t>
  </si>
  <si>
    <t>IMPROVEMENTS DIST WIDE</t>
  </si>
  <si>
    <t>ABATE TO O/M TO CLOSE CAP PROJECTS</t>
  </si>
  <si>
    <t>Permnt Trns Wrk Csh Abol</t>
  </si>
  <si>
    <t>ABATEMENT TO DEBT FUND</t>
  </si>
  <si>
    <t>Capital Projects Fund</t>
  </si>
  <si>
    <t>7-1111</t>
  </si>
  <si>
    <t>7-1510</t>
  </si>
  <si>
    <t>BOND PROCEEDS</t>
  </si>
  <si>
    <t>Source of Revenue 7100</t>
  </si>
  <si>
    <t>Source of Revenue 7210</t>
  </si>
  <si>
    <t>PERMANENT XFER ABATEMENT</t>
  </si>
  <si>
    <t>ABATE TO EDUCATION &amp; O/M</t>
  </si>
  <si>
    <t>Prmt Trns From Ed Fund</t>
  </si>
  <si>
    <t>Working Cash Fund</t>
  </si>
  <si>
    <t>8-1122</t>
  </si>
  <si>
    <t>1St Prior Yr-Tort</t>
  </si>
  <si>
    <t>8-1510</t>
  </si>
  <si>
    <t xml:space="preserve">CROSSING GUARDS  </t>
  </si>
  <si>
    <t>Source of Revenue 1990</t>
  </si>
  <si>
    <t>ATHLETICS SUPERVISORS SHEPHERD</t>
  </si>
  <si>
    <t>CAPITAL OUTLAY DIST WIDE TORT</t>
  </si>
  <si>
    <t>STUDENT SERVICES ASST PRINCIPAL CENTRAL</t>
  </si>
  <si>
    <t>STUDENT SERVICES ASST PRINCIPAL SHEPHERD</t>
  </si>
  <si>
    <t>ASST PRIN SHEP/CENT</t>
  </si>
  <si>
    <t>NURSES SALARY (2)</t>
  </si>
  <si>
    <t>BBP IMMUNIZATION DIST WIDE</t>
  </si>
  <si>
    <t>AED SUPPLIES DIST</t>
  </si>
  <si>
    <t>CAPITAL OUTLAY DIST</t>
  </si>
  <si>
    <t>CROSSING GUARDS SALARY</t>
  </si>
  <si>
    <t>CROSSING GUARDS SALARY (BCBS B</t>
  </si>
  <si>
    <t>CROSSING GUARDS SALARY (2-4)</t>
  </si>
  <si>
    <t>CROSSING GUARDS SUPPLIES</t>
  </si>
  <si>
    <t>D.A.R.E. DIST WIDE</t>
  </si>
  <si>
    <t>BOARD OF EDUCATION STAFF DEV</t>
  </si>
  <si>
    <t>BOARD OF EDUCATION APPRAISAL</t>
  </si>
  <si>
    <t>BOARD OF EDUCATION WORKER COMP</t>
  </si>
  <si>
    <t>BOARD OF EDUCATION LIABILITY INS DIST WIDE</t>
  </si>
  <si>
    <t>BOARD OF EDUCATION SUPPLIES</t>
  </si>
  <si>
    <t>SUPT OFFICE SALARY</t>
  </si>
  <si>
    <t>PRINCIPAL OFFICE PAGER</t>
  </si>
  <si>
    <t>UNEMPLOY COMP SUPT OFF</t>
  </si>
  <si>
    <t>MAINT(TABOR) SALARY DIST</t>
  </si>
  <si>
    <t>MAINT (3) TORT DIST</t>
  </si>
  <si>
    <t>MAINT CUSTODIAN DIST</t>
  </si>
  <si>
    <t>MAINT REPAIR/MAINT DIST</t>
  </si>
  <si>
    <t>MAINT INSURANCE DIST</t>
  </si>
  <si>
    <t>MAINT SUPPLIES TORT</t>
  </si>
  <si>
    <t>Tort Immunity and Judgment Fund</t>
  </si>
  <si>
    <t>9-1111</t>
  </si>
  <si>
    <t>9-1510</t>
  </si>
  <si>
    <t xml:space="preserve">INVESTMENT INT </t>
  </si>
  <si>
    <t>NO DESC NO DESC NO DESC</t>
  </si>
  <si>
    <t>ACQUIS/CONST PROFESSIONAL SERVICE DIST</t>
  </si>
  <si>
    <t>ACQUIS/CONST REPAIR/MAINT DIST</t>
  </si>
  <si>
    <t>ACQUIS/CONST SUPPLIES DIST</t>
  </si>
  <si>
    <t>SCHOOL MAINT GRANT ROUND 2 SHEPHERD</t>
  </si>
  <si>
    <t>ACQUIS/CONST CAPITAL OUTLAY DIST</t>
  </si>
  <si>
    <t>Fire Prevention and Safety</t>
  </si>
  <si>
    <t>9-2530-540</t>
  </si>
  <si>
    <t>9-2530-530</t>
  </si>
  <si>
    <t>9-2530-410</t>
  </si>
  <si>
    <t>9-2530-323</t>
  </si>
  <si>
    <t>9-2530-314</t>
  </si>
  <si>
    <t>7-8130-661</t>
  </si>
  <si>
    <t>7-8110-661</t>
  </si>
  <si>
    <t>6-8990-710</t>
  </si>
  <si>
    <t>6-8110-661</t>
  </si>
  <si>
    <t>6-2530-531</t>
  </si>
  <si>
    <t>6-2530-530</t>
  </si>
  <si>
    <t>6-2530-314</t>
  </si>
  <si>
    <t>5-2640-214</t>
  </si>
  <si>
    <t>5-2640-213</t>
  </si>
  <si>
    <t>5-2640-212</t>
  </si>
  <si>
    <t>5-2570-214</t>
  </si>
  <si>
    <t>5-2570-213</t>
  </si>
  <si>
    <t>5-2570-212</t>
  </si>
  <si>
    <t>5-2560-214</t>
  </si>
  <si>
    <t>5-2560-213</t>
  </si>
  <si>
    <t>5-2560-212</t>
  </si>
  <si>
    <t>5-2555-214</t>
  </si>
  <si>
    <t>5-2555-213</t>
  </si>
  <si>
    <t>5-2555-212</t>
  </si>
  <si>
    <t>5-2542-214</t>
  </si>
  <si>
    <t>5-2542-213</t>
  </si>
  <si>
    <t>5-2542-212</t>
  </si>
  <si>
    <t>5-2520-214</t>
  </si>
  <si>
    <t>5-2520-213</t>
  </si>
  <si>
    <t>5-2520-212</t>
  </si>
  <si>
    <t>5-2410-214</t>
  </si>
  <si>
    <t>5-2410-213</t>
  </si>
  <si>
    <t>5-2410-212</t>
  </si>
  <si>
    <t>5-2321-214</t>
  </si>
  <si>
    <t>5-2321-213</t>
  </si>
  <si>
    <t>5-2321-212</t>
  </si>
  <si>
    <t>5-2310-214</t>
  </si>
  <si>
    <t>5-2310-213</t>
  </si>
  <si>
    <t>5-2310-212</t>
  </si>
  <si>
    <t>5-2224-214</t>
  </si>
  <si>
    <t>5-2224-213</t>
  </si>
  <si>
    <t>5-2224-212</t>
  </si>
  <si>
    <t>5-2222-214</t>
  </si>
  <si>
    <t>5-2222-213</t>
  </si>
  <si>
    <t>5-2222-212</t>
  </si>
  <si>
    <t>5-2213-214</t>
  </si>
  <si>
    <t>5-2213-213</t>
  </si>
  <si>
    <t>5-2213-212</t>
  </si>
  <si>
    <t>5-2210-214</t>
  </si>
  <si>
    <t>5-2190-214</t>
  </si>
  <si>
    <t>5-2190-213</t>
  </si>
  <si>
    <t>5-2190-212</t>
  </si>
  <si>
    <t>5-2150-214</t>
  </si>
  <si>
    <t>5-2140-214</t>
  </si>
  <si>
    <t>5-2140-213</t>
  </si>
  <si>
    <t>5-2140-212</t>
  </si>
  <si>
    <t>5-2134-214</t>
  </si>
  <si>
    <t>5-2134-213</t>
  </si>
  <si>
    <t>5-2134-212</t>
  </si>
  <si>
    <t>5-2132-214</t>
  </si>
  <si>
    <t>5-2132-213</t>
  </si>
  <si>
    <t>5-2132-212</t>
  </si>
  <si>
    <t>5-2121-214</t>
  </si>
  <si>
    <t>5-2119-214</t>
  </si>
  <si>
    <t>5-2113-214</t>
  </si>
  <si>
    <t>5-2113-213</t>
  </si>
  <si>
    <t>5-2113-212</t>
  </si>
  <si>
    <t>5-2112-214</t>
  </si>
  <si>
    <t>5-1275-214</t>
  </si>
  <si>
    <t>5-1275-213</t>
  </si>
  <si>
    <t>5-1275-212</t>
  </si>
  <si>
    <t>5-1250-214</t>
  </si>
  <si>
    <t>5-1250-213</t>
  </si>
  <si>
    <t>5-1250-212</t>
  </si>
  <si>
    <t>5-1226-214</t>
  </si>
  <si>
    <t>5-1226-213</t>
  </si>
  <si>
    <t>5-1226-212</t>
  </si>
  <si>
    <t>5-1220-214</t>
  </si>
  <si>
    <t>5-1220-213</t>
  </si>
  <si>
    <t>5-1220-212</t>
  </si>
  <si>
    <t>4-2556-331</t>
  </si>
  <si>
    <t>4-2555-540</t>
  </si>
  <si>
    <t>4-2555-466</t>
  </si>
  <si>
    <t>4-2555-465</t>
  </si>
  <si>
    <t>4-2555-464</t>
  </si>
  <si>
    <t>4-2555-410</t>
  </si>
  <si>
    <t>4-2555-380</t>
  </si>
  <si>
    <t>4-2555-370</t>
  </si>
  <si>
    <t>4-2555-341</t>
  </si>
  <si>
    <t>4-2555-340</t>
  </si>
  <si>
    <t>4-2555-332</t>
  </si>
  <si>
    <t>4-2555-325</t>
  </si>
  <si>
    <t>4-2555-323</t>
  </si>
  <si>
    <t>4-2555-320</t>
  </si>
  <si>
    <t>4-2555-319</t>
  </si>
  <si>
    <t>4-2555-223</t>
  </si>
  <si>
    <t>4-2555-220</t>
  </si>
  <si>
    <t>4-2555-137</t>
  </si>
  <si>
    <t>4-2555-123</t>
  </si>
  <si>
    <t>4-2555-122</t>
  </si>
  <si>
    <t>4-2555-121</t>
  </si>
  <si>
    <t>4-2555-120</t>
  </si>
  <si>
    <t>4-2555-119</t>
  </si>
  <si>
    <t>4-2555-118</t>
  </si>
  <si>
    <t>4-2555-117</t>
  </si>
  <si>
    <t>4-2555-116</t>
  </si>
  <si>
    <t>4-2555-112</t>
  </si>
  <si>
    <t>4-2555-111</t>
  </si>
  <si>
    <t>3-8990-690</t>
  </si>
  <si>
    <t>3-8990-640</t>
  </si>
  <si>
    <t>3-5145-640</t>
  </si>
  <si>
    <t>2-2545-464</t>
  </si>
  <si>
    <t>2-2545-410</t>
  </si>
  <si>
    <t>2-2545-323</t>
  </si>
  <si>
    <t>2-2543-540</t>
  </si>
  <si>
    <t>2-2543-510</t>
  </si>
  <si>
    <t>2-2543-464</t>
  </si>
  <si>
    <t>2-2543-410</t>
  </si>
  <si>
    <t>2-2543-323</t>
  </si>
  <si>
    <t>2-2542-540</t>
  </si>
  <si>
    <t>2-2542-535</t>
  </si>
  <si>
    <t>2-2542-533</t>
  </si>
  <si>
    <t>2-2542-532</t>
  </si>
  <si>
    <t>2-2542-531</t>
  </si>
  <si>
    <t>2-2542-530</t>
  </si>
  <si>
    <t>2-2542-490</t>
  </si>
  <si>
    <t>2-2542-411</t>
  </si>
  <si>
    <t>2-2542-410</t>
  </si>
  <si>
    <t>2-2542-332</t>
  </si>
  <si>
    <t>2-2542-329</t>
  </si>
  <si>
    <t>2-2542-327</t>
  </si>
  <si>
    <t>2-2542-326</t>
  </si>
  <si>
    <t>2-2542-325</t>
  </si>
  <si>
    <t>2-2542-324</t>
  </si>
  <si>
    <t>2-2542-323</t>
  </si>
  <si>
    <t>2-2542-321</t>
  </si>
  <si>
    <t>2-2542-314</t>
  </si>
  <si>
    <t>2-2542-223</t>
  </si>
  <si>
    <t>2-2542-221</t>
  </si>
  <si>
    <t>2-2542-220</t>
  </si>
  <si>
    <t>2-2542-139</t>
  </si>
  <si>
    <t>2-2542-135</t>
  </si>
  <si>
    <t>2-2542-130</t>
  </si>
  <si>
    <t>2-2542-129</t>
  </si>
  <si>
    <t>2-2542-122</t>
  </si>
  <si>
    <t>2-2542-120</t>
  </si>
  <si>
    <t>2-2542-119</t>
  </si>
  <si>
    <t>2-2540-466</t>
  </si>
  <si>
    <t>2-2540-465</t>
  </si>
  <si>
    <t>2-2540-370</t>
  </si>
  <si>
    <t>2-2540-340</t>
  </si>
  <si>
    <t>2-2530-520</t>
  </si>
  <si>
    <t>1-4123-679</t>
  </si>
  <si>
    <t>1-4123-678</t>
  </si>
  <si>
    <t>1-4123-677</t>
  </si>
  <si>
    <t>1-4123-676</t>
  </si>
  <si>
    <t>1-4123-675</t>
  </si>
  <si>
    <t>1-4123-674</t>
  </si>
  <si>
    <t>1-4123-673</t>
  </si>
  <si>
    <t>1-4123-672</t>
  </si>
  <si>
    <t>1-4123-671</t>
  </si>
  <si>
    <t>1-4123-670</t>
  </si>
  <si>
    <t>1-4121-673</t>
  </si>
  <si>
    <t>1-4121-672</t>
  </si>
  <si>
    <t>1-4121-671</t>
  </si>
  <si>
    <t>1-4121-670</t>
  </si>
  <si>
    <t>1-2640-540</t>
  </si>
  <si>
    <t>1-2640-351</t>
  </si>
  <si>
    <t>1-2640-319</t>
  </si>
  <si>
    <t>1-2640-221</t>
  </si>
  <si>
    <t>1-2640-211</t>
  </si>
  <si>
    <t>1-2640-110</t>
  </si>
  <si>
    <t>1-2630-350</t>
  </si>
  <si>
    <t>1-2620-441</t>
  </si>
  <si>
    <t>1-2620-440</t>
  </si>
  <si>
    <t>1-2570-410</t>
  </si>
  <si>
    <t>1-2570-409</t>
  </si>
  <si>
    <t>1-2570-324</t>
  </si>
  <si>
    <t>1-2570-323</t>
  </si>
  <si>
    <t>1-2570-223</t>
  </si>
  <si>
    <t>1-2570-115</t>
  </si>
  <si>
    <t>1-2560-640</t>
  </si>
  <si>
    <t>1-2560-540</t>
  </si>
  <si>
    <t>1-2560-466</t>
  </si>
  <si>
    <t>1-2560-464</t>
  </si>
  <si>
    <t>1-2560-416</t>
  </si>
  <si>
    <t>1-2560-415</t>
  </si>
  <si>
    <t>1-2560-414</t>
  </si>
  <si>
    <t>1-2560-413</t>
  </si>
  <si>
    <t>1-2560-412</t>
  </si>
  <si>
    <t>1-2560-411</t>
  </si>
  <si>
    <t>1-2560-410</t>
  </si>
  <si>
    <t>1-2560-332</t>
  </si>
  <si>
    <t>1-2560-324</t>
  </si>
  <si>
    <t>1-2560-323</t>
  </si>
  <si>
    <t>1-2560-223</t>
  </si>
  <si>
    <t>1-2560-220</t>
  </si>
  <si>
    <t>1-2560-129</t>
  </si>
  <si>
    <t>1-2560-118</t>
  </si>
  <si>
    <t>1-2560-114</t>
  </si>
  <si>
    <t>1-2560-113</t>
  </si>
  <si>
    <t>1-2560-110</t>
  </si>
  <si>
    <t>1-2540-466</t>
  </si>
  <si>
    <t>1-2540-465</t>
  </si>
  <si>
    <t>1-2540-340</t>
  </si>
  <si>
    <t>1-2520-640</t>
  </si>
  <si>
    <t>1-2520-540</t>
  </si>
  <si>
    <t>1-2520-410</t>
  </si>
  <si>
    <t>1-2520-380</t>
  </si>
  <si>
    <t>1-2520-332</t>
  </si>
  <si>
    <t>1-2520-323</t>
  </si>
  <si>
    <t>1-2520-313</t>
  </si>
  <si>
    <t>1-2520-311</t>
  </si>
  <si>
    <t>1-2520-310</t>
  </si>
  <si>
    <t>1-2520-223</t>
  </si>
  <si>
    <t>1-2520-221</t>
  </si>
  <si>
    <t>1-2520-220</t>
  </si>
  <si>
    <t>1-2520-135</t>
  </si>
  <si>
    <t>1-2520-115</t>
  </si>
  <si>
    <t>1-2520-113</t>
  </si>
  <si>
    <t>1-2410-640</t>
  </si>
  <si>
    <t>1-2410-540</t>
  </si>
  <si>
    <t>1-2410-410</t>
  </si>
  <si>
    <t>1-2410-341</t>
  </si>
  <si>
    <t>1-2410-340</t>
  </si>
  <si>
    <t>1-2410-332</t>
  </si>
  <si>
    <t>1-2410-323</t>
  </si>
  <si>
    <t>1-2410-224</t>
  </si>
  <si>
    <t>1-2410-223</t>
  </si>
  <si>
    <t>1-2410-221</t>
  </si>
  <si>
    <t>1-2410-220</t>
  </si>
  <si>
    <t>1-2410-214</t>
  </si>
  <si>
    <t>1-2410-211</t>
  </si>
  <si>
    <t>1-2410-118</t>
  </si>
  <si>
    <t>1-2410-117</t>
  </si>
  <si>
    <t>1-2410-115</t>
  </si>
  <si>
    <t>1-2410-110</t>
  </si>
  <si>
    <t>1-2321-540</t>
  </si>
  <si>
    <t>1-2321-440</t>
  </si>
  <si>
    <t>1-2321-410</t>
  </si>
  <si>
    <t>1-2321-341</t>
  </si>
  <si>
    <t>1-2321-340</t>
  </si>
  <si>
    <t>1-2321-333</t>
  </si>
  <si>
    <t>1-2321-332</t>
  </si>
  <si>
    <t>1-2321-331</t>
  </si>
  <si>
    <t>1-2321-325</t>
  </si>
  <si>
    <t>1-2321-323</t>
  </si>
  <si>
    <t>1-2321-224</t>
  </si>
  <si>
    <t>1-2321-223</t>
  </si>
  <si>
    <t>1-2321-221</t>
  </si>
  <si>
    <t>1-2321-220</t>
  </si>
  <si>
    <t>1-2321-211</t>
  </si>
  <si>
    <t>1-2321-118</t>
  </si>
  <si>
    <t>1-2321-115</t>
  </si>
  <si>
    <t>1-2321-110</t>
  </si>
  <si>
    <t>1-2310-640</t>
  </si>
  <si>
    <t>1-2310-410</t>
  </si>
  <si>
    <t>1-2310-394</t>
  </si>
  <si>
    <t>1-2310-393</t>
  </si>
  <si>
    <t>1-2310-392</t>
  </si>
  <si>
    <t>1-2310-391</t>
  </si>
  <si>
    <t>1-2310-332</t>
  </si>
  <si>
    <t>1-2310-318</t>
  </si>
  <si>
    <t>1-2310-317</t>
  </si>
  <si>
    <t>1-2310-314</t>
  </si>
  <si>
    <t>1-2310-118</t>
  </si>
  <si>
    <t>1-2224-541</t>
  </si>
  <si>
    <t>1-2224-540</t>
  </si>
  <si>
    <t>1-2224-412</t>
  </si>
  <si>
    <t>1-2224-411</t>
  </si>
  <si>
    <t>1-2224-332</t>
  </si>
  <si>
    <t>1-2224-327</t>
  </si>
  <si>
    <t>1-2224-326</t>
  </si>
  <si>
    <t>1-2224-325</t>
  </si>
  <si>
    <t>1-2224-324</t>
  </si>
  <si>
    <t>1-2224-323</t>
  </si>
  <si>
    <t>1-2224-314</t>
  </si>
  <si>
    <t>1-2224-313</t>
  </si>
  <si>
    <t>1-2224-223</t>
  </si>
  <si>
    <t>1-2224-220</t>
  </si>
  <si>
    <t>1-2224-118</t>
  </si>
  <si>
    <t>1-2224-114</t>
  </si>
  <si>
    <t>1-2224-113</t>
  </si>
  <si>
    <t>1-2224-112</t>
  </si>
  <si>
    <t>1-2224-111</t>
  </si>
  <si>
    <t>1-2224-110</t>
  </si>
  <si>
    <t>1-2223-410</t>
  </si>
  <si>
    <t>1-2223-323</t>
  </si>
  <si>
    <t>1-2223-314</t>
  </si>
  <si>
    <t>1-2222-430</t>
  </si>
  <si>
    <t>1-2222-410</t>
  </si>
  <si>
    <t>1-2222-223</t>
  </si>
  <si>
    <t>1-2222-221</t>
  </si>
  <si>
    <t>1-2222-220</t>
  </si>
  <si>
    <t>1-2222-211</t>
  </si>
  <si>
    <t>1-2222-118</t>
  </si>
  <si>
    <t>1-2222-110</t>
  </si>
  <si>
    <t>1-2215-223</t>
  </si>
  <si>
    <t>1-2213-410</t>
  </si>
  <si>
    <t>1-2213-337</t>
  </si>
  <si>
    <t>1-2213-336</t>
  </si>
  <si>
    <t>1-2213-332</t>
  </si>
  <si>
    <t>1-2213-221</t>
  </si>
  <si>
    <t>1-2213-211</t>
  </si>
  <si>
    <t>1-2213-118</t>
  </si>
  <si>
    <t>1-2212-640</t>
  </si>
  <si>
    <t>1-2212-411</t>
  </si>
  <si>
    <t>1-2212-410</t>
  </si>
  <si>
    <t>1-2212-333</t>
  </si>
  <si>
    <t>1-2212-221</t>
  </si>
  <si>
    <t>1-2212-211</t>
  </si>
  <si>
    <t>1-2212-118</t>
  </si>
  <si>
    <t>1-2210-640</t>
  </si>
  <si>
    <t>1-2210-410</t>
  </si>
  <si>
    <t>1-2210-332</t>
  </si>
  <si>
    <t>1-2210-315</t>
  </si>
  <si>
    <t>1-2210-230</t>
  </si>
  <si>
    <t>1-2210-223</t>
  </si>
  <si>
    <t>1-2210-221</t>
  </si>
  <si>
    <t>1-2210-220</t>
  </si>
  <si>
    <t>1-2210-214</t>
  </si>
  <si>
    <t>1-2210-213</t>
  </si>
  <si>
    <t>1-2210-211</t>
  </si>
  <si>
    <t>1-2210-120</t>
  </si>
  <si>
    <t>1-2210-110</t>
  </si>
  <si>
    <t>1-2150-640</t>
  </si>
  <si>
    <t>1-2150-410</t>
  </si>
  <si>
    <t>1-2150-223</t>
  </si>
  <si>
    <t>1-2150-221</t>
  </si>
  <si>
    <t>1-2150-220</t>
  </si>
  <si>
    <t>1-2150-214</t>
  </si>
  <si>
    <t>1-2150-213</t>
  </si>
  <si>
    <t>1-2150-211</t>
  </si>
  <si>
    <t>1-2150-111</t>
  </si>
  <si>
    <t>1-2150-110</t>
  </si>
  <si>
    <t>1-2140-640</t>
  </si>
  <si>
    <t>1-2140-540</t>
  </si>
  <si>
    <t>1-2140-440</t>
  </si>
  <si>
    <t>1-2140-410</t>
  </si>
  <si>
    <t>1-2140-340</t>
  </si>
  <si>
    <t>1-2140-332</t>
  </si>
  <si>
    <t>1-2140-324</t>
  </si>
  <si>
    <t>1-2140-323</t>
  </si>
  <si>
    <t>1-2140-315</t>
  </si>
  <si>
    <t>1-2140-314</t>
  </si>
  <si>
    <t>1-2140-313</t>
  </si>
  <si>
    <t>1-2140-224</t>
  </si>
  <si>
    <t>1-2140-223</t>
  </si>
  <si>
    <t>1-2140-221</t>
  </si>
  <si>
    <t>1-2140-220</t>
  </si>
  <si>
    <t>1-2140-213</t>
  </si>
  <si>
    <t>1-2140-211</t>
  </si>
  <si>
    <t>1-2140-115</t>
  </si>
  <si>
    <t>1-2140-113</t>
  </si>
  <si>
    <t>1-2140-112</t>
  </si>
  <si>
    <t>1-2140-111</t>
  </si>
  <si>
    <t>1-2140-110</t>
  </si>
  <si>
    <t>1-2134-540</t>
  </si>
  <si>
    <t>1-2134-410</t>
  </si>
  <si>
    <t>1-2134-223</t>
  </si>
  <si>
    <t>1-2134-220</t>
  </si>
  <si>
    <t>1-2134-111</t>
  </si>
  <si>
    <t>1-2134-110</t>
  </si>
  <si>
    <t>1-2132-223</t>
  </si>
  <si>
    <t>1-2132-220</t>
  </si>
  <si>
    <t>1-2132-110</t>
  </si>
  <si>
    <t>1-2121-223</t>
  </si>
  <si>
    <t>1-2121-221</t>
  </si>
  <si>
    <t>1-2121-220</t>
  </si>
  <si>
    <t>1-2121-211</t>
  </si>
  <si>
    <t>1-2121-110</t>
  </si>
  <si>
    <t>1-2119-332</t>
  </si>
  <si>
    <t>1-2119-224</t>
  </si>
  <si>
    <t>1-2119-223</t>
  </si>
  <si>
    <t>1-2119-221</t>
  </si>
  <si>
    <t>1-2119-220</t>
  </si>
  <si>
    <t>1-2119-211</t>
  </si>
  <si>
    <t>1-2119-120</t>
  </si>
  <si>
    <t>1-2119-110</t>
  </si>
  <si>
    <t>1-2113-410</t>
  </si>
  <si>
    <t>1-2113-323</t>
  </si>
  <si>
    <t>1-2113-223</t>
  </si>
  <si>
    <t>1-2113-221</t>
  </si>
  <si>
    <t>1-2113-220</t>
  </si>
  <si>
    <t>1-2113-211</t>
  </si>
  <si>
    <t>1-2113-112</t>
  </si>
  <si>
    <t>1-2113-110</t>
  </si>
  <si>
    <t>1-2112-410</t>
  </si>
  <si>
    <t>1-2112-332</t>
  </si>
  <si>
    <t>1-2112-223</t>
  </si>
  <si>
    <t>1-2112-221</t>
  </si>
  <si>
    <t>1-2112-220</t>
  </si>
  <si>
    <t>1-2112-211</t>
  </si>
  <si>
    <t>1-2112-110</t>
  </si>
  <si>
    <t>1-1650-410</t>
  </si>
  <si>
    <t>1-1275-670</t>
  </si>
  <si>
    <t>1-1275-540</t>
  </si>
  <si>
    <t>1-1275-414</t>
  </si>
  <si>
    <t>1-1275-413</t>
  </si>
  <si>
    <t>1-1275-411</t>
  </si>
  <si>
    <t>1-1275-410</t>
  </si>
  <si>
    <t>1-1275-332</t>
  </si>
  <si>
    <t>1-1275-323</t>
  </si>
  <si>
    <t>1-1275-314</t>
  </si>
  <si>
    <t>1-1275-223</t>
  </si>
  <si>
    <t>1-1275-221</t>
  </si>
  <si>
    <t>1-1275-220</t>
  </si>
  <si>
    <t>1-1275-211</t>
  </si>
  <si>
    <t>1-1275-120</t>
  </si>
  <si>
    <t>1-1275-119</t>
  </si>
  <si>
    <t>1-1275-118</t>
  </si>
  <si>
    <t>1-1275-113</t>
  </si>
  <si>
    <t>1-1275-112</t>
  </si>
  <si>
    <t>1-1275-111</t>
  </si>
  <si>
    <t>1-1275-110</t>
  </si>
  <si>
    <t>1-1250-464</t>
  </si>
  <si>
    <t>1-1250-415</t>
  </si>
  <si>
    <t>1-1250-414</t>
  </si>
  <si>
    <t>1-1250-412</t>
  </si>
  <si>
    <t>1-1250-411</t>
  </si>
  <si>
    <t>1-1250-410</t>
  </si>
  <si>
    <t>1-1250-332</t>
  </si>
  <si>
    <t>1-1250-324</t>
  </si>
  <si>
    <t>1-1250-317</t>
  </si>
  <si>
    <t>1-1250-316</t>
  </si>
  <si>
    <t>1-1250-315</t>
  </si>
  <si>
    <t>1-1250-314</t>
  </si>
  <si>
    <t>1-1250-312</t>
  </si>
  <si>
    <t>1-1250-223</t>
  </si>
  <si>
    <t>1-1250-221</t>
  </si>
  <si>
    <t>1-1250-220</t>
  </si>
  <si>
    <t>1-1250-214</t>
  </si>
  <si>
    <t>1-1250-213</t>
  </si>
  <si>
    <t>1-1250-211</t>
  </si>
  <si>
    <t>1-1250-123</t>
  </si>
  <si>
    <t>1-1250-122</t>
  </si>
  <si>
    <t>1-1250-118</t>
  </si>
  <si>
    <t>1-1250-117</t>
  </si>
  <si>
    <t>1-1250-113</t>
  </si>
  <si>
    <t>1-1250-112</t>
  </si>
  <si>
    <t>1-1250-111</t>
  </si>
  <si>
    <t>1-1250-110</t>
  </si>
  <si>
    <t>1-1226-223</t>
  </si>
  <si>
    <t>1-1226-221</t>
  </si>
  <si>
    <t>1-1226-220</t>
  </si>
  <si>
    <t>1-1226-211</t>
  </si>
  <si>
    <t>1-1226-118</t>
  </si>
  <si>
    <t>1-1226-110</t>
  </si>
  <si>
    <t>1-1220-411</t>
  </si>
  <si>
    <t>1-1220-410</t>
  </si>
  <si>
    <t>1-1220-223</t>
  </si>
  <si>
    <t>1-1220-221</t>
  </si>
  <si>
    <t>1-1220-220</t>
  </si>
  <si>
    <t>1-1220-211</t>
  </si>
  <si>
    <t>1-1220-118</t>
  </si>
  <si>
    <t>1-1220-111</t>
  </si>
  <si>
    <t>1-1220-110</t>
  </si>
  <si>
    <t>Acct_Number</t>
  </si>
  <si>
    <t>100</t>
  </si>
  <si>
    <t>1110</t>
  </si>
  <si>
    <t>1130</t>
  </si>
  <si>
    <t>1141</t>
  </si>
  <si>
    <t>1230</t>
  </si>
  <si>
    <t>1321</t>
  </si>
  <si>
    <t>1342</t>
  </si>
  <si>
    <t>1510</t>
  </si>
  <si>
    <t>1611</t>
  </si>
  <si>
    <t>1612</t>
  </si>
  <si>
    <t>1613</t>
  </si>
  <si>
    <t>1614</t>
  </si>
  <si>
    <t>1620</t>
  </si>
  <si>
    <t>1690</t>
  </si>
  <si>
    <t>1711</t>
  </si>
  <si>
    <t>1720</t>
  </si>
  <si>
    <t>1-1920</t>
  </si>
  <si>
    <t>1-1950</t>
  </si>
  <si>
    <t>1950</t>
  </si>
  <si>
    <t>1-1991</t>
  </si>
  <si>
    <t>1991</t>
  </si>
  <si>
    <t>1-1940</t>
  </si>
  <si>
    <t>1-1999</t>
  </si>
  <si>
    <t>1999</t>
  </si>
  <si>
    <t>1-3001</t>
  </si>
  <si>
    <t>3001</t>
  </si>
  <si>
    <t>1-3100</t>
  </si>
  <si>
    <t>1-3105</t>
  </si>
  <si>
    <t>1-3110</t>
  </si>
  <si>
    <t>1-3120</t>
  </si>
  <si>
    <t>3120</t>
  </si>
  <si>
    <t>1-3145</t>
  </si>
  <si>
    <t>3145</t>
  </si>
  <si>
    <t>1-3360</t>
  </si>
  <si>
    <t>3360</t>
  </si>
  <si>
    <t>1-3651</t>
  </si>
  <si>
    <t>3651</t>
  </si>
  <si>
    <t>1-3705</t>
  </si>
  <si>
    <t>3705</t>
  </si>
  <si>
    <t>3800</t>
  </si>
  <si>
    <t>1-3810</t>
  </si>
  <si>
    <t>3810</t>
  </si>
  <si>
    <t>1-3999</t>
  </si>
  <si>
    <t>3999</t>
  </si>
  <si>
    <t>1-4107</t>
  </si>
  <si>
    <t>4107</t>
  </si>
  <si>
    <t>1-4210</t>
  </si>
  <si>
    <t>4210</t>
  </si>
  <si>
    <t>1-4220</t>
  </si>
  <si>
    <t>4220</t>
  </si>
  <si>
    <t>1-4300</t>
  </si>
  <si>
    <t>4300</t>
  </si>
  <si>
    <t>1-4600</t>
  </si>
  <si>
    <t>4600</t>
  </si>
  <si>
    <t>1-4620</t>
  </si>
  <si>
    <t>4620</t>
  </si>
  <si>
    <t>1-4625</t>
  </si>
  <si>
    <t>4625</t>
  </si>
  <si>
    <t>1-4857</t>
  </si>
  <si>
    <t>1-4880</t>
  </si>
  <si>
    <t>4900</t>
  </si>
  <si>
    <t>1-4930</t>
  </si>
  <si>
    <t>4930</t>
  </si>
  <si>
    <t>1-4992</t>
  </si>
  <si>
    <t>4992</t>
  </si>
  <si>
    <t>1-4400</t>
  </si>
  <si>
    <t>4999</t>
  </si>
  <si>
    <t>1-7110</t>
  </si>
  <si>
    <t>7110</t>
  </si>
  <si>
    <t>7000</t>
  </si>
  <si>
    <t>200</t>
  </si>
  <si>
    <t>300</t>
  </si>
  <si>
    <t>400</t>
  </si>
  <si>
    <t>500</t>
  </si>
  <si>
    <t>1211</t>
  </si>
  <si>
    <t>1212</t>
  </si>
  <si>
    <t>600</t>
  </si>
  <si>
    <t>1213</t>
  </si>
  <si>
    <t>1215</t>
  </si>
  <si>
    <t>1219</t>
  </si>
  <si>
    <t>1220</t>
  </si>
  <si>
    <t>1226</t>
  </si>
  <si>
    <t>1250</t>
  </si>
  <si>
    <t>1511</t>
  </si>
  <si>
    <t>1512</t>
  </si>
  <si>
    <t>1520</t>
  </si>
  <si>
    <t>1550</t>
  </si>
  <si>
    <t>1560</t>
  </si>
  <si>
    <t>2112</t>
  </si>
  <si>
    <t>2113</t>
  </si>
  <si>
    <t>2119</t>
  </si>
  <si>
    <t>2121</t>
  </si>
  <si>
    <t>2132</t>
  </si>
  <si>
    <t>2134</t>
  </si>
  <si>
    <t>2140</t>
  </si>
  <si>
    <t>2150</t>
  </si>
  <si>
    <t>2210</t>
  </si>
  <si>
    <t>2212</t>
  </si>
  <si>
    <t>2213</t>
  </si>
  <si>
    <t>2215</t>
  </si>
  <si>
    <t>2222</t>
  </si>
  <si>
    <t>2223</t>
  </si>
  <si>
    <t>2224</t>
  </si>
  <si>
    <t>2310</t>
  </si>
  <si>
    <t>2321</t>
  </si>
  <si>
    <t>2410</t>
  </si>
  <si>
    <t>2520</t>
  </si>
  <si>
    <t>2540</t>
  </si>
  <si>
    <t>2560</t>
  </si>
  <si>
    <t>2570</t>
  </si>
  <si>
    <t>2620</t>
  </si>
  <si>
    <t>2630</t>
  </si>
  <si>
    <t>2640</t>
  </si>
  <si>
    <t>4121</t>
  </si>
  <si>
    <t>4123</t>
  </si>
  <si>
    <t>1</t>
  </si>
  <si>
    <t>2-7230</t>
  </si>
  <si>
    <t>1111</t>
  </si>
  <si>
    <t>1290</t>
  </si>
  <si>
    <t>2-1910</t>
  </si>
  <si>
    <t>2-1921</t>
  </si>
  <si>
    <t>2-1999</t>
  </si>
  <si>
    <t>800</t>
  </si>
  <si>
    <t>2-3290</t>
  </si>
  <si>
    <t>3290</t>
  </si>
  <si>
    <t>2-7110</t>
  </si>
  <si>
    <t>2-7130</t>
  </si>
  <si>
    <t>7130</t>
  </si>
  <si>
    <t>2-7300</t>
  </si>
  <si>
    <t>7300</t>
  </si>
  <si>
    <t>2530</t>
  </si>
  <si>
    <t>2542</t>
  </si>
  <si>
    <t>2543</t>
  </si>
  <si>
    <t>2545</t>
  </si>
  <si>
    <t>1113</t>
  </si>
  <si>
    <t>1114</t>
  </si>
  <si>
    <t>1116</t>
  </si>
  <si>
    <t>1117</t>
  </si>
  <si>
    <t>3-1950</t>
  </si>
  <si>
    <t>3-7990</t>
  </si>
  <si>
    <t>7990</t>
  </si>
  <si>
    <t>8990</t>
  </si>
  <si>
    <t>8000</t>
  </si>
  <si>
    <t>1412</t>
  </si>
  <si>
    <t>4-1950</t>
  </si>
  <si>
    <t>4-1999</t>
  </si>
  <si>
    <t>4-3500</t>
  </si>
  <si>
    <t>4-3510</t>
  </si>
  <si>
    <t>4-7110</t>
  </si>
  <si>
    <t>4-7300</t>
  </si>
  <si>
    <t>2555</t>
  </si>
  <si>
    <t>2556</t>
  </si>
  <si>
    <t>1151</t>
  </si>
  <si>
    <t>2190</t>
  </si>
  <si>
    <t>6-1920</t>
  </si>
  <si>
    <t>6-1921</t>
  </si>
  <si>
    <t>6-1922</t>
  </si>
  <si>
    <t>6-1923</t>
  </si>
  <si>
    <t>1923</t>
  </si>
  <si>
    <t>6-1924</t>
  </si>
  <si>
    <t>1924</t>
  </si>
  <si>
    <t>6-7130</t>
  </si>
  <si>
    <t>8110</t>
  </si>
  <si>
    <t>700</t>
  </si>
  <si>
    <t>7-7110</t>
  </si>
  <si>
    <t>7100</t>
  </si>
  <si>
    <t>7-7210</t>
  </si>
  <si>
    <t>7210</t>
  </si>
  <si>
    <t>8130</t>
  </si>
  <si>
    <t>1122</t>
  </si>
  <si>
    <t>8-1990</t>
  </si>
  <si>
    <t>1990</t>
  </si>
  <si>
    <t>9-7210</t>
  </si>
  <si>
    <t>Month_07_2017_1</t>
  </si>
  <si>
    <t>Last_Yrs_Budget_2</t>
  </si>
  <si>
    <t>8-2362-318</t>
  </si>
  <si>
    <t>8-2362-332</t>
  </si>
  <si>
    <t>8-2362-383</t>
  </si>
  <si>
    <t>8-2362-390</t>
  </si>
  <si>
    <t>8-2362-391</t>
  </si>
  <si>
    <t>8-2362-410</t>
  </si>
  <si>
    <t>8-2367-110</t>
  </si>
  <si>
    <t>8-2367-340</t>
  </si>
  <si>
    <t>8-2367-113</t>
  </si>
  <si>
    <t>8-2367-380</t>
  </si>
  <si>
    <t>8-2367-119</t>
  </si>
  <si>
    <t>8-2367-120</t>
  </si>
  <si>
    <t>8-2367-121</t>
  </si>
  <si>
    <t>8-2367-323</t>
  </si>
  <si>
    <t>8-2367-411</t>
  </si>
  <si>
    <t>8-2367-123</t>
  </si>
  <si>
    <t>8-2367-540</t>
  </si>
  <si>
    <t>8-2367-315</t>
  </si>
  <si>
    <t>8-2367-410</t>
  </si>
  <si>
    <t>8-2367-220</t>
  </si>
  <si>
    <t>8-2367-223</t>
  </si>
  <si>
    <t>8-2367-333</t>
  </si>
  <si>
    <t>Adjust accounts in regards to journal entries. LOOK THROUGH TB's for whole account RECLASSIFICATIONS</t>
  </si>
  <si>
    <t>1-4991</t>
  </si>
  <si>
    <t>3-7220</t>
  </si>
  <si>
    <t>Capital Leases</t>
  </si>
  <si>
    <t>Various</t>
  </si>
  <si>
    <t>General Obligation Building Bonds</t>
  </si>
  <si>
    <t>General Obligation Working Cash Bonds</t>
  </si>
  <si>
    <t>General Obligation Life Safety Bonds</t>
  </si>
  <si>
    <t>ROE- Food Co-op</t>
  </si>
  <si>
    <t>L.E.A.S.E.</t>
  </si>
  <si>
    <t>Page 9, Line 17, Operations &amp; Maintenance Fund- Canal TIF tax</t>
  </si>
  <si>
    <t>Page 11, Line 107, Educational Fund- Miscellaneous</t>
  </si>
  <si>
    <t>Page 11, Line 107, Operations &amp; Maintenance Fund- Miscellaenous &amp; Land Rental Fees</t>
  </si>
  <si>
    <t>Page 11, Line 107, Transportation Fund- Miscellaneous</t>
  </si>
  <si>
    <t>Page 11, Line 107, Tort Fund- Crossing Guards</t>
  </si>
  <si>
    <t>Page 10, Line 74, Educational Fund- Adult Lunches</t>
  </si>
  <si>
    <t>Page 12, Line 171, Educational Fund- State Library Grant</t>
  </si>
  <si>
    <t>Page 20, Line 237, Crossing Guards</t>
  </si>
  <si>
    <t>1-1200-110</t>
  </si>
  <si>
    <t>1-1200-111</t>
  </si>
  <si>
    <t>1-1200-118</t>
  </si>
  <si>
    <t>1-1200-211</t>
  </si>
  <si>
    <t>1-1200-220</t>
  </si>
  <si>
    <t>1-1200-221</t>
  </si>
  <si>
    <t>1-1200-223</t>
  </si>
  <si>
    <t>1-1200-410</t>
  </si>
  <si>
    <t>5-1200-212</t>
  </si>
  <si>
    <t>5-1200-213</t>
  </si>
  <si>
    <t>5-1200-214</t>
  </si>
  <si>
    <t>1-1200-670</t>
  </si>
  <si>
    <t>1-1200-113</t>
  </si>
  <si>
    <t>1-1200-119</t>
  </si>
  <si>
    <t>1-1200-323</t>
  </si>
  <si>
    <t>1-1200-540</t>
  </si>
  <si>
    <t>1-1500-113</t>
  </si>
  <si>
    <t>1-1500-323</t>
  </si>
  <si>
    <t>1-1500-410</t>
  </si>
  <si>
    <t>1-1500-540</t>
  </si>
  <si>
    <t>1-1500-118</t>
  </si>
  <si>
    <t>1-1500-211</t>
  </si>
  <si>
    <t>1-1500-314</t>
  </si>
  <si>
    <t>1-1500-411</t>
  </si>
  <si>
    <t>1-1500-641</t>
  </si>
  <si>
    <t>5-1500-214</t>
  </si>
  <si>
    <t>1-1500-110</t>
  </si>
  <si>
    <t>1-1500-220</t>
  </si>
  <si>
    <t>1-1500-221</t>
  </si>
  <si>
    <t>1-1500-223</t>
  </si>
  <si>
    <t>1-1500-640</t>
  </si>
  <si>
    <t>1-1500-122</t>
  </si>
  <si>
    <t>1-1500-319</t>
  </si>
  <si>
    <t>1-1500-325</t>
  </si>
  <si>
    <t>1-1500-413</t>
  </si>
  <si>
    <t>1-1500-414</t>
  </si>
  <si>
    <t>5-1500-212</t>
  </si>
  <si>
    <t>5-1500-213</t>
  </si>
  <si>
    <t>1-1500-123</t>
  </si>
  <si>
    <t>1-1620</t>
  </si>
  <si>
    <t>1-1100-110</t>
  </si>
  <si>
    <t>1-1100-118</t>
  </si>
  <si>
    <t>1-1100-119</t>
  </si>
  <si>
    <t>1-1100-120</t>
  </si>
  <si>
    <t>1-1100-121</t>
  </si>
  <si>
    <t>1-1100-122</t>
  </si>
  <si>
    <t>1-1100-123</t>
  </si>
  <si>
    <t>1-1100-124</t>
  </si>
  <si>
    <t>1-1100-125</t>
  </si>
  <si>
    <t>1-1100-126</t>
  </si>
  <si>
    <t>1-1100-211</t>
  </si>
  <si>
    <t>1-1100-213</t>
  </si>
  <si>
    <t>1-1100-214</t>
  </si>
  <si>
    <t>1-1100-220</t>
  </si>
  <si>
    <t>1-1100-221</t>
  </si>
  <si>
    <t>1-1100-223</t>
  </si>
  <si>
    <t>1-1100-314</t>
  </si>
  <si>
    <t>1-1100-323</t>
  </si>
  <si>
    <t>1-1100-410</t>
  </si>
  <si>
    <t>1-1100-411</t>
  </si>
  <si>
    <t>1-1100-412</t>
  </si>
  <si>
    <t>1-1100-413</t>
  </si>
  <si>
    <t>1-1100-414</t>
  </si>
  <si>
    <t>1-1100-415</t>
  </si>
  <si>
    <t>1-1100-418</t>
  </si>
  <si>
    <t>1-1100-416</t>
  </si>
  <si>
    <t>1-1100-419</t>
  </si>
  <si>
    <t>1-1100-420</t>
  </si>
  <si>
    <t>1-1100-540</t>
  </si>
  <si>
    <t>1-1100-541</t>
  </si>
  <si>
    <t>5-1100-212</t>
  </si>
  <si>
    <t>5-1100-213</t>
  </si>
  <si>
    <t>5-1100-214</t>
  </si>
  <si>
    <r>
      <t>The accompanying Schedule of Expenditures of Federal Awards includes the federal grant activity of Ottawa Elementary Schools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or Basic </t>
    </r>
    <r>
      <rPr>
        <sz val="9"/>
        <rFont val="Calibri"/>
        <family val="2"/>
        <scheme val="minor"/>
      </rPr>
      <t xml:space="preserve"> financial statements.</t>
    </r>
  </si>
  <si>
    <t>Of the federal expenditures presented in the schedule,Ottawa Elementary Schools provided federal awards to subrecipients as follows:</t>
  </si>
  <si>
    <t>None</t>
  </si>
  <si>
    <r>
      <t xml:space="preserve">The following amounts were expended in the form of non-cash assistance by Ottawa Elementary Schools and </t>
    </r>
    <r>
      <rPr>
        <b/>
        <sz val="9"/>
        <rFont val="Calibri"/>
        <family val="2"/>
        <scheme val="minor"/>
      </rPr>
      <t>should be</t>
    </r>
    <r>
      <rPr>
        <sz val="9"/>
        <rFont val="Calibri"/>
        <family val="2"/>
        <scheme val="minor"/>
      </rPr>
      <t xml:space="preserve"> included in the Schedule of Expenditures of Federal Awards:</t>
    </r>
  </si>
  <si>
    <t>Unmodified</t>
  </si>
  <si>
    <t>84.010A</t>
  </si>
  <si>
    <t>Title 1- Low Income</t>
  </si>
  <si>
    <t>I.D.E.A. Flow Through</t>
  </si>
  <si>
    <t>84.027A</t>
  </si>
  <si>
    <t>The District must have functioning internal controls over financial reporting.</t>
  </si>
  <si>
    <t>The District does not have the controls described above, and relies upon the auditor for this expertise.</t>
  </si>
  <si>
    <t>It was determined that District personnel do not have the expertise necessary to prepare external financial reports without assistance from the audtor.</t>
  </si>
  <si>
    <t>Management of the District may not be able to detect material errors and/or omissions to its financial statements.</t>
  </si>
  <si>
    <t>The District has no employees familiar with all requirements of external financial reporting.</t>
  </si>
  <si>
    <t>We recommend management consider training apprpriate staff to allow for staff to properly prepare the District fiancial statements.</t>
  </si>
  <si>
    <t>The cost of training current personnel will be considered, if cost effective.</t>
  </si>
  <si>
    <t>N/A</t>
  </si>
  <si>
    <t>2017-01</t>
  </si>
  <si>
    <t>The District must have functioning internal</t>
  </si>
  <si>
    <t>controls over financial reporting. This includes</t>
  </si>
  <si>
    <t>preparation of financial reports.</t>
  </si>
  <si>
    <t xml:space="preserve">The Disrict continues to rely on the auditor for this </t>
  </si>
  <si>
    <t>expertise and will consider training District personnel,</t>
  </si>
  <si>
    <t>if ti is cost effective.</t>
  </si>
  <si>
    <t>U.S. Department of Education passed through ISBE:</t>
  </si>
  <si>
    <t>Title 1- Low income*</t>
  </si>
  <si>
    <t>2017-4300</t>
  </si>
  <si>
    <t>2018-4300</t>
  </si>
  <si>
    <t>2018-4600</t>
  </si>
  <si>
    <t>Special Education- I.D.E.A. Flow Through*</t>
  </si>
  <si>
    <t>2018-4620</t>
  </si>
  <si>
    <t>2017-4625</t>
  </si>
  <si>
    <t>Title II-Teacher Quality</t>
  </si>
  <si>
    <t>84.367A</t>
  </si>
  <si>
    <t>2017-4932</t>
  </si>
  <si>
    <t>Title II-Teacher Quality*</t>
  </si>
  <si>
    <t>2018-4932</t>
  </si>
  <si>
    <t>Title IVA-Student Support &amp;Academic Enrichment</t>
  </si>
  <si>
    <t>2018-4832</t>
  </si>
  <si>
    <t>2017-4210</t>
  </si>
  <si>
    <t>2017-4220</t>
  </si>
  <si>
    <t>2018-4220</t>
  </si>
  <si>
    <t>Federal Commodities(non-cash)</t>
  </si>
  <si>
    <t>2018-4299</t>
  </si>
  <si>
    <t>Fresh Fruits &amp; Vegetables Program(non-cash)</t>
  </si>
  <si>
    <t>Department of Health &amp; Human Services passed through</t>
  </si>
  <si>
    <t>Illinois Dept of Healthcare and Family Services</t>
  </si>
  <si>
    <t>Medicaid Administrative Outreach</t>
  </si>
  <si>
    <t>2018-4991</t>
  </si>
  <si>
    <t>Total Federal Financial Assistance</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</si>
  <si>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</si>
  <si>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</si>
  <si>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</si>
  <si>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</si>
  <si>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</si>
  <si>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</si>
  <si>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</si>
  <si>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</si>
  <si>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</si>
  <si>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</si>
  <si>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Mr. Cleve Threadgill</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</si>
  <si>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</si>
  <si>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</si>
  <si>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</si>
  <si>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3-5300-600</t>
  </si>
  <si>
    <t>3-5200-600</t>
  </si>
  <si>
    <t>3-5200-620</t>
  </si>
  <si>
    <t>3-5200-621</t>
  </si>
  <si>
    <t>3-5200-622</t>
  </si>
  <si>
    <t>3-5200-623</t>
  </si>
  <si>
    <t>3-5300-610</t>
  </si>
  <si>
    <t>3-5300-611</t>
  </si>
  <si>
    <t>3-5300-612</t>
  </si>
  <si>
    <t>3-5300-613</t>
  </si>
  <si>
    <t>060-003995</t>
  </si>
  <si>
    <t>Page 18, Line 171, Paying Agent Fees</t>
  </si>
  <si>
    <t>10-2520-300</t>
  </si>
  <si>
    <t>ED - Fiscal Service - Purchased Service</t>
  </si>
  <si>
    <t>Specialized Data Systems</t>
  </si>
  <si>
    <t>10-2200-300</t>
  </si>
  <si>
    <t>ED - Instructional Staff - Purchased Service</t>
  </si>
  <si>
    <t>10-2100-300</t>
  </si>
  <si>
    <t>Shabans Masud-Khan</t>
  </si>
  <si>
    <t>ED - Pupil - Purchased Service</t>
  </si>
  <si>
    <t>Troxell Communication Inc.</t>
  </si>
  <si>
    <t>Telcom Innovations</t>
  </si>
  <si>
    <t>Raptor Technologies</t>
  </si>
  <si>
    <t>Common Goal Systems</t>
  </si>
  <si>
    <t>Blackboard Connect Inc</t>
  </si>
  <si>
    <t>Frontline Technologies Group</t>
  </si>
  <si>
    <t>E. Schoolview Inc</t>
  </si>
  <si>
    <t>Companion Corp.</t>
  </si>
  <si>
    <t>Samanage USA Inc.</t>
  </si>
  <si>
    <t>Telesolutions Consultants LLC</t>
  </si>
  <si>
    <t>Mediacom</t>
  </si>
  <si>
    <t>Northern Illinois University</t>
  </si>
  <si>
    <t>I Fiber</t>
  </si>
  <si>
    <t>Unite Private Networks</t>
  </si>
  <si>
    <t>RK Dixon</t>
  </si>
  <si>
    <t>10-2300-300</t>
  </si>
  <si>
    <t>Roenfeldt and Lockas</t>
  </si>
  <si>
    <t>ED - General Admin - Purchased Service</t>
  </si>
  <si>
    <t>Pitney Bowes Inc</t>
  </si>
  <si>
    <t>10-2630-300</t>
  </si>
  <si>
    <t>20-2540-300</t>
  </si>
  <si>
    <t>ED - Information Services - Purchased Service</t>
  </si>
  <si>
    <t>OM - Plant Services - Purchased Service</t>
  </si>
  <si>
    <t>Rachel Donoho, LCSW</t>
  </si>
  <si>
    <t>Amber Grenda</t>
  </si>
  <si>
    <t>WCMY</t>
  </si>
  <si>
    <t>Green and Associates</t>
  </si>
  <si>
    <t>Simplex Grinnell</t>
  </si>
  <si>
    <t>Faculty Tree</t>
  </si>
  <si>
    <t>Thyssenkrupp Elevator Corp</t>
  </si>
  <si>
    <t>Patten Industries</t>
  </si>
  <si>
    <t>Environmental Control Solutions</t>
  </si>
  <si>
    <t>David Cooper</t>
  </si>
  <si>
    <t>Pipco Companies LTD</t>
  </si>
  <si>
    <t>84.173A</t>
  </si>
  <si>
    <t>Special Education- I.D.E.A.  Room &amp; Board*</t>
  </si>
  <si>
    <t>Special Education-I.D.E.A. Preschool*</t>
  </si>
  <si>
    <t>Special Education - I.D.E.A:</t>
  </si>
  <si>
    <t>Special Education - I.D.E.A Total</t>
  </si>
  <si>
    <t>U.S. Department of Agriculture passed through ISBE: Child Nutrition</t>
  </si>
  <si>
    <t>Subtotal</t>
  </si>
  <si>
    <t>Department of  Defense passed through ISBE:  Child Nutrition</t>
  </si>
  <si>
    <t>Child Nutrition Total</t>
  </si>
  <si>
    <t>Ottawa ESD 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</si>
</sst>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1"/>
      <name val="Calibri"/>
      <family val="2"/>
    </font>
    <font>
      <sz val="10"/>
      <color rgb="FF000000"/>
      <name val="Times New Roman"/>
      <family val="1"/>
    </font>
    <font>
      <b/>
      <u/>
      <sz val="11"/>
      <color rgb="FFFF0000"/>
      <name val="Calibri"/>
      <family val="2"/>
      <scheme val="minor"/>
    </font>
    <font>
      <sz val="11"/>
      <name val="Calibri"/>
      <family val="2"/>
    </font>
    <font>
      <sz val="10"/>
      <color rgb="FFFF0000"/>
      <name val="Arial"/>
      <family val="2"/>
    </font>
    <font>
      <sz val="11"/>
      <color rgb="FFFF0000"/>
      <name val="Calibri"/>
      <family val="2"/>
    </font>
    <font>
      <b/>
      <sz val="19"/>
      <color rgb="FFFF0000"/>
      <name val="Calibri"/>
      <family val="2"/>
    </font>
    <font>
      <b/>
      <sz val="19"/>
      <name val="Calibri"/>
      <family val="2"/>
    </font>
    <font>
      <b/>
      <sz val="8"/>
      <color theme="1"/>
      <name val="Arial"/>
      <family val="2"/>
    </font>
    <font>
      <sz val="10"/>
      <color theme="1"/>
      <name val="Arial"/>
      <family val="2"/>
    </font>
    <font>
      <b/>
      <sz val="9"/>
      <color theme="1"/>
      <name val="Arial"/>
      <family val="2"/>
    </font>
    <font>
      <u/>
      <sz val="7.5"/>
      <color indexed="12"/>
      <name val="Arial"/>
      <family val="2"/>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2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139" fillId="0" borderId="0">
      <alignment vertical="top"/>
    </xf>
    <xf numFmtId="0" fontId="141" fillId="0" borderId="0"/>
    <xf numFmtId="0" fontId="143" fillId="0" borderId="0"/>
    <xf numFmtId="0" fontId="143"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0" fontId="14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9" fillId="0" borderId="0">
      <alignment vertical="top"/>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applyNumberFormat="0" applyFill="0" applyBorder="0" applyAlignment="0" applyProtection="0">
      <alignment vertical="top"/>
      <protection locked="0"/>
    </xf>
    <xf numFmtId="0" fontId="2" fillId="0" borderId="0"/>
    <xf numFmtId="0" fontId="2" fillId="0" borderId="0"/>
  </cellStyleXfs>
  <cellXfs count="254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2" fillId="0" borderId="123" xfId="12" applyFont="1" applyBorder="1" applyAlignment="1" applyProtection="1">
      <alignmen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1" xfId="0" applyFont="1" applyFill="1" applyBorder="1" applyAlignment="1" applyProtection="1">
      <alignment horizontal="left" vertical="center"/>
    </xf>
    <xf numFmtId="164" fontId="55" fillId="18" borderId="121" xfId="0" applyNumberFormat="1" applyFont="1" applyFill="1" applyBorder="1" applyAlignment="1" applyProtection="1">
      <alignment horizontal="center" vertical="center"/>
    </xf>
    <xf numFmtId="164" fontId="65" fillId="18" borderId="121" xfId="0" applyNumberFormat="1" applyFont="1" applyFill="1" applyBorder="1" applyAlignment="1" applyProtection="1">
      <alignment vertical="center"/>
    </xf>
    <xf numFmtId="0" fontId="78" fillId="11" borderId="122"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7"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0"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7"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8" xfId="0" applyFont="1" applyFill="1" applyBorder="1" applyAlignment="1" applyProtection="1">
      <alignment horizontal="center" vertical="center"/>
    </xf>
    <xf numFmtId="164" fontId="55" fillId="14" borderId="119" xfId="0" applyNumberFormat="1" applyFont="1" applyFill="1" applyBorder="1" applyAlignment="1" applyProtection="1">
      <alignment horizontal="center" vertical="center"/>
    </xf>
    <xf numFmtId="164" fontId="65" fillId="14" borderId="119"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38" fontId="56" fillId="3" borderId="125"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5"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5"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5"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9" borderId="142" xfId="3" applyFont="1" applyFill="1" applyBorder="1" applyProtection="1"/>
    <xf numFmtId="0" fontId="58" fillId="9" borderId="142" xfId="3" applyFont="1" applyFill="1" applyBorder="1" applyAlignment="1" applyProtection="1">
      <alignment horizontal="center"/>
    </xf>
    <xf numFmtId="0" fontId="58" fillId="9" borderId="143"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1" xfId="3" applyFont="1" applyFill="1" applyBorder="1" applyProtection="1"/>
    <xf numFmtId="0" fontId="65" fillId="9" borderId="142"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5" xfId="0" applyNumberFormat="1" applyFont="1" applyFill="1" applyBorder="1" applyAlignment="1" applyProtection="1">
      <alignment horizontal="right" vertical="center"/>
      <protection locked="0"/>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8" xfId="17" applyFont="1" applyBorder="1" applyAlignment="1">
      <alignment horizontal="left" vertical="top"/>
    </xf>
    <xf numFmtId="0" fontId="127" fillId="0" borderId="139" xfId="17" applyFont="1" applyBorder="1" applyAlignment="1">
      <alignment horizontal="center" vertical="top"/>
    </xf>
    <xf numFmtId="0" fontId="127" fillId="0" borderId="140"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5" xfId="17" applyNumberFormat="1" applyFill="1" applyBorder="1" applyAlignment="1">
      <alignment horizontal="right" vertical="top"/>
    </xf>
    <xf numFmtId="38" fontId="8" fillId="23" borderId="156"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4" xfId="17" applyFont="1" applyFill="1" applyBorder="1" applyAlignment="1">
      <alignment horizontal="center" vertical="center" wrapText="1"/>
    </xf>
    <xf numFmtId="38" fontId="126" fillId="24" borderId="154" xfId="17" applyNumberFormat="1" applyFont="1" applyFill="1" applyBorder="1" applyAlignment="1">
      <alignment horizontal="center" vertical="center" wrapText="1"/>
    </xf>
    <xf numFmtId="3" fontId="56" fillId="24" borderId="129" xfId="0" applyNumberFormat="1" applyFont="1" applyFill="1" applyBorder="1" applyAlignment="1">
      <alignment horizontal="center"/>
    </xf>
    <xf numFmtId="3" fontId="56" fillId="24" borderId="129" xfId="0" applyNumberFormat="1" applyFont="1" applyFill="1" applyBorder="1" applyAlignment="1">
      <alignment horizontal="right"/>
    </xf>
    <xf numFmtId="3" fontId="56" fillId="24" borderId="130"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3"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5"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3" xfId="0" applyNumberFormat="1" applyFont="1" applyFill="1" applyBorder="1" applyAlignment="1">
      <alignment horizontal="left" vertical="center" wrapText="1"/>
    </xf>
    <xf numFmtId="49" fontId="65" fillId="18" borderId="125"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3"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5" xfId="0" applyFont="1" applyFill="1" applyBorder="1" applyAlignment="1">
      <alignment horizontal="left" vertical="center" wrapText="1"/>
    </xf>
    <xf numFmtId="3" fontId="65" fillId="18" borderId="125"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5" xfId="17" applyFont="1" applyFill="1" applyBorder="1" applyAlignment="1" applyProtection="1">
      <alignment horizontal="left" vertical="top" wrapText="1"/>
    </xf>
    <xf numFmtId="49" fontId="128" fillId="21" borderId="155" xfId="17" applyNumberFormat="1" applyFont="1" applyFill="1" applyBorder="1" applyAlignment="1" applyProtection="1">
      <alignment horizontal="center" vertical="top"/>
    </xf>
    <xf numFmtId="0" fontId="128" fillId="21" borderId="155" xfId="17" applyFont="1" applyFill="1" applyBorder="1" applyAlignment="1" applyProtection="1">
      <alignment vertical="top"/>
    </xf>
    <xf numFmtId="38" fontId="128" fillId="21" borderId="155" xfId="17" applyNumberFormat="1" applyFont="1" applyFill="1" applyBorder="1" applyAlignment="1" applyProtection="1">
      <alignment horizontal="right" vertical="top"/>
    </xf>
    <xf numFmtId="38" fontId="128" fillId="21" borderId="155" xfId="17" applyNumberFormat="1" applyFont="1" applyFill="1" applyBorder="1" applyAlignment="1" applyProtection="1">
      <alignment vertical="top"/>
    </xf>
    <xf numFmtId="0" fontId="8" fillId="0" borderId="155" xfId="17" applyBorder="1" applyAlignment="1" applyProtection="1">
      <alignment horizontal="left" vertical="top" wrapText="1"/>
      <protection locked="0"/>
    </xf>
    <xf numFmtId="0" fontId="8" fillId="0" borderId="155"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5" xfId="17" applyNumberFormat="1" applyBorder="1" applyAlignment="1" applyProtection="1">
      <alignment horizontal="center" vertical="center"/>
      <protection locked="0"/>
    </xf>
    <xf numFmtId="49" fontId="6" fillId="0" borderId="155"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5"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5"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5" xfId="17" applyNumberFormat="1" applyFill="1" applyBorder="1" applyAlignment="1" applyProtection="1">
      <alignment horizontal="right" vertical="top"/>
    </xf>
    <xf numFmtId="38" fontId="8" fillId="17" borderId="155" xfId="17" applyNumberFormat="1" applyFill="1" applyBorder="1" applyAlignment="1" applyProtection="1">
      <alignment vertical="top"/>
    </xf>
    <xf numFmtId="38" fontId="8" fillId="17" borderId="156" xfId="17" applyNumberFormat="1" applyFill="1" applyBorder="1" applyAlignment="1" applyProtection="1">
      <alignment horizontal="right" vertical="top"/>
    </xf>
    <xf numFmtId="38" fontId="8" fillId="17" borderId="156" xfId="17" applyNumberFormat="1" applyFill="1" applyBorder="1" applyAlignment="1" applyProtection="1">
      <alignment vertical="top"/>
    </xf>
    <xf numFmtId="0" fontId="8" fillId="17" borderId="156" xfId="17" applyFill="1" applyBorder="1" applyAlignment="1" applyProtection="1">
      <alignment horizontal="left" vertical="top" wrapText="1"/>
    </xf>
    <xf numFmtId="49" fontId="8" fillId="17" borderId="156" xfId="17" applyNumberFormat="1" applyFill="1" applyBorder="1" applyAlignment="1" applyProtection="1">
      <alignment vertical="top"/>
    </xf>
    <xf numFmtId="0" fontId="8" fillId="17" borderId="156" xfId="17" applyFill="1" applyBorder="1" applyAlignment="1" applyProtection="1">
      <alignment vertical="top"/>
    </xf>
    <xf numFmtId="0" fontId="56" fillId="17" borderId="124" xfId="0" applyFont="1" applyFill="1" applyBorder="1"/>
    <xf numFmtId="37" fontId="56" fillId="17" borderId="124" xfId="0" applyNumberFormat="1" applyFont="1" applyFill="1" applyBorder="1"/>
    <xf numFmtId="37" fontId="56" fillId="17" borderId="126"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5"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5"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5"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6"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6" xfId="18" applyFont="1" applyFill="1" applyBorder="1" applyAlignment="1">
      <alignment horizontal="center" vertical="center" wrapText="1"/>
    </xf>
    <xf numFmtId="0" fontId="105" fillId="24" borderId="161" xfId="18" applyFont="1" applyFill="1" applyBorder="1" applyAlignment="1">
      <alignment horizontal="center" vertical="center" wrapText="1"/>
    </xf>
    <xf numFmtId="0" fontId="105" fillId="18" borderId="137"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7"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5"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5"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140" fillId="0" borderId="0" xfId="19" applyFont="1" applyAlignment="1">
      <alignment horizontal="center"/>
    </xf>
    <xf numFmtId="0" fontId="142" fillId="0" borderId="0" xfId="20" applyFont="1" applyAlignment="1">
      <alignment horizontal="center" wrapText="1"/>
    </xf>
    <xf numFmtId="39" fontId="142" fillId="0" borderId="0" xfId="20" applyNumberFormat="1" applyFont="1" applyAlignment="1">
      <alignment horizontal="center" wrapText="1"/>
    </xf>
    <xf numFmtId="0" fontId="143" fillId="0" borderId="0" xfId="21"/>
    <xf numFmtId="0" fontId="143" fillId="0" borderId="0" xfId="22"/>
    <xf numFmtId="37" fontId="4" fillId="0" borderId="0" xfId="20" applyNumberFormat="1" applyFont="1" applyAlignment="1">
      <alignment horizontal="left"/>
    </xf>
    <xf numFmtId="39" fontId="143" fillId="0" borderId="0" xfId="21" applyNumberFormat="1"/>
    <xf numFmtId="0" fontId="11" fillId="21" borderId="0" xfId="0" applyFont="1" applyFill="1"/>
    <xf numFmtId="39" fontId="144" fillId="21" borderId="0" xfId="0" applyNumberFormat="1" applyFont="1" applyFill="1"/>
    <xf numFmtId="39" fontId="0" fillId="0" borderId="0" xfId="0" applyNumberFormat="1"/>
    <xf numFmtId="0" fontId="145" fillId="21" borderId="0" xfId="22" applyFont="1" applyFill="1"/>
    <xf numFmtId="0" fontId="144" fillId="21" borderId="0" xfId="0" applyFont="1" applyFill="1"/>
    <xf numFmtId="0" fontId="0" fillId="21" borderId="0" xfId="0" applyFill="1"/>
    <xf numFmtId="38" fontId="56" fillId="0" borderId="2" xfId="3" applyNumberFormat="1" applyFont="1" applyFill="1" applyBorder="1" applyAlignment="1" applyProtection="1">
      <alignment horizontal="right"/>
      <protection locked="0"/>
    </xf>
    <xf numFmtId="0" fontId="11" fillId="0" borderId="0" xfId="0" quotePrefix="1" applyFont="1"/>
    <xf numFmtId="164" fontId="12" fillId="0" borderId="2" xfId="9" applyNumberFormat="1" applyFont="1" applyFill="1" applyBorder="1" applyAlignment="1" applyProtection="1">
      <alignment horizontal="left" vertical="center"/>
      <protection locked="0"/>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3" fontId="17" fillId="0" borderId="2" xfId="9" applyNumberFormat="1" applyFont="1" applyFill="1" applyBorder="1" applyAlignment="1" applyProtection="1">
      <alignment horizontal="right" vertical="center"/>
      <protection locked="0"/>
    </xf>
    <xf numFmtId="49" fontId="150" fillId="0" borderId="105" xfId="1216" applyNumberFormat="1" applyFont="1" applyBorder="1" applyAlignment="1" applyProtection="1">
      <alignment horizontal="center" vertical="center"/>
      <protection locked="0"/>
    </xf>
    <xf numFmtId="0" fontId="149" fillId="0" borderId="105" xfId="1216" applyFont="1" applyBorder="1" applyProtection="1">
      <protection locked="0"/>
    </xf>
    <xf numFmtId="49" fontId="148" fillId="0" borderId="107" xfId="1216" applyNumberFormat="1" applyFont="1" applyFill="1" applyBorder="1" applyAlignment="1" applyProtection="1">
      <alignment horizontal="center" vertical="center"/>
      <protection locked="0"/>
    </xf>
    <xf numFmtId="49" fontId="150" fillId="0" borderId="105" xfId="1216" applyNumberFormat="1" applyFont="1" applyBorder="1" applyAlignment="1" applyProtection="1">
      <alignment horizontal="center" vertical="center"/>
      <protection locked="0"/>
    </xf>
    <xf numFmtId="0" fontId="149" fillId="0" borderId="105" xfId="1216" applyFont="1" applyBorder="1" applyProtection="1">
      <protection locked="0"/>
    </xf>
    <xf numFmtId="49" fontId="148" fillId="0" borderId="107" xfId="1216" applyNumberFormat="1" applyFont="1" applyFill="1" applyBorder="1" applyAlignment="1" applyProtection="1">
      <alignment horizontal="center" vertical="center"/>
      <protection locked="0"/>
    </xf>
    <xf numFmtId="0" fontId="11" fillId="0" borderId="0" xfId="3"/>
    <xf numFmtId="0" fontId="11" fillId="0" borderId="0" xfId="3" applyProtection="1"/>
    <xf numFmtId="49" fontId="14" fillId="0" borderId="0" xfId="3" applyNumberFormat="1" applyFont="1" applyBorder="1" applyAlignment="1" applyProtection="1">
      <alignment horizontal="center" vertical="center"/>
    </xf>
    <xf numFmtId="166" fontId="14" fillId="0" borderId="0" xfId="3" applyNumberFormat="1" applyFont="1" applyBorder="1" applyAlignment="1" applyProtection="1">
      <alignment horizontal="center" vertical="center"/>
    </xf>
    <xf numFmtId="0" fontId="14" fillId="0" borderId="0" xfId="3" applyFont="1" applyAlignment="1" applyProtection="1">
      <alignment horizontal="center" vertical="center"/>
    </xf>
    <xf numFmtId="171" fontId="14" fillId="0" borderId="0" xfId="3" applyNumberFormat="1" applyFont="1" applyAlignment="1" applyProtection="1">
      <alignment horizontal="center" vertical="center"/>
    </xf>
    <xf numFmtId="0" fontId="11" fillId="0" borderId="0" xfId="3" applyBorder="1" applyProtection="1"/>
    <xf numFmtId="0" fontId="153" fillId="0" borderId="0" xfId="3" applyFont="1" applyBorder="1" applyAlignment="1" applyProtection="1">
      <alignment horizontal="left"/>
    </xf>
    <xf numFmtId="0" fontId="35" fillId="0" borderId="0" xfId="3" applyFont="1" applyBorder="1" applyAlignment="1" applyProtection="1">
      <alignment horizontal="left"/>
    </xf>
    <xf numFmtId="0" fontId="35" fillId="0" borderId="0" xfId="3" applyFont="1" applyBorder="1" applyProtection="1"/>
    <xf numFmtId="0" fontId="14" fillId="0" borderId="0" xfId="3" applyFont="1" applyBorder="1" applyAlignment="1" applyProtection="1">
      <alignment horizontal="left"/>
    </xf>
    <xf numFmtId="0" fontId="12" fillId="0" borderId="0" xfId="3" applyFont="1" applyBorder="1" applyProtection="1"/>
    <xf numFmtId="0" fontId="14" fillId="0" borderId="0" xfId="3" applyFont="1" applyBorder="1" applyAlignment="1" applyProtection="1">
      <alignment horizontal="center"/>
    </xf>
    <xf numFmtId="178" fontId="14" fillId="0" borderId="9" xfId="3" applyNumberFormat="1" applyFont="1" applyBorder="1" applyAlignment="1" applyProtection="1">
      <alignment horizontal="center"/>
      <protection locked="0"/>
    </xf>
    <xf numFmtId="0" fontId="154" fillId="0" borderId="0" xfId="3" applyFont="1" applyBorder="1" applyAlignment="1" applyProtection="1">
      <alignment horizontal="left"/>
    </xf>
    <xf numFmtId="14" fontId="11" fillId="0" borderId="0" xfId="3" applyNumberFormat="1" applyAlignment="1" applyProtection="1">
      <alignment horizontal="left" indent="2"/>
      <protection locked="0"/>
    </xf>
    <xf numFmtId="0" fontId="11" fillId="0" borderId="0" xfId="3" applyBorder="1" applyProtection="1">
      <protection locked="0"/>
    </xf>
    <xf numFmtId="0" fontId="11" fillId="0" borderId="0" xfId="3" applyProtection="1">
      <protection locked="0"/>
    </xf>
    <xf numFmtId="0" fontId="13" fillId="0" borderId="0" xfId="3" applyFont="1" applyProtection="1"/>
    <xf numFmtId="0" fontId="155" fillId="0" borderId="0" xfId="3" applyFont="1" applyBorder="1" applyAlignment="1" applyProtection="1">
      <alignment horizontal="left"/>
    </xf>
    <xf numFmtId="0" fontId="12" fillId="0" borderId="0" xfId="3" applyFont="1" applyAlignment="1" applyProtection="1">
      <alignment horizontal="left"/>
    </xf>
    <xf numFmtId="0" fontId="12" fillId="0" borderId="0" xfId="3" applyFont="1" applyProtection="1"/>
    <xf numFmtId="0" fontId="37" fillId="0" borderId="0" xfId="3" applyFont="1" applyProtection="1"/>
    <xf numFmtId="0" fontId="155" fillId="0" borderId="0" xfId="3" applyFont="1" applyBorder="1" applyProtection="1"/>
    <xf numFmtId="0" fontId="155" fillId="0" borderId="0" xfId="3" applyFont="1" applyProtection="1"/>
    <xf numFmtId="2" fontId="143" fillId="0" borderId="0" xfId="22" applyNumberFormat="1"/>
    <xf numFmtId="0" fontId="11" fillId="0" borderId="0" xfId="0" applyFont="1" applyFill="1"/>
    <xf numFmtId="0" fontId="143" fillId="0" borderId="0" xfId="22" applyFill="1"/>
    <xf numFmtId="39" fontId="0" fillId="0" borderId="0" xfId="0" applyNumberFormat="1" applyFill="1"/>
    <xf numFmtId="0" fontId="143" fillId="0" borderId="0" xfId="21" applyFill="1"/>
    <xf numFmtId="39" fontId="143" fillId="0" borderId="0" xfId="21" applyNumberFormat="1" applyFill="1"/>
    <xf numFmtId="49" fontId="1" fillId="0" borderId="155" xfId="17" applyNumberFormat="1" applyFont="1" applyBorder="1" applyAlignment="1" applyProtection="1">
      <alignment horizontal="center" vertical="center"/>
      <protection locked="0"/>
    </xf>
    <xf numFmtId="0" fontId="1" fillId="0" borderId="155" xfId="17" applyFont="1" applyBorder="1" applyAlignment="1" applyProtection="1">
      <alignment horizontal="left" vertical="top" wrapText="1"/>
      <protection locked="0"/>
    </xf>
    <xf numFmtId="0" fontId="1" fillId="0" borderId="155" xfId="17" applyFont="1" applyBorder="1" applyAlignment="1" applyProtection="1">
      <alignment vertical="top"/>
      <protection locked="0"/>
    </xf>
    <xf numFmtId="0" fontId="1" fillId="0" borderId="0" xfId="17" applyFont="1" applyAlignment="1" applyProtection="1">
      <alignment horizontal="left" vertical="top" wrapText="1"/>
      <protection locked="0"/>
    </xf>
    <xf numFmtId="49" fontId="1" fillId="0" borderId="155" xfId="17" applyNumberFormat="1" applyFont="1" applyBorder="1" applyAlignment="1" applyProtection="1">
      <alignment horizontal="center"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wrapText="1"/>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29"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5" xfId="0" applyFont="1" applyFill="1" applyBorder="1" applyAlignment="1" applyProtection="1">
      <alignment horizontal="left" vertical="center" indent="1"/>
    </xf>
    <xf numFmtId="0" fontId="65" fillId="17" borderId="144" xfId="0" applyFont="1" applyFill="1" applyBorder="1" applyAlignment="1" applyProtection="1">
      <alignment horizontal="left" vertical="center" indent="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4" xfId="0" applyFont="1" applyFill="1" applyBorder="1" applyAlignment="1" applyProtection="1">
      <alignment horizontal="left" vertical="center" indent="1"/>
    </xf>
    <xf numFmtId="0" fontId="66" fillId="24" borderId="145" xfId="0" applyFont="1" applyFill="1" applyBorder="1" applyAlignment="1" applyProtection="1">
      <alignment horizontal="left" vertical="center" indent="1"/>
    </xf>
    <xf numFmtId="0" fontId="66" fillId="24"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38" xfId="17" applyFont="1" applyFill="1" applyBorder="1" applyAlignment="1">
      <alignment horizontal="center" vertical="center"/>
    </xf>
    <xf numFmtId="0" fontId="127" fillId="24" borderId="139" xfId="17" applyFont="1" applyFill="1" applyBorder="1" applyAlignment="1">
      <alignment horizontal="center" vertical="center"/>
    </xf>
    <xf numFmtId="0" fontId="127" fillId="24" borderId="140"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171"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3" xfId="0" applyFont="1" applyFill="1" applyBorder="1" applyAlignment="1">
      <alignment horizontal="center" vertical="center"/>
    </xf>
    <xf numFmtId="0" fontId="113" fillId="13" borderId="126" xfId="0" applyFont="1" applyFill="1" applyBorder="1" applyAlignment="1">
      <alignment horizontal="center" vertical="center"/>
    </xf>
    <xf numFmtId="0" fontId="113" fillId="13" borderId="151"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3" xfId="0" applyNumberFormat="1" applyFont="1" applyFill="1" applyBorder="1" applyAlignment="1">
      <alignment horizontal="center" vertical="top"/>
    </xf>
    <xf numFmtId="164" fontId="114" fillId="13" borderId="126" xfId="0" applyNumberFormat="1" applyFont="1" applyFill="1" applyBorder="1" applyAlignment="1">
      <alignment horizontal="center" vertical="top"/>
    </xf>
    <xf numFmtId="164" fontId="114" fillId="13"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Border="1" applyAlignment="1" applyProtection="1">
      <alignment horizontal="left" vertical="top" wrapText="1"/>
      <protection locked="0"/>
    </xf>
    <xf numFmtId="0" fontId="11" fillId="0" borderId="0" xfId="3" applyAlignment="1" applyProtection="1">
      <alignment horizontal="left" vertical="top" wrapText="1"/>
      <protection locked="0"/>
    </xf>
    <xf numFmtId="0" fontId="14" fillId="0" borderId="0" xfId="3" applyNumberFormat="1" applyFont="1" applyBorder="1" applyAlignment="1" applyProtection="1">
      <alignment horizontal="center" vertical="center" wrapText="1"/>
    </xf>
    <xf numFmtId="165" fontId="14" fillId="0" borderId="0" xfId="3" applyNumberFormat="1" applyFont="1" applyBorder="1" applyAlignment="1" applyProtection="1">
      <alignment horizontal="center" vertical="center" wrapText="1"/>
    </xf>
    <xf numFmtId="0" fontId="21" fillId="0" borderId="0" xfId="3" applyFont="1" applyAlignment="1" applyProtection="1">
      <alignment horizontal="center" vertical="center" wrapText="1"/>
    </xf>
    <xf numFmtId="171" fontId="21" fillId="0" borderId="0" xfId="3" applyNumberFormat="1" applyFont="1" applyAlignment="1" applyProtection="1">
      <alignment horizontal="center" vertical="center" wrapText="1"/>
    </xf>
    <xf numFmtId="0" fontId="146" fillId="21" borderId="0" xfId="21" applyFont="1" applyFill="1" applyAlignment="1">
      <alignment horizontal="center" wrapText="1"/>
    </xf>
    <xf numFmtId="0" fontId="147" fillId="21" borderId="0" xfId="21" applyFont="1" applyFill="1" applyAlignment="1">
      <alignment horizontal="center" wrapText="1"/>
    </xf>
  </cellXfs>
  <cellStyles count="1226">
    <cellStyle name="Comma" xfId="1" builtinId="3"/>
    <cellStyle name="Currency 2" xfId="23"/>
    <cellStyle name="Currency 2 10" xfId="831"/>
    <cellStyle name="Currency 2 11" xfId="566"/>
    <cellStyle name="Currency 2 2" xfId="24"/>
    <cellStyle name="Currency 2 2 10" xfId="567"/>
    <cellStyle name="Currency 2 2 2" xfId="25"/>
    <cellStyle name="Currency 2 2 2 2" xfId="26"/>
    <cellStyle name="Currency 2 2 2 2 2" xfId="27"/>
    <cellStyle name="Currency 2 2 2 2 2 2" xfId="28"/>
    <cellStyle name="Currency 2 2 2 2 2 2 2" xfId="29"/>
    <cellStyle name="Currency 2 2 2 2 2 2 2 2" xfId="832"/>
    <cellStyle name="Currency 2 2 2 2 2 2 3" xfId="571"/>
    <cellStyle name="Currency 2 2 2 2 2 3" xfId="30"/>
    <cellStyle name="Currency 2 2 2 2 2 3 2" xfId="833"/>
    <cellStyle name="Currency 2 2 2 2 2 4" xfId="570"/>
    <cellStyle name="Currency 2 2 2 2 3" xfId="31"/>
    <cellStyle name="Currency 2 2 2 2 3 2" xfId="32"/>
    <cellStyle name="Currency 2 2 2 2 3 2 2" xfId="834"/>
    <cellStyle name="Currency 2 2 2 2 3 3" xfId="572"/>
    <cellStyle name="Currency 2 2 2 2 4" xfId="33"/>
    <cellStyle name="Currency 2 2 2 2 4 2" xfId="835"/>
    <cellStyle name="Currency 2 2 2 2 5" xfId="569"/>
    <cellStyle name="Currency 2 2 2 3" xfId="34"/>
    <cellStyle name="Currency 2 2 2 3 2" xfId="35"/>
    <cellStyle name="Currency 2 2 2 3 2 2" xfId="36"/>
    <cellStyle name="Currency 2 2 2 3 2 2 2" xfId="836"/>
    <cellStyle name="Currency 2 2 2 3 2 3" xfId="574"/>
    <cellStyle name="Currency 2 2 2 3 3" xfId="37"/>
    <cellStyle name="Currency 2 2 2 3 3 2" xfId="837"/>
    <cellStyle name="Currency 2 2 2 3 4" xfId="573"/>
    <cellStyle name="Currency 2 2 2 4" xfId="38"/>
    <cellStyle name="Currency 2 2 2 4 2" xfId="39"/>
    <cellStyle name="Currency 2 2 2 4 2 2" xfId="838"/>
    <cellStyle name="Currency 2 2 2 4 3" xfId="575"/>
    <cellStyle name="Currency 2 2 2 5" xfId="40"/>
    <cellStyle name="Currency 2 2 2 5 2" xfId="840"/>
    <cellStyle name="Currency 2 2 2 5 3" xfId="839"/>
    <cellStyle name="Currency 2 2 2 6" xfId="841"/>
    <cellStyle name="Currency 2 2 2 7" xfId="842"/>
    <cellStyle name="Currency 2 2 2 8" xfId="568"/>
    <cellStyle name="Currency 2 2 3" xfId="41"/>
    <cellStyle name="Currency 2 2 3 2" xfId="42"/>
    <cellStyle name="Currency 2 2 3 2 2" xfId="43"/>
    <cellStyle name="Currency 2 2 3 2 2 2" xfId="44"/>
    <cellStyle name="Currency 2 2 3 2 2 2 2" xfId="843"/>
    <cellStyle name="Currency 2 2 3 2 2 3" xfId="578"/>
    <cellStyle name="Currency 2 2 3 2 3" xfId="45"/>
    <cellStyle name="Currency 2 2 3 2 3 2" xfId="844"/>
    <cellStyle name="Currency 2 2 3 2 4" xfId="577"/>
    <cellStyle name="Currency 2 2 3 3" xfId="46"/>
    <cellStyle name="Currency 2 2 3 3 2" xfId="47"/>
    <cellStyle name="Currency 2 2 3 3 2 2" xfId="845"/>
    <cellStyle name="Currency 2 2 3 3 3" xfId="579"/>
    <cellStyle name="Currency 2 2 3 4" xfId="48"/>
    <cellStyle name="Currency 2 2 3 4 2" xfId="846"/>
    <cellStyle name="Currency 2 2 3 5" xfId="576"/>
    <cellStyle name="Currency 2 2 4" xfId="49"/>
    <cellStyle name="Currency 2 2 4 2" xfId="50"/>
    <cellStyle name="Currency 2 2 4 2 2" xfId="51"/>
    <cellStyle name="Currency 2 2 4 2 2 2" xfId="847"/>
    <cellStyle name="Currency 2 2 4 2 3" xfId="581"/>
    <cellStyle name="Currency 2 2 4 3" xfId="52"/>
    <cellStyle name="Currency 2 2 4 3 2" xfId="848"/>
    <cellStyle name="Currency 2 2 4 4" xfId="580"/>
    <cellStyle name="Currency 2 2 5" xfId="53"/>
    <cellStyle name="Currency 2 2 5 2" xfId="54"/>
    <cellStyle name="Currency 2 2 5 2 2" xfId="55"/>
    <cellStyle name="Currency 2 2 5 2 2 2" xfId="849"/>
    <cellStyle name="Currency 2 2 5 2 3" xfId="583"/>
    <cellStyle name="Currency 2 2 5 3" xfId="56"/>
    <cellStyle name="Currency 2 2 5 3 2" xfId="850"/>
    <cellStyle name="Currency 2 2 5 4" xfId="582"/>
    <cellStyle name="Currency 2 2 6" xfId="57"/>
    <cellStyle name="Currency 2 2 6 2" xfId="58"/>
    <cellStyle name="Currency 2 2 6 2 2" xfId="851"/>
    <cellStyle name="Currency 2 2 6 3" xfId="584"/>
    <cellStyle name="Currency 2 2 7" xfId="59"/>
    <cellStyle name="Currency 2 2 7 2" xfId="853"/>
    <cellStyle name="Currency 2 2 7 3" xfId="852"/>
    <cellStyle name="Currency 2 2 8" xfId="854"/>
    <cellStyle name="Currency 2 2 9" xfId="855"/>
    <cellStyle name="Currency 2 3" xfId="60"/>
    <cellStyle name="Currency 2 3 2" xfId="61"/>
    <cellStyle name="Currency 2 3 2 2" xfId="62"/>
    <cellStyle name="Currency 2 3 2 2 2" xfId="63"/>
    <cellStyle name="Currency 2 3 2 2 2 2" xfId="64"/>
    <cellStyle name="Currency 2 3 2 2 2 2 2" xfId="856"/>
    <cellStyle name="Currency 2 3 2 2 2 3" xfId="588"/>
    <cellStyle name="Currency 2 3 2 2 3" xfId="65"/>
    <cellStyle name="Currency 2 3 2 2 3 2" xfId="857"/>
    <cellStyle name="Currency 2 3 2 2 4" xfId="587"/>
    <cellStyle name="Currency 2 3 2 3" xfId="66"/>
    <cellStyle name="Currency 2 3 2 3 2" xfId="67"/>
    <cellStyle name="Currency 2 3 2 3 2 2" xfId="858"/>
    <cellStyle name="Currency 2 3 2 3 3" xfId="589"/>
    <cellStyle name="Currency 2 3 2 4" xfId="68"/>
    <cellStyle name="Currency 2 3 2 4 2" xfId="859"/>
    <cellStyle name="Currency 2 3 2 5" xfId="586"/>
    <cellStyle name="Currency 2 3 3" xfId="69"/>
    <cellStyle name="Currency 2 3 3 2" xfId="70"/>
    <cellStyle name="Currency 2 3 3 2 2" xfId="71"/>
    <cellStyle name="Currency 2 3 3 2 2 2" xfId="860"/>
    <cellStyle name="Currency 2 3 3 2 3" xfId="591"/>
    <cellStyle name="Currency 2 3 3 3" xfId="72"/>
    <cellStyle name="Currency 2 3 3 3 2" xfId="861"/>
    <cellStyle name="Currency 2 3 3 4" xfId="590"/>
    <cellStyle name="Currency 2 3 4" xfId="73"/>
    <cellStyle name="Currency 2 3 4 2" xfId="74"/>
    <cellStyle name="Currency 2 3 4 2 2" xfId="75"/>
    <cellStyle name="Currency 2 3 4 2 2 2" xfId="862"/>
    <cellStyle name="Currency 2 3 4 2 3" xfId="593"/>
    <cellStyle name="Currency 2 3 4 3" xfId="76"/>
    <cellStyle name="Currency 2 3 4 3 2" xfId="863"/>
    <cellStyle name="Currency 2 3 4 4" xfId="592"/>
    <cellStyle name="Currency 2 3 5" xfId="77"/>
    <cellStyle name="Currency 2 3 5 2" xfId="78"/>
    <cellStyle name="Currency 2 3 5 2 2" xfId="864"/>
    <cellStyle name="Currency 2 3 5 3" xfId="594"/>
    <cellStyle name="Currency 2 3 6" xfId="79"/>
    <cellStyle name="Currency 2 3 6 2" xfId="866"/>
    <cellStyle name="Currency 2 3 6 3" xfId="865"/>
    <cellStyle name="Currency 2 3 7" xfId="867"/>
    <cellStyle name="Currency 2 3 8" xfId="868"/>
    <cellStyle name="Currency 2 3 9" xfId="585"/>
    <cellStyle name="Currency 2 4" xfId="80"/>
    <cellStyle name="Currency 2 4 2" xfId="81"/>
    <cellStyle name="Currency 2 4 2 2" xfId="82"/>
    <cellStyle name="Currency 2 4 2 2 2" xfId="83"/>
    <cellStyle name="Currency 2 4 2 2 2 2" xfId="869"/>
    <cellStyle name="Currency 2 4 2 2 3" xfId="597"/>
    <cellStyle name="Currency 2 4 2 3" xfId="84"/>
    <cellStyle name="Currency 2 4 2 3 2" xfId="870"/>
    <cellStyle name="Currency 2 4 2 4" xfId="596"/>
    <cellStyle name="Currency 2 4 3" xfId="85"/>
    <cellStyle name="Currency 2 4 3 2" xfId="86"/>
    <cellStyle name="Currency 2 4 3 2 2" xfId="871"/>
    <cellStyle name="Currency 2 4 3 3" xfId="598"/>
    <cellStyle name="Currency 2 4 4" xfId="87"/>
    <cellStyle name="Currency 2 4 4 2" xfId="873"/>
    <cellStyle name="Currency 2 4 4 3" xfId="872"/>
    <cellStyle name="Currency 2 4 5" xfId="874"/>
    <cellStyle name="Currency 2 4 6" xfId="875"/>
    <cellStyle name="Currency 2 4 7" xfId="595"/>
    <cellStyle name="Currency 2 5" xfId="88"/>
    <cellStyle name="Currency 2 5 2" xfId="89"/>
    <cellStyle name="Currency 2 5 2 2" xfId="90"/>
    <cellStyle name="Currency 2 5 2 2 2" xfId="876"/>
    <cellStyle name="Currency 2 5 2 3" xfId="600"/>
    <cellStyle name="Currency 2 5 3" xfId="91"/>
    <cellStyle name="Currency 2 5 3 2" xfId="877"/>
    <cellStyle name="Currency 2 5 4" xfId="599"/>
    <cellStyle name="Currency 2 6" xfId="92"/>
    <cellStyle name="Currency 2 6 2" xfId="93"/>
    <cellStyle name="Currency 2 6 2 2" xfId="94"/>
    <cellStyle name="Currency 2 6 2 2 2" xfId="878"/>
    <cellStyle name="Currency 2 6 2 3" xfId="602"/>
    <cellStyle name="Currency 2 6 3" xfId="95"/>
    <cellStyle name="Currency 2 6 3 2" xfId="879"/>
    <cellStyle name="Currency 2 6 4" xfId="601"/>
    <cellStyle name="Currency 2 7" xfId="96"/>
    <cellStyle name="Currency 2 7 2" xfId="97"/>
    <cellStyle name="Currency 2 7 2 2" xfId="880"/>
    <cellStyle name="Currency 2 7 3" xfId="603"/>
    <cellStyle name="Currency 2 8" xfId="98"/>
    <cellStyle name="Currency 2 8 2" xfId="882"/>
    <cellStyle name="Currency 2 8 3" xfId="881"/>
    <cellStyle name="Currency 2 9" xfId="883"/>
    <cellStyle name="Currency 3" xfId="99"/>
    <cellStyle name="Currency 3 10" xfId="884"/>
    <cellStyle name="Currency 3 11" xfId="604"/>
    <cellStyle name="Currency 3 2" xfId="100"/>
    <cellStyle name="Currency 3 2 10" xfId="605"/>
    <cellStyle name="Currency 3 2 2" xfId="101"/>
    <cellStyle name="Currency 3 2 2 2" xfId="102"/>
    <cellStyle name="Currency 3 2 2 2 2" xfId="103"/>
    <cellStyle name="Currency 3 2 2 2 2 2" xfId="104"/>
    <cellStyle name="Currency 3 2 2 2 2 2 2" xfId="105"/>
    <cellStyle name="Currency 3 2 2 2 2 2 2 2" xfId="885"/>
    <cellStyle name="Currency 3 2 2 2 2 2 3" xfId="609"/>
    <cellStyle name="Currency 3 2 2 2 2 3" xfId="106"/>
    <cellStyle name="Currency 3 2 2 2 2 3 2" xfId="886"/>
    <cellStyle name="Currency 3 2 2 2 2 4" xfId="608"/>
    <cellStyle name="Currency 3 2 2 2 3" xfId="107"/>
    <cellStyle name="Currency 3 2 2 2 3 2" xfId="108"/>
    <cellStyle name="Currency 3 2 2 2 3 2 2" xfId="887"/>
    <cellStyle name="Currency 3 2 2 2 3 3" xfId="610"/>
    <cellStyle name="Currency 3 2 2 2 4" xfId="109"/>
    <cellStyle name="Currency 3 2 2 2 4 2" xfId="888"/>
    <cellStyle name="Currency 3 2 2 2 5" xfId="607"/>
    <cellStyle name="Currency 3 2 2 3" xfId="110"/>
    <cellStyle name="Currency 3 2 2 3 2" xfId="111"/>
    <cellStyle name="Currency 3 2 2 3 2 2" xfId="112"/>
    <cellStyle name="Currency 3 2 2 3 2 2 2" xfId="889"/>
    <cellStyle name="Currency 3 2 2 3 2 3" xfId="612"/>
    <cellStyle name="Currency 3 2 2 3 3" xfId="113"/>
    <cellStyle name="Currency 3 2 2 3 3 2" xfId="890"/>
    <cellStyle name="Currency 3 2 2 3 4" xfId="611"/>
    <cellStyle name="Currency 3 2 2 4" xfId="114"/>
    <cellStyle name="Currency 3 2 2 4 2" xfId="115"/>
    <cellStyle name="Currency 3 2 2 4 2 2" xfId="891"/>
    <cellStyle name="Currency 3 2 2 4 3" xfId="613"/>
    <cellStyle name="Currency 3 2 2 5" xfId="116"/>
    <cellStyle name="Currency 3 2 2 5 2" xfId="893"/>
    <cellStyle name="Currency 3 2 2 5 3" xfId="892"/>
    <cellStyle name="Currency 3 2 2 6" xfId="894"/>
    <cellStyle name="Currency 3 2 2 7" xfId="895"/>
    <cellStyle name="Currency 3 2 2 8" xfId="606"/>
    <cellStyle name="Currency 3 2 3" xfId="117"/>
    <cellStyle name="Currency 3 2 3 2" xfId="118"/>
    <cellStyle name="Currency 3 2 3 2 2" xfId="119"/>
    <cellStyle name="Currency 3 2 3 2 2 2" xfId="120"/>
    <cellStyle name="Currency 3 2 3 2 2 2 2" xfId="896"/>
    <cellStyle name="Currency 3 2 3 2 2 3" xfId="616"/>
    <cellStyle name="Currency 3 2 3 2 3" xfId="121"/>
    <cellStyle name="Currency 3 2 3 2 3 2" xfId="897"/>
    <cellStyle name="Currency 3 2 3 2 4" xfId="615"/>
    <cellStyle name="Currency 3 2 3 3" xfId="122"/>
    <cellStyle name="Currency 3 2 3 3 2" xfId="123"/>
    <cellStyle name="Currency 3 2 3 3 2 2" xfId="898"/>
    <cellStyle name="Currency 3 2 3 3 3" xfId="617"/>
    <cellStyle name="Currency 3 2 3 4" xfId="124"/>
    <cellStyle name="Currency 3 2 3 4 2" xfId="899"/>
    <cellStyle name="Currency 3 2 3 5" xfId="614"/>
    <cellStyle name="Currency 3 2 4" xfId="125"/>
    <cellStyle name="Currency 3 2 4 2" xfId="126"/>
    <cellStyle name="Currency 3 2 4 2 2" xfId="127"/>
    <cellStyle name="Currency 3 2 4 2 2 2" xfId="900"/>
    <cellStyle name="Currency 3 2 4 2 3" xfId="619"/>
    <cellStyle name="Currency 3 2 4 3" xfId="128"/>
    <cellStyle name="Currency 3 2 4 3 2" xfId="901"/>
    <cellStyle name="Currency 3 2 4 4" xfId="618"/>
    <cellStyle name="Currency 3 2 5" xfId="129"/>
    <cellStyle name="Currency 3 2 5 2" xfId="130"/>
    <cellStyle name="Currency 3 2 5 2 2" xfId="131"/>
    <cellStyle name="Currency 3 2 5 2 2 2" xfId="902"/>
    <cellStyle name="Currency 3 2 5 2 3" xfId="621"/>
    <cellStyle name="Currency 3 2 5 3" xfId="132"/>
    <cellStyle name="Currency 3 2 5 3 2" xfId="903"/>
    <cellStyle name="Currency 3 2 5 4" xfId="620"/>
    <cellStyle name="Currency 3 2 6" xfId="133"/>
    <cellStyle name="Currency 3 2 6 2" xfId="134"/>
    <cellStyle name="Currency 3 2 6 2 2" xfId="904"/>
    <cellStyle name="Currency 3 2 6 3" xfId="622"/>
    <cellStyle name="Currency 3 2 7" xfId="135"/>
    <cellStyle name="Currency 3 2 7 2" xfId="906"/>
    <cellStyle name="Currency 3 2 7 3" xfId="905"/>
    <cellStyle name="Currency 3 2 8" xfId="907"/>
    <cellStyle name="Currency 3 2 9" xfId="908"/>
    <cellStyle name="Currency 3 3" xfId="136"/>
    <cellStyle name="Currency 3 3 2" xfId="137"/>
    <cellStyle name="Currency 3 3 2 2" xfId="138"/>
    <cellStyle name="Currency 3 3 2 2 2" xfId="139"/>
    <cellStyle name="Currency 3 3 2 2 2 2" xfId="140"/>
    <cellStyle name="Currency 3 3 2 2 2 2 2" xfId="909"/>
    <cellStyle name="Currency 3 3 2 2 2 3" xfId="626"/>
    <cellStyle name="Currency 3 3 2 2 3" xfId="141"/>
    <cellStyle name="Currency 3 3 2 2 3 2" xfId="910"/>
    <cellStyle name="Currency 3 3 2 2 4" xfId="625"/>
    <cellStyle name="Currency 3 3 2 3" xfId="142"/>
    <cellStyle name="Currency 3 3 2 3 2" xfId="143"/>
    <cellStyle name="Currency 3 3 2 3 2 2" xfId="911"/>
    <cellStyle name="Currency 3 3 2 3 3" xfId="627"/>
    <cellStyle name="Currency 3 3 2 4" xfId="144"/>
    <cellStyle name="Currency 3 3 2 4 2" xfId="912"/>
    <cellStyle name="Currency 3 3 2 5" xfId="624"/>
    <cellStyle name="Currency 3 3 3" xfId="145"/>
    <cellStyle name="Currency 3 3 3 2" xfId="146"/>
    <cellStyle name="Currency 3 3 3 2 2" xfId="147"/>
    <cellStyle name="Currency 3 3 3 2 2 2" xfId="913"/>
    <cellStyle name="Currency 3 3 3 2 3" xfId="629"/>
    <cellStyle name="Currency 3 3 3 3" xfId="148"/>
    <cellStyle name="Currency 3 3 3 3 2" xfId="914"/>
    <cellStyle name="Currency 3 3 3 4" xfId="628"/>
    <cellStyle name="Currency 3 3 4" xfId="149"/>
    <cellStyle name="Currency 3 3 4 2" xfId="150"/>
    <cellStyle name="Currency 3 3 4 2 2" xfId="151"/>
    <cellStyle name="Currency 3 3 4 2 2 2" xfId="915"/>
    <cellStyle name="Currency 3 3 4 2 3" xfId="631"/>
    <cellStyle name="Currency 3 3 4 3" xfId="152"/>
    <cellStyle name="Currency 3 3 4 3 2" xfId="916"/>
    <cellStyle name="Currency 3 3 4 4" xfId="630"/>
    <cellStyle name="Currency 3 3 5" xfId="153"/>
    <cellStyle name="Currency 3 3 5 2" xfId="154"/>
    <cellStyle name="Currency 3 3 5 2 2" xfId="917"/>
    <cellStyle name="Currency 3 3 5 3" xfId="632"/>
    <cellStyle name="Currency 3 3 6" xfId="155"/>
    <cellStyle name="Currency 3 3 6 2" xfId="919"/>
    <cellStyle name="Currency 3 3 6 3" xfId="918"/>
    <cellStyle name="Currency 3 3 7" xfId="920"/>
    <cellStyle name="Currency 3 3 8" xfId="921"/>
    <cellStyle name="Currency 3 3 9" xfId="623"/>
    <cellStyle name="Currency 3 4" xfId="156"/>
    <cellStyle name="Currency 3 4 2" xfId="157"/>
    <cellStyle name="Currency 3 4 2 2" xfId="158"/>
    <cellStyle name="Currency 3 4 2 2 2" xfId="159"/>
    <cellStyle name="Currency 3 4 2 2 2 2" xfId="922"/>
    <cellStyle name="Currency 3 4 2 2 3" xfId="635"/>
    <cellStyle name="Currency 3 4 2 3" xfId="160"/>
    <cellStyle name="Currency 3 4 2 3 2" xfId="923"/>
    <cellStyle name="Currency 3 4 2 4" xfId="634"/>
    <cellStyle name="Currency 3 4 3" xfId="161"/>
    <cellStyle name="Currency 3 4 3 2" xfId="162"/>
    <cellStyle name="Currency 3 4 3 2 2" xfId="924"/>
    <cellStyle name="Currency 3 4 3 3" xfId="636"/>
    <cellStyle name="Currency 3 4 4" xfId="163"/>
    <cellStyle name="Currency 3 4 4 2" xfId="926"/>
    <cellStyle name="Currency 3 4 4 3" xfId="925"/>
    <cellStyle name="Currency 3 4 5" xfId="927"/>
    <cellStyle name="Currency 3 4 6" xfId="928"/>
    <cellStyle name="Currency 3 4 7" xfId="633"/>
    <cellStyle name="Currency 3 5" xfId="164"/>
    <cellStyle name="Currency 3 5 2" xfId="165"/>
    <cellStyle name="Currency 3 5 2 2" xfId="166"/>
    <cellStyle name="Currency 3 5 2 2 2" xfId="929"/>
    <cellStyle name="Currency 3 5 2 3" xfId="638"/>
    <cellStyle name="Currency 3 5 3" xfId="167"/>
    <cellStyle name="Currency 3 5 3 2" xfId="930"/>
    <cellStyle name="Currency 3 5 4" xfId="637"/>
    <cellStyle name="Currency 3 6" xfId="168"/>
    <cellStyle name="Currency 3 6 2" xfId="169"/>
    <cellStyle name="Currency 3 6 2 2" xfId="170"/>
    <cellStyle name="Currency 3 6 2 2 2" xfId="931"/>
    <cellStyle name="Currency 3 6 2 3" xfId="640"/>
    <cellStyle name="Currency 3 6 3" xfId="171"/>
    <cellStyle name="Currency 3 6 3 2" xfId="932"/>
    <cellStyle name="Currency 3 6 4" xfId="639"/>
    <cellStyle name="Currency 3 7" xfId="172"/>
    <cellStyle name="Currency 3 7 2" xfId="173"/>
    <cellStyle name="Currency 3 7 2 2" xfId="933"/>
    <cellStyle name="Currency 3 7 3" xfId="641"/>
    <cellStyle name="Currency 3 8" xfId="174"/>
    <cellStyle name="Currency 3 8 2" xfId="935"/>
    <cellStyle name="Currency 3 8 3" xfId="934"/>
    <cellStyle name="Currency 3 9" xfId="936"/>
    <cellStyle name="Currency 4" xfId="175"/>
    <cellStyle name="Currency 4 10" xfId="642"/>
    <cellStyle name="Currency 4 2" xfId="176"/>
    <cellStyle name="Currency 4 2 2" xfId="177"/>
    <cellStyle name="Currency 4 2 2 2" xfId="178"/>
    <cellStyle name="Currency 4 2 2 2 2" xfId="179"/>
    <cellStyle name="Currency 4 2 2 2 2 2" xfId="180"/>
    <cellStyle name="Currency 4 2 2 2 2 2 2" xfId="937"/>
    <cellStyle name="Currency 4 2 2 2 2 3" xfId="646"/>
    <cellStyle name="Currency 4 2 2 2 3" xfId="181"/>
    <cellStyle name="Currency 4 2 2 2 3 2" xfId="938"/>
    <cellStyle name="Currency 4 2 2 2 4" xfId="645"/>
    <cellStyle name="Currency 4 2 2 3" xfId="182"/>
    <cellStyle name="Currency 4 2 2 3 2" xfId="183"/>
    <cellStyle name="Currency 4 2 2 3 2 2" xfId="939"/>
    <cellStyle name="Currency 4 2 2 3 3" xfId="647"/>
    <cellStyle name="Currency 4 2 2 4" xfId="184"/>
    <cellStyle name="Currency 4 2 2 4 2" xfId="941"/>
    <cellStyle name="Currency 4 2 2 4 3" xfId="940"/>
    <cellStyle name="Currency 4 2 2 5" xfId="942"/>
    <cellStyle name="Currency 4 2 2 6" xfId="943"/>
    <cellStyle name="Currency 4 2 2 7" xfId="644"/>
    <cellStyle name="Currency 4 2 3" xfId="185"/>
    <cellStyle name="Currency 4 2 3 2" xfId="186"/>
    <cellStyle name="Currency 4 2 3 2 2" xfId="187"/>
    <cellStyle name="Currency 4 2 3 2 2 2" xfId="944"/>
    <cellStyle name="Currency 4 2 3 2 3" xfId="649"/>
    <cellStyle name="Currency 4 2 3 3" xfId="188"/>
    <cellStyle name="Currency 4 2 3 3 2" xfId="945"/>
    <cellStyle name="Currency 4 2 3 4" xfId="648"/>
    <cellStyle name="Currency 4 2 4" xfId="189"/>
    <cellStyle name="Currency 4 2 4 2" xfId="190"/>
    <cellStyle name="Currency 4 2 4 2 2" xfId="191"/>
    <cellStyle name="Currency 4 2 4 2 2 2" xfId="946"/>
    <cellStyle name="Currency 4 2 4 2 3" xfId="651"/>
    <cellStyle name="Currency 4 2 4 3" xfId="192"/>
    <cellStyle name="Currency 4 2 4 3 2" xfId="947"/>
    <cellStyle name="Currency 4 2 4 4" xfId="650"/>
    <cellStyle name="Currency 4 2 5" xfId="193"/>
    <cellStyle name="Currency 4 2 5 2" xfId="194"/>
    <cellStyle name="Currency 4 2 5 2 2" xfId="948"/>
    <cellStyle name="Currency 4 2 5 3" xfId="652"/>
    <cellStyle name="Currency 4 2 6" xfId="195"/>
    <cellStyle name="Currency 4 2 6 2" xfId="950"/>
    <cellStyle name="Currency 4 2 6 3" xfId="949"/>
    <cellStyle name="Currency 4 2 7" xfId="951"/>
    <cellStyle name="Currency 4 2 8" xfId="952"/>
    <cellStyle name="Currency 4 2 9" xfId="643"/>
    <cellStyle name="Currency 4 3" xfId="196"/>
    <cellStyle name="Currency 4 3 2" xfId="197"/>
    <cellStyle name="Currency 4 3 2 2" xfId="198"/>
    <cellStyle name="Currency 4 3 2 2 2" xfId="199"/>
    <cellStyle name="Currency 4 3 2 2 2 2" xfId="953"/>
    <cellStyle name="Currency 4 3 2 2 3" xfId="655"/>
    <cellStyle name="Currency 4 3 2 3" xfId="200"/>
    <cellStyle name="Currency 4 3 2 3 2" xfId="954"/>
    <cellStyle name="Currency 4 3 2 4" xfId="654"/>
    <cellStyle name="Currency 4 3 3" xfId="201"/>
    <cellStyle name="Currency 4 3 3 2" xfId="202"/>
    <cellStyle name="Currency 4 3 3 2 2" xfId="955"/>
    <cellStyle name="Currency 4 3 3 3" xfId="656"/>
    <cellStyle name="Currency 4 3 4" xfId="203"/>
    <cellStyle name="Currency 4 3 4 2" xfId="957"/>
    <cellStyle name="Currency 4 3 4 3" xfId="956"/>
    <cellStyle name="Currency 4 3 5" xfId="958"/>
    <cellStyle name="Currency 4 3 6" xfId="959"/>
    <cellStyle name="Currency 4 3 7" xfId="653"/>
    <cellStyle name="Currency 4 4" xfId="204"/>
    <cellStyle name="Currency 4 4 2" xfId="205"/>
    <cellStyle name="Currency 4 4 2 2" xfId="206"/>
    <cellStyle name="Currency 4 4 2 2 2" xfId="960"/>
    <cellStyle name="Currency 4 4 2 3" xfId="658"/>
    <cellStyle name="Currency 4 4 3" xfId="207"/>
    <cellStyle name="Currency 4 4 3 2" xfId="961"/>
    <cellStyle name="Currency 4 4 4" xfId="657"/>
    <cellStyle name="Currency 4 5" xfId="208"/>
    <cellStyle name="Currency 4 5 2" xfId="209"/>
    <cellStyle name="Currency 4 5 2 2" xfId="210"/>
    <cellStyle name="Currency 4 5 2 2 2" xfId="962"/>
    <cellStyle name="Currency 4 5 2 3" xfId="660"/>
    <cellStyle name="Currency 4 5 3" xfId="211"/>
    <cellStyle name="Currency 4 5 3 2" xfId="963"/>
    <cellStyle name="Currency 4 5 4" xfId="659"/>
    <cellStyle name="Currency 4 6" xfId="212"/>
    <cellStyle name="Currency 4 6 2" xfId="213"/>
    <cellStyle name="Currency 4 6 2 2" xfId="964"/>
    <cellStyle name="Currency 4 6 3" xfId="661"/>
    <cellStyle name="Currency 4 7" xfId="214"/>
    <cellStyle name="Currency 4 7 2" xfId="966"/>
    <cellStyle name="Currency 4 7 3" xfId="965"/>
    <cellStyle name="Currency 4 8" xfId="967"/>
    <cellStyle name="Currency 4 9" xfId="968"/>
    <cellStyle name="Currency 5" xfId="215"/>
    <cellStyle name="Currency 5 2" xfId="216"/>
    <cellStyle name="Currency 5 2 2" xfId="217"/>
    <cellStyle name="Currency 5 2 2 2" xfId="218"/>
    <cellStyle name="Currency 5 2 2 2 2" xfId="969"/>
    <cellStyle name="Currency 5 2 2 3" xfId="664"/>
    <cellStyle name="Currency 5 2 3" xfId="219"/>
    <cellStyle name="Currency 5 2 3 2" xfId="970"/>
    <cellStyle name="Currency 5 2 4" xfId="971"/>
    <cellStyle name="Currency 5 2 5" xfId="663"/>
    <cellStyle name="Currency 5 3" xfId="220"/>
    <cellStyle name="Currency 5 3 2" xfId="973"/>
    <cellStyle name="Currency 5 3 3" xfId="974"/>
    <cellStyle name="Currency 5 3 4" xfId="972"/>
    <cellStyle name="Currency 5 4" xfId="221"/>
    <cellStyle name="Currency 5 4 2" xfId="222"/>
    <cellStyle name="Currency 5 4 2 2" xfId="975"/>
    <cellStyle name="Currency 5 4 3" xfId="665"/>
    <cellStyle name="Currency 5 5" xfId="223"/>
    <cellStyle name="Currency 5 5 2" xfId="977"/>
    <cellStyle name="Currency 5 5 3" xfId="976"/>
    <cellStyle name="Currency 5 6" xfId="662"/>
    <cellStyle name="Currency 6" xfId="224"/>
    <cellStyle name="Currency 6 2" xfId="225"/>
    <cellStyle name="Currency 6 2 2" xfId="226"/>
    <cellStyle name="Currency 6 2 2 2" xfId="227"/>
    <cellStyle name="Currency 6 2 2 2 2" xfId="978"/>
    <cellStyle name="Currency 6 2 2 3" xfId="668"/>
    <cellStyle name="Currency 6 2 3" xfId="228"/>
    <cellStyle name="Currency 6 2 3 2" xfId="979"/>
    <cellStyle name="Currency 6 2 4" xfId="980"/>
    <cellStyle name="Currency 6 2 5" xfId="667"/>
    <cellStyle name="Currency 6 3" xfId="229"/>
    <cellStyle name="Currency 6 3 2" xfId="230"/>
    <cellStyle name="Currency 6 3 2 2" xfId="981"/>
    <cellStyle name="Currency 6 3 3" xfId="669"/>
    <cellStyle name="Currency 6 4" xfId="231"/>
    <cellStyle name="Currency 6 4 2" xfId="982"/>
    <cellStyle name="Currency 6 5" xfId="983"/>
    <cellStyle name="Currency 6 6" xfId="666"/>
    <cellStyle name="Currency 7" xfId="232"/>
    <cellStyle name="Currency 8" xfId="233"/>
    <cellStyle name="Hyperlink" xfId="2" builtinId="8"/>
    <cellStyle name="Hyperlink 2" xfId="15"/>
    <cellStyle name="Hyperlink 3" xfId="1223"/>
    <cellStyle name="Normal" xfId="0" builtinId="0"/>
    <cellStyle name="Normal 10" xfId="21"/>
    <cellStyle name="Normal 11" xfId="22"/>
    <cellStyle name="Normal 11 2" xfId="234"/>
    <cellStyle name="Normal 2" xfId="3"/>
    <cellStyle name="Normal 2 2" xfId="830"/>
    <cellStyle name="Normal 3" xfId="4"/>
    <cellStyle name="Normal 3 10" xfId="984"/>
    <cellStyle name="Normal 3 11" xfId="561"/>
    <cellStyle name="Normal 3 12" xfId="1212"/>
    <cellStyle name="Normal 3 2" xfId="14"/>
    <cellStyle name="Normal 3 2 10" xfId="562"/>
    <cellStyle name="Normal 3 2 11" xfId="1213"/>
    <cellStyle name="Normal 3 2 2" xfId="18"/>
    <cellStyle name="Normal 3 2 2 2" xfId="235"/>
    <cellStyle name="Normal 3 2 2 2 2" xfId="236"/>
    <cellStyle name="Normal 3 2 2 2 2 2" xfId="237"/>
    <cellStyle name="Normal 3 2 2 2 2 2 2" xfId="238"/>
    <cellStyle name="Normal 3 2 2 2 2 2 2 2" xfId="985"/>
    <cellStyle name="Normal 3 2 2 2 2 2 3" xfId="672"/>
    <cellStyle name="Normal 3 2 2 2 2 3" xfId="239"/>
    <cellStyle name="Normal 3 2 2 2 2 3 2" xfId="986"/>
    <cellStyle name="Normal 3 2 2 2 2 4" xfId="671"/>
    <cellStyle name="Normal 3 2 2 2 3" xfId="240"/>
    <cellStyle name="Normal 3 2 2 2 3 2" xfId="241"/>
    <cellStyle name="Normal 3 2 2 2 3 2 2" xfId="987"/>
    <cellStyle name="Normal 3 2 2 2 3 3" xfId="673"/>
    <cellStyle name="Normal 3 2 2 2 4" xfId="242"/>
    <cellStyle name="Normal 3 2 2 2 4 2" xfId="988"/>
    <cellStyle name="Normal 3 2 2 2 5" xfId="670"/>
    <cellStyle name="Normal 3 2 2 3" xfId="243"/>
    <cellStyle name="Normal 3 2 2 3 2" xfId="244"/>
    <cellStyle name="Normal 3 2 2 3 2 2" xfId="245"/>
    <cellStyle name="Normal 3 2 2 3 2 2 2" xfId="989"/>
    <cellStyle name="Normal 3 2 2 3 2 3" xfId="675"/>
    <cellStyle name="Normal 3 2 2 3 3" xfId="246"/>
    <cellStyle name="Normal 3 2 2 3 3 2" xfId="990"/>
    <cellStyle name="Normal 3 2 2 3 4" xfId="674"/>
    <cellStyle name="Normal 3 2 2 4" xfId="247"/>
    <cellStyle name="Normal 3 2 2 4 2" xfId="248"/>
    <cellStyle name="Normal 3 2 2 4 2 2" xfId="991"/>
    <cellStyle name="Normal 3 2 2 4 3" xfId="676"/>
    <cellStyle name="Normal 3 2 2 5" xfId="249"/>
    <cellStyle name="Normal 3 2 2 5 2" xfId="993"/>
    <cellStyle name="Normal 3 2 2 5 3" xfId="992"/>
    <cellStyle name="Normal 3 2 2 6" xfId="994"/>
    <cellStyle name="Normal 3 2 2 7" xfId="995"/>
    <cellStyle name="Normal 3 2 2 8" xfId="565"/>
    <cellStyle name="Normal 3 2 2 9" xfId="1216"/>
    <cellStyle name="Normal 3 2 3" xfId="250"/>
    <cellStyle name="Normal 3 2 3 2" xfId="251"/>
    <cellStyle name="Normal 3 2 3 2 2" xfId="252"/>
    <cellStyle name="Normal 3 2 3 2 2 2" xfId="253"/>
    <cellStyle name="Normal 3 2 3 2 2 2 2" xfId="996"/>
    <cellStyle name="Normal 3 2 3 2 2 3" xfId="679"/>
    <cellStyle name="Normal 3 2 3 2 3" xfId="254"/>
    <cellStyle name="Normal 3 2 3 2 3 2" xfId="997"/>
    <cellStyle name="Normal 3 2 3 2 4" xfId="678"/>
    <cellStyle name="Normal 3 2 3 3" xfId="255"/>
    <cellStyle name="Normal 3 2 3 3 2" xfId="256"/>
    <cellStyle name="Normal 3 2 3 3 2 2" xfId="998"/>
    <cellStyle name="Normal 3 2 3 3 3" xfId="680"/>
    <cellStyle name="Normal 3 2 3 4" xfId="257"/>
    <cellStyle name="Normal 3 2 3 4 2" xfId="999"/>
    <cellStyle name="Normal 3 2 3 5" xfId="677"/>
    <cellStyle name="Normal 3 2 3 6" xfId="1218"/>
    <cellStyle name="Normal 3 2 4" xfId="258"/>
    <cellStyle name="Normal 3 2 4 2" xfId="259"/>
    <cellStyle name="Normal 3 2 4 2 2" xfId="260"/>
    <cellStyle name="Normal 3 2 4 2 2 2" xfId="1000"/>
    <cellStyle name="Normal 3 2 4 2 3" xfId="682"/>
    <cellStyle name="Normal 3 2 4 3" xfId="261"/>
    <cellStyle name="Normal 3 2 4 3 2" xfId="1001"/>
    <cellStyle name="Normal 3 2 4 4" xfId="681"/>
    <cellStyle name="Normal 3 2 4 5" xfId="1220"/>
    <cellStyle name="Normal 3 2 5" xfId="262"/>
    <cellStyle name="Normal 3 2 5 2" xfId="263"/>
    <cellStyle name="Normal 3 2 5 2 2" xfId="264"/>
    <cellStyle name="Normal 3 2 5 2 2 2" xfId="1002"/>
    <cellStyle name="Normal 3 2 5 2 3" xfId="684"/>
    <cellStyle name="Normal 3 2 5 3" xfId="265"/>
    <cellStyle name="Normal 3 2 5 3 2" xfId="1003"/>
    <cellStyle name="Normal 3 2 5 4" xfId="683"/>
    <cellStyle name="Normal 3 2 5 5" xfId="1222"/>
    <cellStyle name="Normal 3 2 6" xfId="266"/>
    <cellStyle name="Normal 3 2 6 2" xfId="267"/>
    <cellStyle name="Normal 3 2 6 2 2" xfId="1004"/>
    <cellStyle name="Normal 3 2 6 3" xfId="685"/>
    <cellStyle name="Normal 3 2 6 4" xfId="1225"/>
    <cellStyle name="Normal 3 2 7" xfId="268"/>
    <cellStyle name="Normal 3 2 7 2" xfId="1006"/>
    <cellStyle name="Normal 3 2 7 3" xfId="1005"/>
    <cellStyle name="Normal 3 2 8" xfId="1007"/>
    <cellStyle name="Normal 3 2 9" xfId="1008"/>
    <cellStyle name="Normal 3 3" xfId="269"/>
    <cellStyle name="Normal 3 3 10" xfId="1215"/>
    <cellStyle name="Normal 3 3 2" xfId="270"/>
    <cellStyle name="Normal 3 3 2 2" xfId="271"/>
    <cellStyle name="Normal 3 3 2 2 2" xfId="272"/>
    <cellStyle name="Normal 3 3 2 2 2 2" xfId="273"/>
    <cellStyle name="Normal 3 3 2 2 2 2 2" xfId="1009"/>
    <cellStyle name="Normal 3 3 2 2 2 3" xfId="689"/>
    <cellStyle name="Normal 3 3 2 2 3" xfId="274"/>
    <cellStyle name="Normal 3 3 2 2 3 2" xfId="1010"/>
    <cellStyle name="Normal 3 3 2 2 4" xfId="688"/>
    <cellStyle name="Normal 3 3 2 3" xfId="275"/>
    <cellStyle name="Normal 3 3 2 3 2" xfId="276"/>
    <cellStyle name="Normal 3 3 2 3 2 2" xfId="1011"/>
    <cellStyle name="Normal 3 3 2 3 3" xfId="690"/>
    <cellStyle name="Normal 3 3 2 4" xfId="277"/>
    <cellStyle name="Normal 3 3 2 4 2" xfId="1012"/>
    <cellStyle name="Normal 3 3 2 5" xfId="687"/>
    <cellStyle name="Normal 3 3 3" xfId="278"/>
    <cellStyle name="Normal 3 3 3 2" xfId="279"/>
    <cellStyle name="Normal 3 3 3 2 2" xfId="280"/>
    <cellStyle name="Normal 3 3 3 2 2 2" xfId="1013"/>
    <cellStyle name="Normal 3 3 3 2 3" xfId="692"/>
    <cellStyle name="Normal 3 3 3 3" xfId="281"/>
    <cellStyle name="Normal 3 3 3 3 2" xfId="1014"/>
    <cellStyle name="Normal 3 3 3 4" xfId="691"/>
    <cellStyle name="Normal 3 3 4" xfId="282"/>
    <cellStyle name="Normal 3 3 4 2" xfId="283"/>
    <cellStyle name="Normal 3 3 4 2 2" xfId="284"/>
    <cellStyle name="Normal 3 3 4 2 2 2" xfId="1015"/>
    <cellStyle name="Normal 3 3 4 2 3" xfId="694"/>
    <cellStyle name="Normal 3 3 4 3" xfId="285"/>
    <cellStyle name="Normal 3 3 4 3 2" xfId="1016"/>
    <cellStyle name="Normal 3 3 4 4" xfId="693"/>
    <cellStyle name="Normal 3 3 5" xfId="286"/>
    <cellStyle name="Normal 3 3 5 2" xfId="287"/>
    <cellStyle name="Normal 3 3 5 2 2" xfId="1017"/>
    <cellStyle name="Normal 3 3 5 3" xfId="695"/>
    <cellStyle name="Normal 3 3 6" xfId="288"/>
    <cellStyle name="Normal 3 3 6 2" xfId="1019"/>
    <cellStyle name="Normal 3 3 6 3" xfId="1018"/>
    <cellStyle name="Normal 3 3 7" xfId="1020"/>
    <cellStyle name="Normal 3 3 8" xfId="1021"/>
    <cellStyle name="Normal 3 3 9" xfId="686"/>
    <cellStyle name="Normal 3 4" xfId="289"/>
    <cellStyle name="Normal 3 4 2" xfId="290"/>
    <cellStyle name="Normal 3 4 2 2" xfId="291"/>
    <cellStyle name="Normal 3 4 2 2 2" xfId="292"/>
    <cellStyle name="Normal 3 4 2 2 2 2" xfId="1022"/>
    <cellStyle name="Normal 3 4 2 2 3" xfId="698"/>
    <cellStyle name="Normal 3 4 2 3" xfId="293"/>
    <cellStyle name="Normal 3 4 2 3 2" xfId="1023"/>
    <cellStyle name="Normal 3 4 2 4" xfId="697"/>
    <cellStyle name="Normal 3 4 3" xfId="294"/>
    <cellStyle name="Normal 3 4 3 2" xfId="295"/>
    <cellStyle name="Normal 3 4 3 2 2" xfId="296"/>
    <cellStyle name="Normal 3 4 3 2 2 2" xfId="1024"/>
    <cellStyle name="Normal 3 4 3 2 3" xfId="700"/>
    <cellStyle name="Normal 3 4 3 3" xfId="297"/>
    <cellStyle name="Normal 3 4 3 3 2" xfId="1025"/>
    <cellStyle name="Normal 3 4 3 4" xfId="699"/>
    <cellStyle name="Normal 3 4 4" xfId="298"/>
    <cellStyle name="Normal 3 4 4 2" xfId="299"/>
    <cellStyle name="Normal 3 4 4 2 2" xfId="1026"/>
    <cellStyle name="Normal 3 4 4 3" xfId="701"/>
    <cellStyle name="Normal 3 4 5" xfId="300"/>
    <cellStyle name="Normal 3 4 5 2" xfId="1028"/>
    <cellStyle name="Normal 3 4 5 3" xfId="1027"/>
    <cellStyle name="Normal 3 4 6" xfId="1029"/>
    <cellStyle name="Normal 3 4 7" xfId="1030"/>
    <cellStyle name="Normal 3 4 8" xfId="696"/>
    <cellStyle name="Normal 3 4 9" xfId="1217"/>
    <cellStyle name="Normal 3 5" xfId="301"/>
    <cellStyle name="Normal 3 5 2" xfId="302"/>
    <cellStyle name="Normal 3 5 2 2" xfId="303"/>
    <cellStyle name="Normal 3 5 2 2 2" xfId="1031"/>
    <cellStyle name="Normal 3 5 2 3" xfId="703"/>
    <cellStyle name="Normal 3 5 3" xfId="304"/>
    <cellStyle name="Normal 3 5 3 2" xfId="1032"/>
    <cellStyle name="Normal 3 5 4" xfId="702"/>
    <cellStyle name="Normal 3 5 5" xfId="1219"/>
    <cellStyle name="Normal 3 6" xfId="305"/>
    <cellStyle name="Normal 3 6 2" xfId="306"/>
    <cellStyle name="Normal 3 6 2 2" xfId="307"/>
    <cellStyle name="Normal 3 6 2 2 2" xfId="1033"/>
    <cellStyle name="Normal 3 6 2 3" xfId="705"/>
    <cellStyle name="Normal 3 6 3" xfId="308"/>
    <cellStyle name="Normal 3 6 3 2" xfId="1034"/>
    <cellStyle name="Normal 3 6 4" xfId="704"/>
    <cellStyle name="Normal 3 6 5" xfId="1221"/>
    <cellStyle name="Normal 3 7" xfId="309"/>
    <cellStyle name="Normal 3 7 2" xfId="310"/>
    <cellStyle name="Normal 3 7 2 2" xfId="1035"/>
    <cellStyle name="Normal 3 7 3" xfId="706"/>
    <cellStyle name="Normal 3 7 4" xfId="1224"/>
    <cellStyle name="Normal 3 8" xfId="311"/>
    <cellStyle name="Normal 3 8 2" xfId="1037"/>
    <cellStyle name="Normal 3 8 3" xfId="1036"/>
    <cellStyle name="Normal 3 9" xfId="1038"/>
    <cellStyle name="Normal 4" xfId="16"/>
    <cellStyle name="Normal 4 10" xfId="1039"/>
    <cellStyle name="Normal 4 11" xfId="563"/>
    <cellStyle name="Normal 4 12" xfId="1214"/>
    <cellStyle name="Normal 4 2" xfId="312"/>
    <cellStyle name="Normal 4 2 10" xfId="707"/>
    <cellStyle name="Normal 4 2 2" xfId="313"/>
    <cellStyle name="Normal 4 2 2 2" xfId="314"/>
    <cellStyle name="Normal 4 2 2 2 2" xfId="315"/>
    <cellStyle name="Normal 4 2 2 2 2 2" xfId="316"/>
    <cellStyle name="Normal 4 2 2 2 2 2 2" xfId="317"/>
    <cellStyle name="Normal 4 2 2 2 2 2 2 2" xfId="1040"/>
    <cellStyle name="Normal 4 2 2 2 2 2 3" xfId="711"/>
    <cellStyle name="Normal 4 2 2 2 2 3" xfId="318"/>
    <cellStyle name="Normal 4 2 2 2 2 3 2" xfId="1041"/>
    <cellStyle name="Normal 4 2 2 2 2 4" xfId="710"/>
    <cellStyle name="Normal 4 2 2 2 3" xfId="319"/>
    <cellStyle name="Normal 4 2 2 2 3 2" xfId="320"/>
    <cellStyle name="Normal 4 2 2 2 3 2 2" xfId="1042"/>
    <cellStyle name="Normal 4 2 2 2 3 3" xfId="712"/>
    <cellStyle name="Normal 4 2 2 2 4" xfId="321"/>
    <cellStyle name="Normal 4 2 2 2 4 2" xfId="1043"/>
    <cellStyle name="Normal 4 2 2 2 5" xfId="709"/>
    <cellStyle name="Normal 4 2 2 3" xfId="322"/>
    <cellStyle name="Normal 4 2 2 3 2" xfId="323"/>
    <cellStyle name="Normal 4 2 2 3 2 2" xfId="324"/>
    <cellStyle name="Normal 4 2 2 3 2 2 2" xfId="1044"/>
    <cellStyle name="Normal 4 2 2 3 2 3" xfId="714"/>
    <cellStyle name="Normal 4 2 2 3 3" xfId="325"/>
    <cellStyle name="Normal 4 2 2 3 3 2" xfId="1045"/>
    <cellStyle name="Normal 4 2 2 3 4" xfId="713"/>
    <cellStyle name="Normal 4 2 2 4" xfId="326"/>
    <cellStyle name="Normal 4 2 2 4 2" xfId="327"/>
    <cellStyle name="Normal 4 2 2 4 2 2" xfId="1046"/>
    <cellStyle name="Normal 4 2 2 4 3" xfId="715"/>
    <cellStyle name="Normal 4 2 2 5" xfId="328"/>
    <cellStyle name="Normal 4 2 2 5 2" xfId="1048"/>
    <cellStyle name="Normal 4 2 2 5 3" xfId="1047"/>
    <cellStyle name="Normal 4 2 2 6" xfId="1049"/>
    <cellStyle name="Normal 4 2 2 7" xfId="1050"/>
    <cellStyle name="Normal 4 2 2 8" xfId="708"/>
    <cellStyle name="Normal 4 2 3" xfId="329"/>
    <cellStyle name="Normal 4 2 3 2" xfId="330"/>
    <cellStyle name="Normal 4 2 3 2 2" xfId="331"/>
    <cellStyle name="Normal 4 2 3 2 2 2" xfId="332"/>
    <cellStyle name="Normal 4 2 3 2 2 2 2" xfId="1051"/>
    <cellStyle name="Normal 4 2 3 2 2 3" xfId="718"/>
    <cellStyle name="Normal 4 2 3 2 3" xfId="333"/>
    <cellStyle name="Normal 4 2 3 2 3 2" xfId="1052"/>
    <cellStyle name="Normal 4 2 3 2 4" xfId="717"/>
    <cellStyle name="Normal 4 2 3 3" xfId="334"/>
    <cellStyle name="Normal 4 2 3 3 2" xfId="335"/>
    <cellStyle name="Normal 4 2 3 3 2 2" xfId="1053"/>
    <cellStyle name="Normal 4 2 3 3 3" xfId="719"/>
    <cellStyle name="Normal 4 2 3 4" xfId="336"/>
    <cellStyle name="Normal 4 2 3 4 2" xfId="1054"/>
    <cellStyle name="Normal 4 2 3 5" xfId="716"/>
    <cellStyle name="Normal 4 2 4" xfId="337"/>
    <cellStyle name="Normal 4 2 4 2" xfId="338"/>
    <cellStyle name="Normal 4 2 4 2 2" xfId="339"/>
    <cellStyle name="Normal 4 2 4 2 2 2" xfId="1055"/>
    <cellStyle name="Normal 4 2 4 2 3" xfId="721"/>
    <cellStyle name="Normal 4 2 4 3" xfId="340"/>
    <cellStyle name="Normal 4 2 4 3 2" xfId="1056"/>
    <cellStyle name="Normal 4 2 4 4" xfId="720"/>
    <cellStyle name="Normal 4 2 5" xfId="341"/>
    <cellStyle name="Normal 4 2 5 2" xfId="342"/>
    <cellStyle name="Normal 4 2 5 2 2" xfId="343"/>
    <cellStyle name="Normal 4 2 5 2 2 2" xfId="1057"/>
    <cellStyle name="Normal 4 2 5 2 3" xfId="723"/>
    <cellStyle name="Normal 4 2 5 3" xfId="344"/>
    <cellStyle name="Normal 4 2 5 3 2" xfId="1058"/>
    <cellStyle name="Normal 4 2 5 4" xfId="722"/>
    <cellStyle name="Normal 4 2 6" xfId="345"/>
    <cellStyle name="Normal 4 2 6 2" xfId="346"/>
    <cellStyle name="Normal 4 2 6 2 2" xfId="1059"/>
    <cellStyle name="Normal 4 2 6 3" xfId="724"/>
    <cellStyle name="Normal 4 2 7" xfId="347"/>
    <cellStyle name="Normal 4 2 7 2" xfId="1061"/>
    <cellStyle name="Normal 4 2 7 3" xfId="1060"/>
    <cellStyle name="Normal 4 2 8" xfId="1062"/>
    <cellStyle name="Normal 4 2 9" xfId="1063"/>
    <cellStyle name="Normal 4 3" xfId="348"/>
    <cellStyle name="Normal 4 3 2" xfId="349"/>
    <cellStyle name="Normal 4 3 2 2" xfId="350"/>
    <cellStyle name="Normal 4 3 2 2 2" xfId="351"/>
    <cellStyle name="Normal 4 3 2 2 2 2" xfId="352"/>
    <cellStyle name="Normal 4 3 2 2 2 2 2" xfId="1064"/>
    <cellStyle name="Normal 4 3 2 2 2 3" xfId="728"/>
    <cellStyle name="Normal 4 3 2 2 3" xfId="353"/>
    <cellStyle name="Normal 4 3 2 2 3 2" xfId="1065"/>
    <cellStyle name="Normal 4 3 2 2 4" xfId="727"/>
    <cellStyle name="Normal 4 3 2 3" xfId="354"/>
    <cellStyle name="Normal 4 3 2 3 2" xfId="355"/>
    <cellStyle name="Normal 4 3 2 3 2 2" xfId="1066"/>
    <cellStyle name="Normal 4 3 2 3 3" xfId="729"/>
    <cellStyle name="Normal 4 3 2 4" xfId="356"/>
    <cellStyle name="Normal 4 3 2 4 2" xfId="1067"/>
    <cellStyle name="Normal 4 3 2 5" xfId="726"/>
    <cellStyle name="Normal 4 3 3" xfId="357"/>
    <cellStyle name="Normal 4 3 3 2" xfId="358"/>
    <cellStyle name="Normal 4 3 3 2 2" xfId="359"/>
    <cellStyle name="Normal 4 3 3 2 2 2" xfId="1068"/>
    <cellStyle name="Normal 4 3 3 2 3" xfId="731"/>
    <cellStyle name="Normal 4 3 3 3" xfId="360"/>
    <cellStyle name="Normal 4 3 3 3 2" xfId="1069"/>
    <cellStyle name="Normal 4 3 3 4" xfId="730"/>
    <cellStyle name="Normal 4 3 4" xfId="361"/>
    <cellStyle name="Normal 4 3 4 2" xfId="362"/>
    <cellStyle name="Normal 4 3 4 2 2" xfId="363"/>
    <cellStyle name="Normal 4 3 4 2 2 2" xfId="1070"/>
    <cellStyle name="Normal 4 3 4 2 3" xfId="733"/>
    <cellStyle name="Normal 4 3 4 3" xfId="364"/>
    <cellStyle name="Normal 4 3 4 3 2" xfId="1071"/>
    <cellStyle name="Normal 4 3 4 4" xfId="732"/>
    <cellStyle name="Normal 4 3 5" xfId="365"/>
    <cellStyle name="Normal 4 3 5 2" xfId="366"/>
    <cellStyle name="Normal 4 3 5 2 2" xfId="1072"/>
    <cellStyle name="Normal 4 3 5 3" xfId="734"/>
    <cellStyle name="Normal 4 3 6" xfId="367"/>
    <cellStyle name="Normal 4 3 6 2" xfId="1074"/>
    <cellStyle name="Normal 4 3 6 3" xfId="1073"/>
    <cellStyle name="Normal 4 3 7" xfId="1075"/>
    <cellStyle name="Normal 4 3 8" xfId="1076"/>
    <cellStyle name="Normal 4 3 9" xfId="725"/>
    <cellStyle name="Normal 4 4" xfId="368"/>
    <cellStyle name="Normal 4 4 2" xfId="369"/>
    <cellStyle name="Normal 4 4 2 2" xfId="370"/>
    <cellStyle name="Normal 4 4 2 2 2" xfId="371"/>
    <cellStyle name="Normal 4 4 2 2 2 2" xfId="1077"/>
    <cellStyle name="Normal 4 4 2 2 3" xfId="737"/>
    <cellStyle name="Normal 4 4 2 3" xfId="372"/>
    <cellStyle name="Normal 4 4 2 3 2" xfId="1078"/>
    <cellStyle name="Normal 4 4 2 4" xfId="736"/>
    <cellStyle name="Normal 4 4 3" xfId="373"/>
    <cellStyle name="Normal 4 4 3 2" xfId="374"/>
    <cellStyle name="Normal 4 4 3 2 2" xfId="1079"/>
    <cellStyle name="Normal 4 4 3 3" xfId="738"/>
    <cellStyle name="Normal 4 4 4" xfId="375"/>
    <cellStyle name="Normal 4 4 4 2" xfId="1081"/>
    <cellStyle name="Normal 4 4 4 3" xfId="1080"/>
    <cellStyle name="Normal 4 4 5" xfId="1082"/>
    <cellStyle name="Normal 4 4 6" xfId="1083"/>
    <cellStyle name="Normal 4 4 7" xfId="735"/>
    <cellStyle name="Normal 4 5" xfId="376"/>
    <cellStyle name="Normal 4 5 2" xfId="377"/>
    <cellStyle name="Normal 4 5 2 2" xfId="378"/>
    <cellStyle name="Normal 4 5 2 2 2" xfId="1084"/>
    <cellStyle name="Normal 4 5 2 3" xfId="740"/>
    <cellStyle name="Normal 4 5 3" xfId="379"/>
    <cellStyle name="Normal 4 5 3 2" xfId="1085"/>
    <cellStyle name="Normal 4 5 4" xfId="739"/>
    <cellStyle name="Normal 4 6" xfId="380"/>
    <cellStyle name="Normal 4 6 2" xfId="381"/>
    <cellStyle name="Normal 4 6 2 2" xfId="382"/>
    <cellStyle name="Normal 4 6 2 2 2" xfId="1086"/>
    <cellStyle name="Normal 4 6 2 3" xfId="742"/>
    <cellStyle name="Normal 4 6 3" xfId="383"/>
    <cellStyle name="Normal 4 6 3 2" xfId="1087"/>
    <cellStyle name="Normal 4 6 4" xfId="741"/>
    <cellStyle name="Normal 4 7" xfId="384"/>
    <cellStyle name="Normal 4 7 2" xfId="385"/>
    <cellStyle name="Normal 4 7 2 2" xfId="1088"/>
    <cellStyle name="Normal 4 7 3" xfId="743"/>
    <cellStyle name="Normal 4 8" xfId="386"/>
    <cellStyle name="Normal 4 8 2" xfId="1090"/>
    <cellStyle name="Normal 4 8 3" xfId="1089"/>
    <cellStyle name="Normal 4 9" xfId="1091"/>
    <cellStyle name="Normal 5" xfId="17"/>
    <cellStyle name="Normal 5 10" xfId="564"/>
    <cellStyle name="Normal 5 2" xfId="387"/>
    <cellStyle name="Normal 5 2 2" xfId="388"/>
    <cellStyle name="Normal 5 2 2 2" xfId="389"/>
    <cellStyle name="Normal 5 2 2 2 2" xfId="390"/>
    <cellStyle name="Normal 5 2 2 2 2 2" xfId="391"/>
    <cellStyle name="Normal 5 2 2 2 2 2 2" xfId="1092"/>
    <cellStyle name="Normal 5 2 2 2 2 3" xfId="747"/>
    <cellStyle name="Normal 5 2 2 2 3" xfId="392"/>
    <cellStyle name="Normal 5 2 2 2 3 2" xfId="1093"/>
    <cellStyle name="Normal 5 2 2 2 4" xfId="746"/>
    <cellStyle name="Normal 5 2 2 3" xfId="393"/>
    <cellStyle name="Normal 5 2 2 3 2" xfId="394"/>
    <cellStyle name="Normal 5 2 2 3 2 2" xfId="1094"/>
    <cellStyle name="Normal 5 2 2 3 3" xfId="748"/>
    <cellStyle name="Normal 5 2 2 4" xfId="395"/>
    <cellStyle name="Normal 5 2 2 4 2" xfId="1096"/>
    <cellStyle name="Normal 5 2 2 4 3" xfId="1095"/>
    <cellStyle name="Normal 5 2 2 5" xfId="1097"/>
    <cellStyle name="Normal 5 2 2 6" xfId="1098"/>
    <cellStyle name="Normal 5 2 2 7" xfId="745"/>
    <cellStyle name="Normal 5 2 3" xfId="396"/>
    <cellStyle name="Normal 5 2 3 2" xfId="397"/>
    <cellStyle name="Normal 5 2 3 2 2" xfId="398"/>
    <cellStyle name="Normal 5 2 3 2 2 2" xfId="1099"/>
    <cellStyle name="Normal 5 2 3 2 3" xfId="750"/>
    <cellStyle name="Normal 5 2 3 3" xfId="399"/>
    <cellStyle name="Normal 5 2 3 3 2" xfId="1100"/>
    <cellStyle name="Normal 5 2 3 4" xfId="749"/>
    <cellStyle name="Normal 5 2 4" xfId="400"/>
    <cellStyle name="Normal 5 2 4 2" xfId="401"/>
    <cellStyle name="Normal 5 2 4 2 2" xfId="402"/>
    <cellStyle name="Normal 5 2 4 2 2 2" xfId="1101"/>
    <cellStyle name="Normal 5 2 4 2 3" xfId="752"/>
    <cellStyle name="Normal 5 2 4 3" xfId="403"/>
    <cellStyle name="Normal 5 2 4 3 2" xfId="1102"/>
    <cellStyle name="Normal 5 2 4 4" xfId="751"/>
    <cellStyle name="Normal 5 2 5" xfId="404"/>
    <cellStyle name="Normal 5 2 5 2" xfId="405"/>
    <cellStyle name="Normal 5 2 5 2 2" xfId="1103"/>
    <cellStyle name="Normal 5 2 5 3" xfId="753"/>
    <cellStyle name="Normal 5 2 6" xfId="406"/>
    <cellStyle name="Normal 5 2 6 2" xfId="1105"/>
    <cellStyle name="Normal 5 2 6 3" xfId="1104"/>
    <cellStyle name="Normal 5 2 7" xfId="1106"/>
    <cellStyle name="Normal 5 2 8" xfId="1107"/>
    <cellStyle name="Normal 5 2 9" xfId="744"/>
    <cellStyle name="Normal 5 3" xfId="407"/>
    <cellStyle name="Normal 5 3 2" xfId="408"/>
    <cellStyle name="Normal 5 3 2 2" xfId="409"/>
    <cellStyle name="Normal 5 3 2 2 2" xfId="410"/>
    <cellStyle name="Normal 5 3 2 2 2 2" xfId="1108"/>
    <cellStyle name="Normal 5 3 2 2 3" xfId="756"/>
    <cellStyle name="Normal 5 3 2 3" xfId="411"/>
    <cellStyle name="Normal 5 3 2 3 2" xfId="1109"/>
    <cellStyle name="Normal 5 3 2 4" xfId="755"/>
    <cellStyle name="Normal 5 3 3" xfId="412"/>
    <cellStyle name="Normal 5 3 3 2" xfId="413"/>
    <cellStyle name="Normal 5 3 3 2 2" xfId="1110"/>
    <cellStyle name="Normal 5 3 3 3" xfId="757"/>
    <cellStyle name="Normal 5 3 4" xfId="414"/>
    <cellStyle name="Normal 5 3 4 2" xfId="1112"/>
    <cellStyle name="Normal 5 3 4 3" xfId="1111"/>
    <cellStyle name="Normal 5 3 5" xfId="1113"/>
    <cellStyle name="Normal 5 3 6" xfId="1114"/>
    <cellStyle name="Normal 5 3 7" xfId="754"/>
    <cellStyle name="Normal 5 4" xfId="415"/>
    <cellStyle name="Normal 5 4 2" xfId="416"/>
    <cellStyle name="Normal 5 4 2 2" xfId="417"/>
    <cellStyle name="Normal 5 4 2 2 2" xfId="1115"/>
    <cellStyle name="Normal 5 4 2 3" xfId="759"/>
    <cellStyle name="Normal 5 4 3" xfId="418"/>
    <cellStyle name="Normal 5 4 3 2" xfId="1116"/>
    <cellStyle name="Normal 5 4 4" xfId="758"/>
    <cellStyle name="Normal 5 5" xfId="419"/>
    <cellStyle name="Normal 5 5 2" xfId="420"/>
    <cellStyle name="Normal 5 5 2 2" xfId="421"/>
    <cellStyle name="Normal 5 5 2 2 2" xfId="1117"/>
    <cellStyle name="Normal 5 5 2 3" xfId="761"/>
    <cellStyle name="Normal 5 5 3" xfId="422"/>
    <cellStyle name="Normal 5 5 3 2" xfId="1118"/>
    <cellStyle name="Normal 5 5 4" xfId="760"/>
    <cellStyle name="Normal 5 6" xfId="423"/>
    <cellStyle name="Normal 5 6 2" xfId="424"/>
    <cellStyle name="Normal 5 6 2 2" xfId="1119"/>
    <cellStyle name="Normal 5 6 3" xfId="762"/>
    <cellStyle name="Normal 5 7" xfId="425"/>
    <cellStyle name="Normal 5 7 2" xfId="1121"/>
    <cellStyle name="Normal 5 7 3" xfId="1120"/>
    <cellStyle name="Normal 5 8" xfId="1122"/>
    <cellStyle name="Normal 5 9" xfId="1123"/>
    <cellStyle name="Normal 6" xfId="19"/>
    <cellStyle name="Normal 6 2" xfId="426"/>
    <cellStyle name="Normal 6 2 2" xfId="427"/>
    <cellStyle name="Normal 6 2 2 2" xfId="428"/>
    <cellStyle name="Normal 6 2 2 2 2" xfId="429"/>
    <cellStyle name="Normal 6 2 2 2 2 2" xfId="1124"/>
    <cellStyle name="Normal 6 2 2 2 3" xfId="765"/>
    <cellStyle name="Normal 6 2 2 3" xfId="430"/>
    <cellStyle name="Normal 6 2 2 3 2" xfId="1125"/>
    <cellStyle name="Normal 6 2 2 4" xfId="764"/>
    <cellStyle name="Normal 6 2 3" xfId="431"/>
    <cellStyle name="Normal 6 2 3 2" xfId="432"/>
    <cellStyle name="Normal 6 2 3 2 2" xfId="433"/>
    <cellStyle name="Normal 6 2 3 2 2 2" xfId="1126"/>
    <cellStyle name="Normal 6 2 3 2 3" xfId="767"/>
    <cellStyle name="Normal 6 2 3 3" xfId="434"/>
    <cellStyle name="Normal 6 2 3 3 2" xfId="1127"/>
    <cellStyle name="Normal 6 2 3 4" xfId="766"/>
    <cellStyle name="Normal 6 2 4" xfId="435"/>
    <cellStyle name="Normal 6 2 4 2" xfId="436"/>
    <cellStyle name="Normal 6 2 4 2 2" xfId="1128"/>
    <cellStyle name="Normal 6 2 4 3" xfId="768"/>
    <cellStyle name="Normal 6 2 5" xfId="437"/>
    <cellStyle name="Normal 6 2 5 2" xfId="1129"/>
    <cellStyle name="Normal 6 2 6" xfId="1130"/>
    <cellStyle name="Normal 6 2 7" xfId="763"/>
    <cellStyle name="Normal 6 3" xfId="438"/>
    <cellStyle name="Normal 6 3 2" xfId="439"/>
    <cellStyle name="Normal 6 3 2 2" xfId="440"/>
    <cellStyle name="Normal 6 3 2 2 2" xfId="1131"/>
    <cellStyle name="Normal 6 3 2 3" xfId="770"/>
    <cellStyle name="Normal 6 3 3" xfId="441"/>
    <cellStyle name="Normal 6 3 3 2" xfId="1132"/>
    <cellStyle name="Normal 6 3 4" xfId="769"/>
    <cellStyle name="Normal 6 4" xfId="442"/>
    <cellStyle name="Normal 6 4 2" xfId="443"/>
    <cellStyle name="Normal 6 4 2 2" xfId="444"/>
    <cellStyle name="Normal 6 4 2 2 2" xfId="1133"/>
    <cellStyle name="Normal 6 4 2 3" xfId="772"/>
    <cellStyle name="Normal 6 4 3" xfId="445"/>
    <cellStyle name="Normal 6 4 3 2" xfId="1134"/>
    <cellStyle name="Normal 6 4 4" xfId="771"/>
    <cellStyle name="Normal 6 5" xfId="446"/>
    <cellStyle name="Normal 6 5 2" xfId="447"/>
    <cellStyle name="Normal 6 5 2 2" xfId="1135"/>
    <cellStyle name="Normal 6 5 3" xfId="773"/>
    <cellStyle name="Normal 6 6" xfId="448"/>
    <cellStyle name="Normal 6 6 2" xfId="1136"/>
    <cellStyle name="Normal 6 7" xfId="1137"/>
    <cellStyle name="Normal 6 8" xfId="1211"/>
    <cellStyle name="Normal 7" xfId="20"/>
    <cellStyle name="Normal 7 2" xfId="449"/>
    <cellStyle name="Normal 7 2 2" xfId="450"/>
    <cellStyle name="Normal 7 2 2 2" xfId="451"/>
    <cellStyle name="Normal 7 2 2 2 2" xfId="452"/>
    <cellStyle name="Normal 7 2 2 2 2 2" xfId="1138"/>
    <cellStyle name="Normal 7 2 2 2 3" xfId="776"/>
    <cellStyle name="Normal 7 2 2 3" xfId="453"/>
    <cellStyle name="Normal 7 2 2 3 2" xfId="1139"/>
    <cellStyle name="Normal 7 2 2 4" xfId="775"/>
    <cellStyle name="Normal 7 2 3" xfId="454"/>
    <cellStyle name="Normal 7 2 3 2" xfId="455"/>
    <cellStyle name="Normal 7 2 3 2 2" xfId="1140"/>
    <cellStyle name="Normal 7 2 3 3" xfId="777"/>
    <cellStyle name="Normal 7 2 4" xfId="456"/>
    <cellStyle name="Normal 7 2 4 2" xfId="1141"/>
    <cellStyle name="Normal 7 2 5" xfId="774"/>
    <cellStyle name="Normal 7 3" xfId="457"/>
    <cellStyle name="Normal 7 3 2" xfId="458"/>
    <cellStyle name="Normal 7 3 2 2" xfId="459"/>
    <cellStyle name="Normal 7 3 2 2 2" xfId="1142"/>
    <cellStyle name="Normal 7 3 2 3" xfId="779"/>
    <cellStyle name="Normal 7 3 3" xfId="460"/>
    <cellStyle name="Normal 7 3 3 2" xfId="1143"/>
    <cellStyle name="Normal 7 3 4" xfId="778"/>
    <cellStyle name="Normal 7 4" xfId="461"/>
    <cellStyle name="Normal 7 4 2" xfId="462"/>
    <cellStyle name="Normal 7 4 2 2" xfId="463"/>
    <cellStyle name="Normal 7 4 2 2 2" xfId="1144"/>
    <cellStyle name="Normal 7 4 2 3" xfId="781"/>
    <cellStyle name="Normal 7 4 3" xfId="464"/>
    <cellStyle name="Normal 7 4 3 2" xfId="1145"/>
    <cellStyle name="Normal 7 4 4" xfId="780"/>
    <cellStyle name="Normal 8" xfId="465"/>
    <cellStyle name="Normal 8 2" xfId="466"/>
    <cellStyle name="Normal 8 2 2" xfId="467"/>
    <cellStyle name="Normal 8 2 2 2" xfId="468"/>
    <cellStyle name="Normal 8 2 2 2 2" xfId="469"/>
    <cellStyle name="Normal 8 2 2 2 2 2" xfId="1146"/>
    <cellStyle name="Normal 8 2 2 2 3" xfId="785"/>
    <cellStyle name="Normal 8 2 2 3" xfId="470"/>
    <cellStyle name="Normal 8 2 2 3 2" xfId="1147"/>
    <cellStyle name="Normal 8 2 2 4" xfId="784"/>
    <cellStyle name="Normal 8 2 3" xfId="471"/>
    <cellStyle name="Normal 8 2 3 2" xfId="472"/>
    <cellStyle name="Normal 8 2 3 2 2" xfId="1148"/>
    <cellStyle name="Normal 8 2 3 3" xfId="786"/>
    <cellStyle name="Normal 8 2 4" xfId="473"/>
    <cellStyle name="Normal 8 2 4 2" xfId="1149"/>
    <cellStyle name="Normal 8 2 5" xfId="1150"/>
    <cellStyle name="Normal 8 2 6" xfId="783"/>
    <cellStyle name="Normal 8 3" xfId="474"/>
    <cellStyle name="Normal 8 3 2" xfId="475"/>
    <cellStyle name="Normal 8 3 2 2" xfId="476"/>
    <cellStyle name="Normal 8 3 2 2 2" xfId="1151"/>
    <cellStyle name="Normal 8 3 2 3" xfId="788"/>
    <cellStyle name="Normal 8 3 3" xfId="477"/>
    <cellStyle name="Normal 8 3 3 2" xfId="1152"/>
    <cellStyle name="Normal 8 3 4" xfId="787"/>
    <cellStyle name="Normal 8 4" xfId="478"/>
    <cellStyle name="Normal 8 4 2" xfId="479"/>
    <cellStyle name="Normal 8 4 2 2" xfId="1153"/>
    <cellStyle name="Normal 8 4 3" xfId="789"/>
    <cellStyle name="Normal 8 5" xfId="480"/>
    <cellStyle name="Normal 8 5 2" xfId="1154"/>
    <cellStyle name="Normal 8 6" xfId="1155"/>
    <cellStyle name="Normal 8 7" xfId="782"/>
    <cellStyle name="Normal 9" xfId="481"/>
    <cellStyle name="Normal 9 2" xfId="482"/>
    <cellStyle name="Normal 9 2 2" xfId="483"/>
    <cellStyle name="Normal 9 2 2 2" xfId="1156"/>
    <cellStyle name="Normal 9 2 3" xfId="791"/>
    <cellStyle name="Normal 9 3" xfId="484"/>
    <cellStyle name="Normal 9 3 2" xfId="1157"/>
    <cellStyle name="Normal 9 4" xfId="79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485"/>
    <cellStyle name="Percent 2 10" xfId="1158"/>
    <cellStyle name="Percent 2 11" xfId="792"/>
    <cellStyle name="Percent 2 2" xfId="486"/>
    <cellStyle name="Percent 2 2 10" xfId="793"/>
    <cellStyle name="Percent 2 2 2" xfId="487"/>
    <cellStyle name="Percent 2 2 2 2" xfId="488"/>
    <cellStyle name="Percent 2 2 2 2 2" xfId="489"/>
    <cellStyle name="Percent 2 2 2 2 2 2" xfId="490"/>
    <cellStyle name="Percent 2 2 2 2 2 2 2" xfId="491"/>
    <cellStyle name="Percent 2 2 2 2 2 2 2 2" xfId="1159"/>
    <cellStyle name="Percent 2 2 2 2 2 2 3" xfId="797"/>
    <cellStyle name="Percent 2 2 2 2 2 3" xfId="492"/>
    <cellStyle name="Percent 2 2 2 2 2 3 2" xfId="1160"/>
    <cellStyle name="Percent 2 2 2 2 2 4" xfId="796"/>
    <cellStyle name="Percent 2 2 2 2 3" xfId="493"/>
    <cellStyle name="Percent 2 2 2 2 3 2" xfId="494"/>
    <cellStyle name="Percent 2 2 2 2 3 2 2" xfId="1161"/>
    <cellStyle name="Percent 2 2 2 2 3 3" xfId="798"/>
    <cellStyle name="Percent 2 2 2 2 4" xfId="495"/>
    <cellStyle name="Percent 2 2 2 2 4 2" xfId="1162"/>
    <cellStyle name="Percent 2 2 2 2 5" xfId="795"/>
    <cellStyle name="Percent 2 2 2 3" xfId="496"/>
    <cellStyle name="Percent 2 2 2 3 2" xfId="497"/>
    <cellStyle name="Percent 2 2 2 3 2 2" xfId="498"/>
    <cellStyle name="Percent 2 2 2 3 2 2 2" xfId="1163"/>
    <cellStyle name="Percent 2 2 2 3 2 3" xfId="800"/>
    <cellStyle name="Percent 2 2 2 3 3" xfId="499"/>
    <cellStyle name="Percent 2 2 2 3 3 2" xfId="1164"/>
    <cellStyle name="Percent 2 2 2 3 4" xfId="799"/>
    <cellStyle name="Percent 2 2 2 4" xfId="500"/>
    <cellStyle name="Percent 2 2 2 4 2" xfId="501"/>
    <cellStyle name="Percent 2 2 2 4 2 2" xfId="1165"/>
    <cellStyle name="Percent 2 2 2 4 3" xfId="801"/>
    <cellStyle name="Percent 2 2 2 5" xfId="502"/>
    <cellStyle name="Percent 2 2 2 5 2" xfId="1167"/>
    <cellStyle name="Percent 2 2 2 5 3" xfId="1166"/>
    <cellStyle name="Percent 2 2 2 6" xfId="1168"/>
    <cellStyle name="Percent 2 2 2 7" xfId="1169"/>
    <cellStyle name="Percent 2 2 2 8" xfId="794"/>
    <cellStyle name="Percent 2 2 3" xfId="503"/>
    <cellStyle name="Percent 2 2 3 2" xfId="504"/>
    <cellStyle name="Percent 2 2 3 2 2" xfId="505"/>
    <cellStyle name="Percent 2 2 3 2 2 2" xfId="506"/>
    <cellStyle name="Percent 2 2 3 2 2 2 2" xfId="1170"/>
    <cellStyle name="Percent 2 2 3 2 2 3" xfId="804"/>
    <cellStyle name="Percent 2 2 3 2 3" xfId="507"/>
    <cellStyle name="Percent 2 2 3 2 3 2" xfId="1171"/>
    <cellStyle name="Percent 2 2 3 2 4" xfId="803"/>
    <cellStyle name="Percent 2 2 3 3" xfId="508"/>
    <cellStyle name="Percent 2 2 3 3 2" xfId="509"/>
    <cellStyle name="Percent 2 2 3 3 2 2" xfId="1172"/>
    <cellStyle name="Percent 2 2 3 3 3" xfId="805"/>
    <cellStyle name="Percent 2 2 3 4" xfId="510"/>
    <cellStyle name="Percent 2 2 3 4 2" xfId="1173"/>
    <cellStyle name="Percent 2 2 3 5" xfId="802"/>
    <cellStyle name="Percent 2 2 4" xfId="511"/>
    <cellStyle name="Percent 2 2 4 2" xfId="512"/>
    <cellStyle name="Percent 2 2 4 2 2" xfId="513"/>
    <cellStyle name="Percent 2 2 4 2 2 2" xfId="1174"/>
    <cellStyle name="Percent 2 2 4 2 3" xfId="807"/>
    <cellStyle name="Percent 2 2 4 3" xfId="514"/>
    <cellStyle name="Percent 2 2 4 3 2" xfId="1175"/>
    <cellStyle name="Percent 2 2 4 4" xfId="806"/>
    <cellStyle name="Percent 2 2 5" xfId="515"/>
    <cellStyle name="Percent 2 2 5 2" xfId="516"/>
    <cellStyle name="Percent 2 2 5 2 2" xfId="517"/>
    <cellStyle name="Percent 2 2 5 2 2 2" xfId="1176"/>
    <cellStyle name="Percent 2 2 5 2 3" xfId="809"/>
    <cellStyle name="Percent 2 2 5 3" xfId="518"/>
    <cellStyle name="Percent 2 2 5 3 2" xfId="1177"/>
    <cellStyle name="Percent 2 2 5 4" xfId="808"/>
    <cellStyle name="Percent 2 2 6" xfId="519"/>
    <cellStyle name="Percent 2 2 6 2" xfId="520"/>
    <cellStyle name="Percent 2 2 6 2 2" xfId="1178"/>
    <cellStyle name="Percent 2 2 6 3" xfId="810"/>
    <cellStyle name="Percent 2 2 7" xfId="521"/>
    <cellStyle name="Percent 2 2 7 2" xfId="1180"/>
    <cellStyle name="Percent 2 2 7 3" xfId="1179"/>
    <cellStyle name="Percent 2 2 8" xfId="1181"/>
    <cellStyle name="Percent 2 2 9" xfId="1182"/>
    <cellStyle name="Percent 2 3" xfId="522"/>
    <cellStyle name="Percent 2 3 2" xfId="523"/>
    <cellStyle name="Percent 2 3 2 2" xfId="524"/>
    <cellStyle name="Percent 2 3 2 2 2" xfId="525"/>
    <cellStyle name="Percent 2 3 2 2 2 2" xfId="526"/>
    <cellStyle name="Percent 2 3 2 2 2 2 2" xfId="1183"/>
    <cellStyle name="Percent 2 3 2 2 2 3" xfId="814"/>
    <cellStyle name="Percent 2 3 2 2 3" xfId="527"/>
    <cellStyle name="Percent 2 3 2 2 3 2" xfId="1184"/>
    <cellStyle name="Percent 2 3 2 2 4" xfId="813"/>
    <cellStyle name="Percent 2 3 2 3" xfId="528"/>
    <cellStyle name="Percent 2 3 2 3 2" xfId="529"/>
    <cellStyle name="Percent 2 3 2 3 2 2" xfId="1185"/>
    <cellStyle name="Percent 2 3 2 3 3" xfId="815"/>
    <cellStyle name="Percent 2 3 2 4" xfId="530"/>
    <cellStyle name="Percent 2 3 2 4 2" xfId="1186"/>
    <cellStyle name="Percent 2 3 2 5" xfId="812"/>
    <cellStyle name="Percent 2 3 3" xfId="531"/>
    <cellStyle name="Percent 2 3 3 2" xfId="532"/>
    <cellStyle name="Percent 2 3 3 2 2" xfId="533"/>
    <cellStyle name="Percent 2 3 3 2 2 2" xfId="1187"/>
    <cellStyle name="Percent 2 3 3 2 3" xfId="817"/>
    <cellStyle name="Percent 2 3 3 3" xfId="534"/>
    <cellStyle name="Percent 2 3 3 3 2" xfId="1188"/>
    <cellStyle name="Percent 2 3 3 4" xfId="816"/>
    <cellStyle name="Percent 2 3 4" xfId="535"/>
    <cellStyle name="Percent 2 3 4 2" xfId="536"/>
    <cellStyle name="Percent 2 3 4 2 2" xfId="537"/>
    <cellStyle name="Percent 2 3 4 2 2 2" xfId="1189"/>
    <cellStyle name="Percent 2 3 4 2 3" xfId="819"/>
    <cellStyle name="Percent 2 3 4 3" xfId="538"/>
    <cellStyle name="Percent 2 3 4 3 2" xfId="1190"/>
    <cellStyle name="Percent 2 3 4 4" xfId="818"/>
    <cellStyle name="Percent 2 3 5" xfId="539"/>
    <cellStyle name="Percent 2 3 5 2" xfId="540"/>
    <cellStyle name="Percent 2 3 5 2 2" xfId="1191"/>
    <cellStyle name="Percent 2 3 5 3" xfId="820"/>
    <cellStyle name="Percent 2 3 6" xfId="541"/>
    <cellStyle name="Percent 2 3 6 2" xfId="1193"/>
    <cellStyle name="Percent 2 3 6 3" xfId="1192"/>
    <cellStyle name="Percent 2 3 7" xfId="1194"/>
    <cellStyle name="Percent 2 3 8" xfId="1195"/>
    <cellStyle name="Percent 2 3 9" xfId="811"/>
    <cellStyle name="Percent 2 4" xfId="542"/>
    <cellStyle name="Percent 2 4 2" xfId="543"/>
    <cellStyle name="Percent 2 4 2 2" xfId="544"/>
    <cellStyle name="Percent 2 4 2 2 2" xfId="545"/>
    <cellStyle name="Percent 2 4 2 2 2 2" xfId="1196"/>
    <cellStyle name="Percent 2 4 2 2 3" xfId="823"/>
    <cellStyle name="Percent 2 4 2 3" xfId="546"/>
    <cellStyle name="Percent 2 4 2 3 2" xfId="1197"/>
    <cellStyle name="Percent 2 4 2 4" xfId="822"/>
    <cellStyle name="Percent 2 4 3" xfId="547"/>
    <cellStyle name="Percent 2 4 3 2" xfId="548"/>
    <cellStyle name="Percent 2 4 3 2 2" xfId="1198"/>
    <cellStyle name="Percent 2 4 3 3" xfId="824"/>
    <cellStyle name="Percent 2 4 4" xfId="549"/>
    <cellStyle name="Percent 2 4 4 2" xfId="1200"/>
    <cellStyle name="Percent 2 4 4 3" xfId="1199"/>
    <cellStyle name="Percent 2 4 5" xfId="1201"/>
    <cellStyle name="Percent 2 4 6" xfId="1202"/>
    <cellStyle name="Percent 2 4 7" xfId="821"/>
    <cellStyle name="Percent 2 5" xfId="550"/>
    <cellStyle name="Percent 2 5 2" xfId="551"/>
    <cellStyle name="Percent 2 5 2 2" xfId="552"/>
    <cellStyle name="Percent 2 5 2 2 2" xfId="1203"/>
    <cellStyle name="Percent 2 5 2 3" xfId="826"/>
    <cellStyle name="Percent 2 5 3" xfId="553"/>
    <cellStyle name="Percent 2 5 3 2" xfId="1204"/>
    <cellStyle name="Percent 2 5 4" xfId="825"/>
    <cellStyle name="Percent 2 6" xfId="554"/>
    <cellStyle name="Percent 2 6 2" xfId="555"/>
    <cellStyle name="Percent 2 6 2 2" xfId="556"/>
    <cellStyle name="Percent 2 6 2 2 2" xfId="1205"/>
    <cellStyle name="Percent 2 6 2 3" xfId="828"/>
    <cellStyle name="Percent 2 6 3" xfId="557"/>
    <cellStyle name="Percent 2 6 3 2" xfId="1206"/>
    <cellStyle name="Percent 2 6 4" xfId="827"/>
    <cellStyle name="Percent 2 7" xfId="558"/>
    <cellStyle name="Percent 2 7 2" xfId="559"/>
    <cellStyle name="Percent 2 7 2 2" xfId="1207"/>
    <cellStyle name="Percent 2 7 3" xfId="829"/>
    <cellStyle name="Percent 2 8" xfId="560"/>
    <cellStyle name="Percent 2 8 2" xfId="1209"/>
    <cellStyle name="Percent 2 8 3" xfId="1208"/>
    <cellStyle name="Percent 2 9" xfId="1210"/>
  </cellStyles>
  <dxfs count="2">
    <dxf>
      <fill>
        <patternFill>
          <bgColor theme="9" tint="0.39994506668294322"/>
        </patternFill>
      </fill>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2981325</xdr:colOff>
          <xdr:row>3</xdr:row>
          <xdr:rowOff>114300</xdr:rowOff>
        </xdr:from>
        <xdr:to>
          <xdr:col>1</xdr:col>
          <xdr:colOff>3895725</xdr:colOff>
          <xdr:row>7</xdr:row>
          <xdr:rowOff>152400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45893</xdr:rowOff>
    </xdr:to>
    <xdr:sp macro="" textlink="">
      <xdr:nvSpPr>
        <xdr:cNvPr id="2" name="Text 1"/>
        <xdr:cNvSpPr txBox="1">
          <a:spLocks noChangeArrowheads="1"/>
        </xdr:cNvSpPr>
      </xdr:nvSpPr>
      <xdr:spPr bwMode="auto">
        <a:xfrm>
          <a:off x="1647825" y="88011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UTER2\Documents\Schools-%20ALL\S.D.%20141\AFR17%2035%20050%20141%200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R2018DTA/AFR18_New%20Emails/Emails%2012-20-2018/500%20WPs,%20PRR,%20PPE%20'18%20O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sheetName val="SEFA (2)"/>
      <sheetName val="SEFA NOTES"/>
      <sheetName val="SF&amp;QC Sec-1"/>
      <sheetName val="SF&amp;QC Sec-2"/>
      <sheetName val="SF&amp;QC Sec-3"/>
      <sheetName val="SSPAF"/>
      <sheetName val="CAP"/>
      <sheetName val="AFR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OTTAWA ELEMENTARY SCHOOLS</v>
          </cell>
          <cell r="E7" t="str">
            <v>35-050-1410-002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General Ledger"/>
      <sheetName val="Trial Balance"/>
      <sheetName val="Balance Sheet"/>
      <sheetName val="Individually Significant"/>
      <sheetName val="Reasonableness of Expenditure"/>
      <sheetName val="Analytical Review"/>
      <sheetName val="Property and Equipment"/>
      <sheetName val="Materiality Backup"/>
    </sheetNames>
    <sheetDataSet>
      <sheetData sheetId="0">
        <row r="6">
          <cell r="I6" t="str">
            <v>10-</v>
          </cell>
          <cell r="J6">
            <v>118728.64852000002</v>
          </cell>
        </row>
        <row r="7">
          <cell r="I7" t="str">
            <v>20-</v>
          </cell>
          <cell r="J7">
            <v>25212.138559999999</v>
          </cell>
        </row>
        <row r="8">
          <cell r="I8" t="str">
            <v>40-</v>
          </cell>
          <cell r="J8">
            <v>27495.178560000004</v>
          </cell>
        </row>
        <row r="9">
          <cell r="I9" t="str">
            <v>50-</v>
          </cell>
          <cell r="J9">
            <v>16702.727299999999</v>
          </cell>
        </row>
        <row r="10">
          <cell r="I10" t="str">
            <v>60-</v>
          </cell>
          <cell r="J10">
            <v>0</v>
          </cell>
        </row>
        <row r="11">
          <cell r="I11" t="str">
            <v>80-</v>
          </cell>
          <cell r="J11">
            <v>13108.686300000001</v>
          </cell>
        </row>
        <row r="12">
          <cell r="I12" t="str">
            <v>90-</v>
          </cell>
          <cell r="J12">
            <v>4999.701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9" t="s">
        <v>425</v>
      </c>
      <c r="J1" s="2070"/>
      <c r="K1" s="2070"/>
      <c r="L1" s="2070"/>
      <c r="M1" s="2070"/>
      <c r="N1" s="2070"/>
      <c r="O1" s="2070"/>
      <c r="P1" s="2070"/>
      <c r="Q1" s="2070"/>
      <c r="R1" s="2070"/>
      <c r="S1" s="2070"/>
    </row>
    <row r="2" spans="1:28" ht="12" customHeight="1" x14ac:dyDescent="0.2">
      <c r="A2" s="47" t="s">
        <v>1684</v>
      </c>
      <c r="D2" s="48"/>
      <c r="I2" s="2071" t="s">
        <v>1036</v>
      </c>
      <c r="J2" s="2070"/>
      <c r="K2" s="2070"/>
      <c r="L2" s="2070"/>
      <c r="M2" s="2070"/>
      <c r="N2" s="2070"/>
      <c r="O2" s="2070"/>
      <c r="P2" s="2070"/>
      <c r="Q2" s="2070"/>
      <c r="R2" s="2070"/>
      <c r="S2" s="2070"/>
    </row>
    <row r="3" spans="1:28" ht="12" customHeight="1" x14ac:dyDescent="0.2">
      <c r="A3" s="155" t="s">
        <v>1685</v>
      </c>
      <c r="B3" s="156"/>
      <c r="C3" s="156"/>
      <c r="D3" s="157"/>
      <c r="I3" s="2071" t="s">
        <v>54</v>
      </c>
      <c r="J3" s="2070"/>
      <c r="K3" s="2070"/>
      <c r="L3" s="2070"/>
      <c r="M3" s="2070"/>
      <c r="N3" s="2070"/>
      <c r="O3" s="2070"/>
      <c r="P3" s="2070"/>
      <c r="Q3" s="2070"/>
      <c r="R3" s="2070"/>
      <c r="S3" s="2070"/>
    </row>
    <row r="4" spans="1:28" ht="12" customHeight="1" x14ac:dyDescent="0.2">
      <c r="A4" s="37"/>
      <c r="I4" s="2071" t="s">
        <v>545</v>
      </c>
      <c r="J4" s="2070"/>
      <c r="K4" s="2070"/>
      <c r="L4" s="2070"/>
      <c r="M4" s="2070"/>
      <c r="N4" s="2070"/>
      <c r="O4" s="2070"/>
      <c r="P4" s="2070"/>
      <c r="Q4" s="2070"/>
      <c r="R4" s="2070"/>
      <c r="S4" s="2070"/>
    </row>
    <row r="5" spans="1:28" ht="14.1" customHeight="1" x14ac:dyDescent="0.2">
      <c r="B5" s="104" t="s">
        <v>2084</v>
      </c>
      <c r="C5" s="26" t="s">
        <v>966</v>
      </c>
      <c r="D5" s="84"/>
      <c r="E5" s="84"/>
      <c r="H5" s="38"/>
      <c r="I5" s="2078" t="s">
        <v>701</v>
      </c>
      <c r="J5" s="2023"/>
      <c r="K5" s="2023"/>
      <c r="L5" s="2023"/>
      <c r="M5" s="2023"/>
      <c r="N5" s="2023"/>
      <c r="O5" s="2023"/>
      <c r="P5" s="2023"/>
      <c r="Q5" s="2023"/>
      <c r="R5" s="2023"/>
      <c r="S5" s="2023"/>
    </row>
    <row r="6" spans="1:28" ht="14.1" customHeight="1" x14ac:dyDescent="0.2">
      <c r="B6" s="104"/>
      <c r="C6" s="26" t="s">
        <v>967</v>
      </c>
      <c r="D6" s="84"/>
      <c r="E6" s="84"/>
      <c r="I6" s="2077" t="s">
        <v>938</v>
      </c>
      <c r="J6" s="2023"/>
      <c r="K6" s="2023"/>
      <c r="L6" s="2023"/>
      <c r="M6" s="2023"/>
      <c r="N6" s="2023"/>
      <c r="O6" s="2023"/>
      <c r="P6" s="2023"/>
      <c r="Q6" s="2023"/>
      <c r="R6" s="2023"/>
      <c r="S6" s="2023"/>
    </row>
    <row r="7" spans="1:28" ht="12.2" customHeight="1" x14ac:dyDescent="0.2">
      <c r="I7" s="2072">
        <v>43281</v>
      </c>
      <c r="J7" s="2073"/>
      <c r="K7" s="2073"/>
      <c r="L7" s="2073"/>
      <c r="M7" s="2073"/>
      <c r="N7" s="2073"/>
      <c r="O7" s="2073"/>
      <c r="P7" s="2073"/>
      <c r="Q7" s="2073"/>
      <c r="R7" s="2073"/>
      <c r="S7" s="207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4" t="s">
        <v>695</v>
      </c>
      <c r="J9" s="2075"/>
      <c r="K9" s="2075"/>
      <c r="L9" s="2075"/>
      <c r="M9" s="2075"/>
      <c r="N9" s="2075"/>
      <c r="O9" s="2075"/>
      <c r="P9" s="2075"/>
      <c r="Q9" s="2075"/>
      <c r="R9" s="2075"/>
      <c r="S9" s="2076"/>
      <c r="T9" s="2019" t="s">
        <v>554</v>
      </c>
      <c r="U9" s="2020"/>
      <c r="V9" s="2020"/>
      <c r="W9" s="2020"/>
      <c r="X9" s="2020"/>
      <c r="Y9" s="2020"/>
      <c r="Z9" s="2020"/>
      <c r="AA9" s="2021"/>
    </row>
    <row r="10" spans="1:28" ht="13.5" customHeight="1" x14ac:dyDescent="0.2">
      <c r="A10" s="2028" t="s">
        <v>696</v>
      </c>
      <c r="B10" s="2029"/>
      <c r="C10" s="2029"/>
      <c r="D10" s="2029"/>
      <c r="E10" s="2029"/>
      <c r="F10" s="2029"/>
      <c r="G10" s="2029"/>
      <c r="H10" s="2030"/>
      <c r="I10" s="29"/>
      <c r="J10" s="30"/>
      <c r="K10" s="28"/>
      <c r="R10" s="30"/>
      <c r="S10" s="30"/>
      <c r="T10" s="2022"/>
      <c r="U10" s="2023"/>
      <c r="V10" s="2023"/>
      <c r="W10" s="2023"/>
      <c r="X10" s="2023"/>
      <c r="Y10" s="2023"/>
      <c r="Z10" s="2023"/>
      <c r="AA10" s="2024"/>
    </row>
    <row r="11" spans="1:28" ht="14.25" customHeight="1" x14ac:dyDescent="0.2">
      <c r="A11" s="2031" t="s">
        <v>1012</v>
      </c>
      <c r="B11" s="2032"/>
      <c r="C11" s="2032"/>
      <c r="D11" s="2032"/>
      <c r="E11" s="2032"/>
      <c r="F11" s="2032"/>
      <c r="G11" s="2032"/>
      <c r="H11" s="2033"/>
      <c r="I11" s="27"/>
      <c r="J11" s="74"/>
      <c r="K11" s="27"/>
      <c r="O11" s="148" t="s">
        <v>2084</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9">
        <v>35050141002</v>
      </c>
      <c r="B13" s="2040"/>
      <c r="C13" s="2040"/>
      <c r="D13" s="2040"/>
      <c r="E13" s="2040"/>
      <c r="F13" s="2040"/>
      <c r="G13" s="2040"/>
      <c r="H13" s="2041"/>
      <c r="I13" s="31"/>
      <c r="J13" s="30"/>
      <c r="K13" s="28"/>
      <c r="L13" s="30"/>
      <c r="M13" s="30"/>
      <c r="N13" s="30"/>
      <c r="O13" s="30"/>
      <c r="P13" s="30"/>
      <c r="Q13" s="30"/>
      <c r="R13" s="30"/>
      <c r="S13" s="30"/>
      <c r="T13" s="2044" t="s">
        <v>2073</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2081</v>
      </c>
      <c r="B15" s="2042"/>
      <c r="C15" s="2042"/>
      <c r="D15" s="2042"/>
      <c r="E15" s="2042"/>
      <c r="F15" s="2042"/>
      <c r="G15" s="2042"/>
      <c r="H15" s="2043"/>
      <c r="T15" s="2005" t="s">
        <v>2080</v>
      </c>
      <c r="U15" s="2006"/>
      <c r="V15" s="2006"/>
      <c r="W15" s="2006"/>
      <c r="X15" s="2006"/>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4053</v>
      </c>
      <c r="B17" s="2067"/>
      <c r="C17" s="2067"/>
      <c r="D17" s="2067"/>
      <c r="E17" s="2067"/>
      <c r="F17" s="2067"/>
      <c r="G17" s="2067"/>
      <c r="H17" s="2068"/>
      <c r="T17" s="2054" t="s">
        <v>2074</v>
      </c>
      <c r="U17" s="2055"/>
      <c r="V17" s="2055"/>
      <c r="W17" s="2055"/>
      <c r="X17" s="2055"/>
      <c r="Y17" s="2055"/>
      <c r="Z17" s="2055"/>
      <c r="AA17" s="2056"/>
    </row>
    <row r="18" spans="1:27" ht="13.5" customHeight="1" x14ac:dyDescent="0.2">
      <c r="A18" s="85" t="s">
        <v>551</v>
      </c>
      <c r="B18" s="76"/>
      <c r="C18" s="72"/>
      <c r="D18" s="76"/>
      <c r="E18" s="76"/>
      <c r="F18" s="76"/>
      <c r="G18" s="76"/>
      <c r="H18" s="56"/>
      <c r="I18" s="2064" t="s">
        <v>697</v>
      </c>
      <c r="J18" s="2065"/>
      <c r="K18" s="2065"/>
      <c r="L18" s="2065"/>
      <c r="M18" s="2065"/>
      <c r="N18" s="2065"/>
      <c r="O18" s="2065"/>
      <c r="P18" s="2065"/>
      <c r="Q18" s="2065"/>
      <c r="R18" s="2065"/>
      <c r="S18" s="2066"/>
      <c r="T18" s="85" t="s">
        <v>735</v>
      </c>
      <c r="U18" s="51"/>
      <c r="V18" s="72"/>
      <c r="W18" s="50"/>
      <c r="X18" s="85" t="s">
        <v>284</v>
      </c>
      <c r="Y18" s="81"/>
      <c r="Z18" s="159" t="s">
        <v>698</v>
      </c>
      <c r="AA18" s="46"/>
    </row>
    <row r="19" spans="1:27" ht="13.5" customHeight="1" x14ac:dyDescent="0.2">
      <c r="A19" s="2037" t="s">
        <v>2082</v>
      </c>
      <c r="B19" s="2038"/>
      <c r="C19" s="2038"/>
      <c r="D19" s="2038"/>
      <c r="E19" s="2038"/>
      <c r="F19" s="2038"/>
      <c r="G19" s="2038"/>
      <c r="H19" s="2036"/>
      <c r="I19" s="30"/>
      <c r="J19" s="99"/>
      <c r="K19" s="40"/>
      <c r="L19" s="38"/>
      <c r="M19" s="112" t="s">
        <v>333</v>
      </c>
      <c r="P19" s="27"/>
      <c r="Q19" s="27"/>
      <c r="R19" s="27"/>
      <c r="S19" s="31"/>
      <c r="T19" s="2037" t="s">
        <v>2075</v>
      </c>
      <c r="U19" s="2035"/>
      <c r="V19" s="2035"/>
      <c r="W19" s="2036"/>
      <c r="X19" s="2052" t="s">
        <v>2076</v>
      </c>
      <c r="Y19" s="2053"/>
      <c r="Z19" s="2050">
        <v>61350</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4" t="s">
        <v>2075</v>
      </c>
      <c r="B21" s="2035"/>
      <c r="C21" s="2035"/>
      <c r="D21" s="2035"/>
      <c r="E21" s="2035"/>
      <c r="F21" s="2035"/>
      <c r="G21" s="2035"/>
      <c r="H21" s="2036"/>
      <c r="I21" s="2060" t="s">
        <v>699</v>
      </c>
      <c r="J21" s="2023"/>
      <c r="K21" s="2023"/>
      <c r="L21" s="2023"/>
      <c r="M21" s="2023"/>
      <c r="N21" s="2023"/>
      <c r="O21" s="2023"/>
      <c r="P21" s="2023"/>
      <c r="Q21" s="2023"/>
      <c r="R21" s="2023"/>
      <c r="S21" s="2024"/>
      <c r="T21" s="2002" t="s">
        <v>2077</v>
      </c>
      <c r="U21" s="2003"/>
      <c r="V21" s="2003"/>
      <c r="W21" s="2003"/>
      <c r="X21" s="2016" t="s">
        <v>2078</v>
      </c>
      <c r="Y21" s="2017"/>
      <c r="Z21" s="2017"/>
      <c r="AA21" s="2018"/>
    </row>
    <row r="22" spans="1:27" ht="13.5" customHeight="1" x14ac:dyDescent="0.2">
      <c r="A22" s="87" t="s">
        <v>552</v>
      </c>
      <c r="B22" s="59"/>
      <c r="C22" s="59"/>
      <c r="D22" s="59"/>
      <c r="E22" s="59"/>
      <c r="F22" s="59"/>
      <c r="G22" s="59"/>
      <c r="H22" s="60"/>
      <c r="I22" s="2061" t="s">
        <v>1504</v>
      </c>
      <c r="J22" s="2062"/>
      <c r="K22" s="2062"/>
      <c r="L22" s="2062"/>
      <c r="M22" s="2062"/>
      <c r="N22" s="2062"/>
      <c r="O22" s="2062"/>
      <c r="P22" s="2062"/>
      <c r="Q22" s="2062"/>
      <c r="R22" s="2062"/>
      <c r="S22" s="2063"/>
      <c r="T22" s="85" t="s">
        <v>1596</v>
      </c>
      <c r="U22" s="51"/>
      <c r="V22" s="72"/>
      <c r="W22" s="51"/>
      <c r="X22" s="160" t="s">
        <v>1385</v>
      </c>
      <c r="Z22" s="45"/>
      <c r="AA22" s="46"/>
    </row>
    <row r="23" spans="1:27" ht="13.5" customHeight="1" x14ac:dyDescent="0.2">
      <c r="A23" s="2057"/>
      <c r="B23" s="2058"/>
      <c r="C23" s="2058"/>
      <c r="D23" s="2058"/>
      <c r="E23" s="2058"/>
      <c r="F23" s="2058"/>
      <c r="G23" s="2058"/>
      <c r="H23" s="2059"/>
      <c r="T23" s="1997" t="s">
        <v>4000</v>
      </c>
      <c r="U23" s="1998"/>
      <c r="V23" s="1998"/>
      <c r="W23" s="1998"/>
      <c r="X23" s="2013">
        <v>43466</v>
      </c>
      <c r="Y23" s="2014"/>
      <c r="Z23" s="2014"/>
      <c r="AA23" s="2015"/>
    </row>
    <row r="24" spans="1:27" ht="14.1" customHeight="1" x14ac:dyDescent="0.2">
      <c r="A24" s="88" t="s">
        <v>698</v>
      </c>
      <c r="B24" s="49"/>
      <c r="C24" s="49"/>
      <c r="D24" s="49"/>
      <c r="E24" s="49"/>
      <c r="F24" s="49"/>
      <c r="G24" s="49"/>
      <c r="H24" s="61"/>
      <c r="J24" s="2099">
        <f>IF(B5="x",IF(AUDITCHECK!D29="AFR form Incomplete.","",IF(AUDITCHECK!D29="Deficit reduction plan is required.","School District must complete a deficit reduction plan in the 2018-2019 Budget",)),"")</f>
        <v>0</v>
      </c>
      <c r="K24" s="2099"/>
      <c r="L24" s="2099"/>
      <c r="M24" s="2099"/>
      <c r="N24" s="2099"/>
      <c r="O24" s="2099"/>
      <c r="P24" s="2099"/>
      <c r="Q24" s="2099"/>
      <c r="R24" s="2099"/>
      <c r="S24" s="2100"/>
      <c r="T24" s="105" t="s">
        <v>552</v>
      </c>
      <c r="U24" s="106"/>
      <c r="V24" s="106"/>
      <c r="W24" s="106"/>
      <c r="X24" s="107"/>
      <c r="Y24" s="107"/>
      <c r="Z24" s="107"/>
      <c r="AA24" s="108"/>
    </row>
    <row r="25" spans="1:27" ht="14.1" customHeight="1" x14ac:dyDescent="0.2">
      <c r="A25" s="2034">
        <v>61350</v>
      </c>
      <c r="B25" s="2035"/>
      <c r="C25" s="2035"/>
      <c r="D25" s="2035"/>
      <c r="E25" s="2035"/>
      <c r="F25" s="2035"/>
      <c r="G25" s="2035"/>
      <c r="H25" s="2036"/>
      <c r="I25" s="113"/>
      <c r="J25" s="2101"/>
      <c r="K25" s="2101"/>
      <c r="L25" s="2101"/>
      <c r="M25" s="2101"/>
      <c r="N25" s="2101"/>
      <c r="O25" s="2101"/>
      <c r="P25" s="2101"/>
      <c r="Q25" s="2101"/>
      <c r="R25" s="2101"/>
      <c r="S25" s="2102"/>
      <c r="T25" s="1994" t="s">
        <v>2079</v>
      </c>
      <c r="U25" s="1995"/>
      <c r="V25" s="1995"/>
      <c r="W25" s="1995"/>
      <c r="X25" s="1995"/>
      <c r="Y25" s="1995"/>
      <c r="Z25" s="1995"/>
      <c r="AA25" s="199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2" t="s">
        <v>1591</v>
      </c>
      <c r="J27" s="2065"/>
      <c r="K27" s="2065"/>
      <c r="L27" s="2065"/>
      <c r="M27" s="2065"/>
      <c r="N27" s="2065"/>
      <c r="O27" s="2065"/>
      <c r="P27" s="2065"/>
      <c r="Q27" s="2065"/>
      <c r="R27" s="2065"/>
      <c r="S27" s="206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2084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2084</v>
      </c>
      <c r="C30" s="124" t="s">
        <v>1226</v>
      </c>
      <c r="D30" s="28"/>
      <c r="E30" s="28"/>
      <c r="F30" s="140"/>
      <c r="G30" s="114"/>
      <c r="H30" s="114"/>
      <c r="I30" s="54"/>
      <c r="J30" s="102" t="s">
        <v>2084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2084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8"/>
      <c r="Q35" s="2035"/>
      <c r="R35" s="203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2083</v>
      </c>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552</v>
      </c>
      <c r="B39" s="2091"/>
      <c r="C39" s="72"/>
      <c r="D39" s="69"/>
      <c r="E39" s="69"/>
      <c r="F39" s="79"/>
      <c r="G39" s="69"/>
      <c r="H39" s="56"/>
      <c r="I39" s="2090" t="s">
        <v>552</v>
      </c>
      <c r="J39" s="2091"/>
      <c r="K39" s="2091"/>
      <c r="L39" s="2091"/>
      <c r="M39" s="2091"/>
      <c r="N39" s="67"/>
      <c r="O39" s="72"/>
      <c r="P39" s="72"/>
      <c r="Q39" s="78"/>
      <c r="R39" s="72"/>
      <c r="S39" s="56"/>
      <c r="T39" s="72" t="s">
        <v>552</v>
      </c>
      <c r="U39" s="51"/>
      <c r="V39" s="72"/>
      <c r="W39" s="50"/>
      <c r="X39" s="78"/>
      <c r="Y39" s="45"/>
      <c r="Z39" s="45"/>
      <c r="AA39" s="46"/>
    </row>
    <row r="40" spans="1:27" ht="13.5" customHeight="1" x14ac:dyDescent="0.2">
      <c r="A40" s="2093"/>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3"/>
      <c r="B42" s="2084"/>
      <c r="C42" s="2085"/>
      <c r="D42" s="2098"/>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heetViews>
  <sheetFormatPr defaultColWidth="9.140625" defaultRowHeight="12.75" x14ac:dyDescent="0.2"/>
  <cols>
    <col min="1" max="1" width="41.42578125" style="252" customWidth="1"/>
    <col min="2" max="3" width="17.7109375" style="694" customWidth="1"/>
    <col min="4" max="5" width="17.7109375" style="69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4" t="s">
        <v>106</v>
      </c>
    </row>
    <row r="2" spans="1:6" ht="39.75" customHeight="1" x14ac:dyDescent="0.2">
      <c r="A2" s="2236" t="s">
        <v>1901</v>
      </c>
      <c r="B2" s="1530" t="s">
        <v>2033</v>
      </c>
      <c r="C2" s="696" t="s">
        <v>1906</v>
      </c>
      <c r="D2" s="696" t="s">
        <v>1907</v>
      </c>
      <c r="E2" s="696" t="s">
        <v>1908</v>
      </c>
      <c r="F2" s="696" t="s">
        <v>1909</v>
      </c>
    </row>
    <row r="3" spans="1:6" ht="12" customHeight="1" x14ac:dyDescent="0.2">
      <c r="A3" s="2237"/>
      <c r="B3" s="1527"/>
      <c r="C3" s="1528"/>
      <c r="D3" s="1529" t="s">
        <v>274</v>
      </c>
      <c r="E3" s="1528"/>
      <c r="F3" s="1529" t="s">
        <v>275</v>
      </c>
    </row>
    <row r="4" spans="1:6" ht="13.7" customHeight="1" x14ac:dyDescent="0.2">
      <c r="A4" s="697" t="s">
        <v>1217</v>
      </c>
      <c r="B4" s="1749">
        <f>'Revenues 9-14'!C5</f>
        <v>6175972</v>
      </c>
      <c r="C4" s="1526"/>
      <c r="D4" s="1752">
        <f>B4-C4</f>
        <v>6175972</v>
      </c>
      <c r="E4" s="1526">
        <v>6357557</v>
      </c>
      <c r="F4" s="1752">
        <f>E4-C4</f>
        <v>6357557</v>
      </c>
    </row>
    <row r="5" spans="1:6" ht="13.7" customHeight="1" x14ac:dyDescent="0.2">
      <c r="A5" s="697" t="s">
        <v>925</v>
      </c>
      <c r="B5" s="1750">
        <f>'Revenues 9-14'!D5</f>
        <v>691043.19</v>
      </c>
      <c r="C5" s="574"/>
      <c r="D5" s="1753">
        <f t="shared" ref="D5:D18" si="0">B5-C5</f>
        <v>691043.19</v>
      </c>
      <c r="E5" s="574">
        <v>709549</v>
      </c>
      <c r="F5" s="1753">
        <f>E5-C5</f>
        <v>709549</v>
      </c>
    </row>
    <row r="6" spans="1:6" ht="13.7" customHeight="1" x14ac:dyDescent="0.2">
      <c r="A6" s="697" t="s">
        <v>431</v>
      </c>
      <c r="B6" s="1750">
        <f>'Revenues 9-14'!E5</f>
        <v>3134418</v>
      </c>
      <c r="C6" s="574"/>
      <c r="D6" s="1753">
        <f t="shared" si="0"/>
        <v>3134418</v>
      </c>
      <c r="E6" s="574">
        <v>3002044</v>
      </c>
      <c r="F6" s="1753">
        <f t="shared" ref="F6:F18" si="1">E6-C6</f>
        <v>3002044</v>
      </c>
    </row>
    <row r="7" spans="1:6" ht="13.7" customHeight="1" x14ac:dyDescent="0.2">
      <c r="A7" s="697" t="s">
        <v>157</v>
      </c>
      <c r="B7" s="1750">
        <f>'Revenues 9-14'!F5</f>
        <v>330447</v>
      </c>
      <c r="C7" s="574"/>
      <c r="D7" s="1753">
        <f t="shared" si="0"/>
        <v>330447</v>
      </c>
      <c r="E7" s="574">
        <v>340583</v>
      </c>
      <c r="F7" s="1753">
        <f t="shared" si="1"/>
        <v>340583</v>
      </c>
    </row>
    <row r="8" spans="1:6" ht="13.7" customHeight="1" x14ac:dyDescent="0.2">
      <c r="A8" s="697" t="s">
        <v>1241</v>
      </c>
      <c r="B8" s="1750">
        <f>'Revenues 9-14'!G5</f>
        <v>343713</v>
      </c>
      <c r="C8" s="574"/>
      <c r="D8" s="1753">
        <f t="shared" si="0"/>
        <v>343713</v>
      </c>
      <c r="E8" s="574">
        <v>345011</v>
      </c>
      <c r="F8" s="1753">
        <f t="shared" si="1"/>
        <v>345011</v>
      </c>
    </row>
    <row r="9" spans="1:6" ht="13.7" customHeight="1" x14ac:dyDescent="0.2">
      <c r="A9" s="697" t="s">
        <v>428</v>
      </c>
      <c r="B9" s="1750">
        <f>'Revenues 9-14'!H5</f>
        <v>0</v>
      </c>
      <c r="C9" s="574"/>
      <c r="D9" s="1753">
        <f t="shared" si="0"/>
        <v>0</v>
      </c>
      <c r="E9" s="574"/>
      <c r="F9" s="1753">
        <f t="shared" si="1"/>
        <v>0</v>
      </c>
    </row>
    <row r="10" spans="1:6" ht="13.7" customHeight="1" x14ac:dyDescent="0.2">
      <c r="A10" s="697" t="s">
        <v>427</v>
      </c>
      <c r="B10" s="1750">
        <f>'Revenues 9-14'!I5</f>
        <v>137485.04999999999</v>
      </c>
      <c r="C10" s="574"/>
      <c r="D10" s="1753">
        <f t="shared" si="0"/>
        <v>137485.04999999999</v>
      </c>
      <c r="E10" s="574">
        <v>141910</v>
      </c>
      <c r="F10" s="1753">
        <f t="shared" si="1"/>
        <v>141910</v>
      </c>
    </row>
    <row r="11" spans="1:6" x14ac:dyDescent="0.2">
      <c r="A11" s="697" t="s">
        <v>429</v>
      </c>
      <c r="B11" s="1750">
        <f>'Revenues 9-14'!J5</f>
        <v>498081.74</v>
      </c>
      <c r="C11" s="574"/>
      <c r="D11" s="1753">
        <f t="shared" si="0"/>
        <v>498081.74</v>
      </c>
      <c r="E11" s="574">
        <v>500005</v>
      </c>
      <c r="F11" s="1753">
        <f t="shared" si="1"/>
        <v>500005</v>
      </c>
    </row>
    <row r="12" spans="1:6" ht="13.7" customHeight="1" x14ac:dyDescent="0.2">
      <c r="A12" s="697" t="s">
        <v>159</v>
      </c>
      <c r="B12" s="1750">
        <f>'Revenues 9-14'!K5</f>
        <v>137485.04999999999</v>
      </c>
      <c r="C12" s="574"/>
      <c r="D12" s="1753">
        <f t="shared" si="0"/>
        <v>137485.04999999999</v>
      </c>
      <c r="E12" s="574"/>
      <c r="F12" s="1753">
        <f t="shared" si="1"/>
        <v>0</v>
      </c>
    </row>
    <row r="13" spans="1:6" ht="13.7" customHeight="1" x14ac:dyDescent="0.2">
      <c r="A13" s="697" t="s">
        <v>993</v>
      </c>
      <c r="B13" s="1750">
        <f>SUM('Revenues 9-14'!C6:D6)</f>
        <v>137485</v>
      </c>
      <c r="C13" s="574"/>
      <c r="D13" s="1753">
        <f t="shared" si="0"/>
        <v>137485</v>
      </c>
      <c r="E13" s="574">
        <v>141910</v>
      </c>
      <c r="F13" s="1753">
        <f t="shared" si="1"/>
        <v>141910</v>
      </c>
    </row>
    <row r="14" spans="1:6" ht="13.7" customHeight="1" x14ac:dyDescent="0.2">
      <c r="A14" s="697" t="s">
        <v>430</v>
      </c>
      <c r="B14" s="1750">
        <f>SUM('Revenues 9-14'!C7:D7,'Revenues 9-14'!F7:H7)</f>
        <v>55476</v>
      </c>
      <c r="C14" s="574"/>
      <c r="D14" s="1753">
        <f t="shared" si="0"/>
        <v>55476</v>
      </c>
      <c r="E14" s="574">
        <v>56764</v>
      </c>
      <c r="F14" s="1753">
        <f t="shared" si="1"/>
        <v>56764</v>
      </c>
    </row>
    <row r="15" spans="1:6" ht="13.7" customHeight="1" x14ac:dyDescent="0.2">
      <c r="A15" s="697" t="s">
        <v>1220</v>
      </c>
      <c r="B15" s="1750">
        <f>'Revenues 9-14'!E9</f>
        <v>0</v>
      </c>
      <c r="C15" s="574"/>
      <c r="D15" s="1753">
        <f t="shared" si="0"/>
        <v>0</v>
      </c>
      <c r="E15" s="574"/>
      <c r="F15" s="1753">
        <f t="shared" si="1"/>
        <v>0</v>
      </c>
    </row>
    <row r="16" spans="1:6" ht="13.7" customHeight="1" x14ac:dyDescent="0.2">
      <c r="A16" s="697" t="s">
        <v>1221</v>
      </c>
      <c r="B16" s="1750">
        <f>'Revenues 9-14'!G8</f>
        <v>418485</v>
      </c>
      <c r="C16" s="574"/>
      <c r="D16" s="1753">
        <f t="shared" si="0"/>
        <v>418485</v>
      </c>
      <c r="E16" s="574">
        <v>420025</v>
      </c>
      <c r="F16" s="1753">
        <f t="shared" si="1"/>
        <v>420025</v>
      </c>
    </row>
    <row r="17" spans="1:6" ht="13.7" customHeight="1" x14ac:dyDescent="0.2">
      <c r="A17" s="697" t="s">
        <v>1222</v>
      </c>
      <c r="B17" s="1750">
        <f>'Revenues 9-14'!C10</f>
        <v>0</v>
      </c>
      <c r="C17" s="574"/>
      <c r="D17" s="1753">
        <f t="shared" si="0"/>
        <v>0</v>
      </c>
      <c r="E17" s="574"/>
      <c r="F17" s="1753">
        <f t="shared" si="1"/>
        <v>0</v>
      </c>
    </row>
    <row r="18" spans="1:6" ht="13.7" customHeight="1" x14ac:dyDescent="0.2">
      <c r="A18" s="697" t="s">
        <v>786</v>
      </c>
      <c r="B18" s="1750">
        <f>SUM('Revenues 9-14'!C11:K11)</f>
        <v>0</v>
      </c>
      <c r="C18" s="574"/>
      <c r="D18" s="1753">
        <f t="shared" si="0"/>
        <v>0</v>
      </c>
      <c r="E18" s="574"/>
      <c r="F18" s="1753">
        <f t="shared" si="1"/>
        <v>0</v>
      </c>
    </row>
    <row r="19" spans="1:6" ht="13.7" customHeight="1" thickBot="1" x14ac:dyDescent="0.25">
      <c r="A19" s="1754" t="s">
        <v>1223</v>
      </c>
      <c r="B19" s="1751">
        <f>SUM(B4:B18)</f>
        <v>12060091.030000001</v>
      </c>
      <c r="C19" s="1751">
        <f>SUM(C4:C18)</f>
        <v>0</v>
      </c>
      <c r="D19" s="1751">
        <f>SUM(D4:D18)</f>
        <v>12060091.030000001</v>
      </c>
      <c r="E19" s="1751">
        <f>SUM(E4:E18)</f>
        <v>12015358</v>
      </c>
      <c r="F19" s="1751">
        <f>SUM(F4:F18)</f>
        <v>12015358</v>
      </c>
    </row>
    <row r="20" spans="1:6" ht="13.5" thickTop="1" x14ac:dyDescent="0.2">
      <c r="B20" s="695"/>
      <c r="F20" s="698"/>
    </row>
    <row r="21" spans="1:6" x14ac:dyDescent="0.2">
      <c r="A21" s="699" t="s">
        <v>1911</v>
      </c>
      <c r="B21" s="700"/>
      <c r="F21" s="698"/>
    </row>
    <row r="22" spans="1:6" x14ac:dyDescent="0.2">
      <c r="A22" s="701" t="s">
        <v>649</v>
      </c>
      <c r="B22" s="70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heetViews>
  <sheetFormatPr defaultColWidth="9.140625" defaultRowHeight="12.75" x14ac:dyDescent="0.2"/>
  <cols>
    <col min="1" max="1" width="44" style="401" customWidth="1"/>
    <col min="2" max="2" width="12.140625" style="704" customWidth="1"/>
    <col min="3" max="5" width="16.7109375" style="70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2" t="s">
        <v>650</v>
      </c>
      <c r="B1" s="2243"/>
      <c r="C1" s="703"/>
    </row>
    <row r="2" spans="1:7" ht="33.75" x14ac:dyDescent="0.2">
      <c r="A2" s="2251" t="s">
        <v>1901</v>
      </c>
      <c r="B2" s="2252"/>
      <c r="C2" s="1885" t="s">
        <v>2034</v>
      </c>
      <c r="D2" s="705" t="s">
        <v>2041</v>
      </c>
      <c r="E2" s="705" t="s">
        <v>2042</v>
      </c>
      <c r="F2" s="1885" t="s">
        <v>2035</v>
      </c>
    </row>
    <row r="3" spans="1:7" ht="15.75" customHeight="1" x14ac:dyDescent="0.2">
      <c r="A3" s="2255" t="s">
        <v>1176</v>
      </c>
      <c r="B3" s="2256"/>
      <c r="C3" s="2244"/>
      <c r="D3" s="2245"/>
      <c r="E3" s="2245"/>
      <c r="F3" s="2246"/>
    </row>
    <row r="4" spans="1:7" ht="12.75" customHeight="1" thickBot="1" x14ac:dyDescent="0.25">
      <c r="A4" s="2253" t="s">
        <v>651</v>
      </c>
      <c r="B4" s="2254"/>
      <c r="C4" s="571"/>
      <c r="D4" s="571"/>
      <c r="E4" s="571"/>
      <c r="F4" s="1755">
        <f>SUM(C4+D4)-E4</f>
        <v>0</v>
      </c>
    </row>
    <row r="5" spans="1:7" ht="15.75" customHeight="1" thickTop="1" x14ac:dyDescent="0.2">
      <c r="A5" s="2238" t="s">
        <v>1172</v>
      </c>
      <c r="B5" s="2239"/>
      <c r="C5" s="2247"/>
      <c r="D5" s="2248"/>
      <c r="E5" s="2248"/>
      <c r="F5" s="2249"/>
    </row>
    <row r="6" spans="1:7" ht="12.75" customHeight="1" thickBot="1" x14ac:dyDescent="0.25">
      <c r="A6" s="706" t="s">
        <v>66</v>
      </c>
      <c r="B6" s="707"/>
      <c r="C6" s="708"/>
      <c r="D6" s="574"/>
      <c r="E6" s="708"/>
      <c r="F6" s="1755">
        <f t="shared" ref="F6:F14" si="0">SUM(C6+D6)-E6</f>
        <v>0</v>
      </c>
    </row>
    <row r="7" spans="1:7" ht="12.75" customHeight="1" thickTop="1" thickBot="1" x14ac:dyDescent="0.25">
      <c r="A7" s="706" t="s">
        <v>6</v>
      </c>
      <c r="B7" s="707"/>
      <c r="C7" s="708"/>
      <c r="D7" s="574"/>
      <c r="E7" s="708"/>
      <c r="F7" s="1755">
        <f t="shared" si="0"/>
        <v>0</v>
      </c>
    </row>
    <row r="8" spans="1:7" ht="12.75" customHeight="1" thickTop="1" thickBot="1" x14ac:dyDescent="0.25">
      <c r="A8" s="706" t="s">
        <v>529</v>
      </c>
      <c r="B8" s="707"/>
      <c r="C8" s="708"/>
      <c r="D8" s="574"/>
      <c r="E8" s="708"/>
      <c r="F8" s="1755">
        <f t="shared" si="0"/>
        <v>0</v>
      </c>
    </row>
    <row r="9" spans="1:7" ht="12.75" customHeight="1" thickTop="1" thickBot="1" x14ac:dyDescent="0.25">
      <c r="A9" s="706" t="s">
        <v>530</v>
      </c>
      <c r="B9" s="707"/>
      <c r="C9" s="708"/>
      <c r="D9" s="574"/>
      <c r="E9" s="708"/>
      <c r="F9" s="1755">
        <f t="shared" si="0"/>
        <v>0</v>
      </c>
    </row>
    <row r="10" spans="1:7" ht="12.75" customHeight="1" thickTop="1" thickBot="1" x14ac:dyDescent="0.25">
      <c r="A10" s="706" t="s">
        <v>531</v>
      </c>
      <c r="B10" s="707"/>
      <c r="C10" s="708"/>
      <c r="D10" s="574"/>
      <c r="E10" s="708"/>
      <c r="F10" s="1755">
        <f t="shared" si="0"/>
        <v>0</v>
      </c>
    </row>
    <row r="11" spans="1:7" ht="12.75" customHeight="1" thickTop="1" thickBot="1" x14ac:dyDescent="0.25">
      <c r="A11" s="706" t="s">
        <v>359</v>
      </c>
      <c r="B11" s="707"/>
      <c r="C11" s="708"/>
      <c r="D11" s="574"/>
      <c r="E11" s="708"/>
      <c r="F11" s="1755">
        <f t="shared" si="0"/>
        <v>0</v>
      </c>
    </row>
    <row r="12" spans="1:7" ht="12.75" customHeight="1" thickTop="1" thickBot="1" x14ac:dyDescent="0.25">
      <c r="A12" s="706" t="s">
        <v>1219</v>
      </c>
      <c r="B12" s="707"/>
      <c r="C12" s="708"/>
      <c r="D12" s="574"/>
      <c r="E12" s="708"/>
      <c r="F12" s="1755">
        <f t="shared" si="0"/>
        <v>0</v>
      </c>
    </row>
    <row r="13" spans="1:7" ht="12.75" customHeight="1" thickTop="1" thickBot="1" x14ac:dyDescent="0.25">
      <c r="A13" s="706" t="s">
        <v>406</v>
      </c>
      <c r="B13" s="707"/>
      <c r="C13" s="708"/>
      <c r="D13" s="574"/>
      <c r="E13" s="708"/>
      <c r="F13" s="1755">
        <f t="shared" si="0"/>
        <v>0</v>
      </c>
    </row>
    <row r="14" spans="1:7" ht="12.75" customHeight="1" thickTop="1" thickBot="1" x14ac:dyDescent="0.25">
      <c r="A14" s="706" t="s">
        <v>468</v>
      </c>
      <c r="B14" s="707"/>
      <c r="C14" s="708"/>
      <c r="D14" s="574"/>
      <c r="E14" s="708"/>
      <c r="F14" s="1755">
        <f t="shared" si="0"/>
        <v>0</v>
      </c>
    </row>
    <row r="15" spans="1:7" ht="14.25" thickTop="1" thickBot="1" x14ac:dyDescent="0.25">
      <c r="A15" s="2240" t="s">
        <v>652</v>
      </c>
      <c r="B15" s="2241"/>
      <c r="C15" s="1755">
        <f>SUM(C6:C14)</f>
        <v>0</v>
      </c>
      <c r="D15" s="1755">
        <f>SUM(D6:D14)</f>
        <v>0</v>
      </c>
      <c r="E15" s="1755">
        <f>SUM(E6:E14)</f>
        <v>0</v>
      </c>
      <c r="F15" s="1755">
        <f>SUM(F6:F14)</f>
        <v>0</v>
      </c>
      <c r="G15" s="551"/>
    </row>
    <row r="16" spans="1:7" s="202" customFormat="1" ht="15.75" customHeight="1" thickTop="1" x14ac:dyDescent="0.2">
      <c r="A16" s="2250" t="s">
        <v>1173</v>
      </c>
      <c r="B16" s="2239"/>
      <c r="C16" s="2247"/>
      <c r="D16" s="2248"/>
      <c r="E16" s="2248"/>
      <c r="F16" s="2249"/>
    </row>
    <row r="17" spans="1:11" ht="12.75" customHeight="1" thickBot="1" x14ac:dyDescent="0.25">
      <c r="A17" s="2263" t="s">
        <v>66</v>
      </c>
      <c r="B17" s="2264"/>
      <c r="C17" s="708"/>
      <c r="D17" s="574"/>
      <c r="E17" s="708"/>
      <c r="F17" s="1755">
        <f>SUM(C17+D17)-E17</f>
        <v>0</v>
      </c>
    </row>
    <row r="18" spans="1:11" ht="12.75" customHeight="1" thickTop="1" thickBot="1" x14ac:dyDescent="0.25">
      <c r="A18" s="2263" t="s">
        <v>6</v>
      </c>
      <c r="B18" s="2264"/>
      <c r="C18" s="708"/>
      <c r="D18" s="574"/>
      <c r="E18" s="708"/>
      <c r="F18" s="1755">
        <f>SUM(C18+D18)-E18</f>
        <v>0</v>
      </c>
    </row>
    <row r="19" spans="1:11" ht="12.75" customHeight="1" thickTop="1" thickBot="1" x14ac:dyDescent="0.25">
      <c r="A19" s="2263" t="s">
        <v>406</v>
      </c>
      <c r="B19" s="2264"/>
      <c r="C19" s="708"/>
      <c r="D19" s="574"/>
      <c r="E19" s="708"/>
      <c r="F19" s="1755">
        <f>SUM(C19+D19)-E19</f>
        <v>0</v>
      </c>
    </row>
    <row r="20" spans="1:11" ht="12.75" customHeight="1" thickTop="1" thickBot="1" x14ac:dyDescent="0.25">
      <c r="A20" s="2263" t="s">
        <v>468</v>
      </c>
      <c r="B20" s="2264"/>
      <c r="C20" s="708"/>
      <c r="D20" s="574"/>
      <c r="E20" s="708"/>
      <c r="F20" s="1755">
        <f>SUM(C20+D20)-E20</f>
        <v>0</v>
      </c>
    </row>
    <row r="21" spans="1:11" ht="14.25" thickTop="1" thickBot="1" x14ac:dyDescent="0.25">
      <c r="A21" s="2240" t="s">
        <v>653</v>
      </c>
      <c r="B21" s="2241"/>
      <c r="C21" s="1755">
        <f>SUM(C17:C20)</f>
        <v>0</v>
      </c>
      <c r="D21" s="1755">
        <f>SUM(D17:D20)</f>
        <v>0</v>
      </c>
      <c r="E21" s="1755">
        <f>SUM(E17:E20)</f>
        <v>0</v>
      </c>
      <c r="F21" s="1755">
        <f>SUM(F17:F20)</f>
        <v>0</v>
      </c>
      <c r="G21" s="551"/>
    </row>
    <row r="22" spans="1:11" ht="15.75" customHeight="1" thickTop="1" x14ac:dyDescent="0.2">
      <c r="A22" s="2265" t="s">
        <v>1174</v>
      </c>
      <c r="B22" s="2239"/>
      <c r="C22" s="2247"/>
      <c r="D22" s="2248"/>
      <c r="E22" s="2248"/>
      <c r="F22" s="2249"/>
    </row>
    <row r="23" spans="1:11" ht="13.5" thickBot="1" x14ac:dyDescent="0.25">
      <c r="A23" s="2253" t="s">
        <v>654</v>
      </c>
      <c r="B23" s="2254"/>
      <c r="C23" s="571"/>
      <c r="D23" s="571"/>
      <c r="E23" s="571"/>
      <c r="F23" s="1755">
        <f>SUM(C23+D23)-E23</f>
        <v>0</v>
      </c>
      <c r="G23" s="551"/>
    </row>
    <row r="24" spans="1:11" ht="15.75" customHeight="1" thickTop="1" x14ac:dyDescent="0.2">
      <c r="A24" s="2265" t="s">
        <v>1175</v>
      </c>
      <c r="B24" s="2239"/>
      <c r="C24" s="2247"/>
      <c r="D24" s="2248"/>
      <c r="E24" s="2248"/>
      <c r="F24" s="2249"/>
    </row>
    <row r="25" spans="1:11" ht="13.5" thickBot="1" x14ac:dyDescent="0.25">
      <c r="A25" s="2253" t="s">
        <v>655</v>
      </c>
      <c r="B25" s="2254"/>
      <c r="C25" s="571"/>
      <c r="D25" s="571"/>
      <c r="E25" s="571"/>
      <c r="F25" s="1755">
        <f>SUM(C25+D25)-E25</f>
        <v>0</v>
      </c>
      <c r="G25" s="551"/>
    </row>
    <row r="26" spans="1:11" ht="15.75" customHeight="1" thickTop="1" x14ac:dyDescent="0.2">
      <c r="A26" s="2238" t="s">
        <v>678</v>
      </c>
      <c r="B26" s="2239"/>
      <c r="C26" s="709"/>
      <c r="D26" s="709"/>
      <c r="E26" s="709"/>
      <c r="F26" s="710"/>
    </row>
    <row r="27" spans="1:11" ht="13.5" thickBot="1" x14ac:dyDescent="0.25">
      <c r="A27" s="2240" t="s">
        <v>1130</v>
      </c>
      <c r="B27" s="2241"/>
      <c r="C27" s="574"/>
      <c r="D27" s="574"/>
      <c r="E27" s="574"/>
      <c r="F27" s="1755">
        <f>SUM(C27+D27)-E27</f>
        <v>0</v>
      </c>
      <c r="G27" s="551"/>
    </row>
    <row r="28" spans="1:11" ht="7.5" customHeight="1" thickTop="1" x14ac:dyDescent="0.2">
      <c r="A28" s="579"/>
    </row>
    <row r="29" spans="1:11" ht="23.25" customHeight="1" x14ac:dyDescent="0.2">
      <c r="A29" s="2266" t="s">
        <v>603</v>
      </c>
      <c r="B29" s="2243"/>
      <c r="C29" s="711"/>
      <c r="D29" s="711"/>
      <c r="E29" s="711"/>
      <c r="F29" s="711"/>
      <c r="G29" s="711"/>
      <c r="H29" s="711"/>
      <c r="I29" s="711"/>
      <c r="J29" s="711"/>
    </row>
    <row r="30" spans="1:11" ht="33.75" x14ac:dyDescent="0.2">
      <c r="A30" s="1531" t="s">
        <v>1131</v>
      </c>
      <c r="B30" s="712" t="s">
        <v>1186</v>
      </c>
      <c r="C30" s="1886" t="s">
        <v>604</v>
      </c>
      <c r="D30" s="1886" t="s">
        <v>1772</v>
      </c>
      <c r="E30" s="1886" t="s">
        <v>2036</v>
      </c>
      <c r="F30" s="1886" t="s">
        <v>2037</v>
      </c>
      <c r="G30" s="1886" t="s">
        <v>2040</v>
      </c>
      <c r="H30" s="1886" t="s">
        <v>2038</v>
      </c>
      <c r="I30" s="1886" t="s">
        <v>2039</v>
      </c>
      <c r="J30" s="1887" t="s">
        <v>2</v>
      </c>
      <c r="K30" s="713"/>
    </row>
    <row r="31" spans="1:11" ht="12" customHeight="1" x14ac:dyDescent="0.2">
      <c r="A31" s="1947" t="s">
        <v>3838</v>
      </c>
      <c r="B31" s="1948" t="s">
        <v>3839</v>
      </c>
      <c r="C31" s="1949"/>
      <c r="D31" s="1951">
        <v>7</v>
      </c>
      <c r="E31" s="1949">
        <v>815628</v>
      </c>
      <c r="F31" s="716"/>
      <c r="G31" s="1949">
        <v>-130714</v>
      </c>
      <c r="H31" s="1949">
        <v>130237</v>
      </c>
      <c r="I31" s="1756">
        <f>((E31+F31)-H31)+G31</f>
        <v>554677</v>
      </c>
      <c r="J31" s="716">
        <v>554677</v>
      </c>
      <c r="K31" s="718"/>
    </row>
    <row r="32" spans="1:11" ht="12" customHeight="1" x14ac:dyDescent="0.2">
      <c r="A32" s="1947" t="s">
        <v>3840</v>
      </c>
      <c r="B32" s="1948">
        <v>40483</v>
      </c>
      <c r="C32" s="1949">
        <v>7000000</v>
      </c>
      <c r="D32" s="1951">
        <v>6</v>
      </c>
      <c r="E32" s="1949">
        <v>4645000</v>
      </c>
      <c r="F32" s="716"/>
      <c r="G32" s="1949"/>
      <c r="H32" s="1949">
        <v>125000</v>
      </c>
      <c r="I32" s="1756">
        <f>((E32+F32)-H32)+G32</f>
        <v>4520000</v>
      </c>
      <c r="J32" s="716">
        <v>4500606</v>
      </c>
      <c r="K32" s="718"/>
    </row>
    <row r="33" spans="1:11" ht="12" customHeight="1" x14ac:dyDescent="0.2">
      <c r="A33" s="1950" t="s">
        <v>3842</v>
      </c>
      <c r="B33" s="1948">
        <v>42163</v>
      </c>
      <c r="C33" s="1949">
        <v>1410000</v>
      </c>
      <c r="D33" s="1951">
        <v>4</v>
      </c>
      <c r="E33" s="1949">
        <v>1290000</v>
      </c>
      <c r="F33" s="716"/>
      <c r="G33" s="1949"/>
      <c r="H33" s="1949">
        <v>120000</v>
      </c>
      <c r="I33" s="1756">
        <f t="shared" ref="I33:I48" si="1">((E33+F33)-H33)+G33</f>
        <v>1170000</v>
      </c>
      <c r="J33" s="716">
        <v>1173385</v>
      </c>
      <c r="K33" s="718"/>
    </row>
    <row r="34" spans="1:11" ht="12" customHeight="1" x14ac:dyDescent="0.2">
      <c r="A34" s="1950" t="s">
        <v>3841</v>
      </c>
      <c r="B34" s="1948">
        <v>42375</v>
      </c>
      <c r="C34" s="1949">
        <v>4855000</v>
      </c>
      <c r="D34" s="1951">
        <v>1</v>
      </c>
      <c r="E34" s="1949">
        <v>2585000</v>
      </c>
      <c r="F34" s="716"/>
      <c r="G34" s="1949"/>
      <c r="H34" s="1949">
        <v>2585000</v>
      </c>
      <c r="I34" s="1756">
        <f t="shared" si="1"/>
        <v>0</v>
      </c>
      <c r="J34" s="716">
        <v>58606</v>
      </c>
      <c r="K34" s="719"/>
    </row>
    <row r="35" spans="1:11" ht="12" customHeight="1" x14ac:dyDescent="0.2">
      <c r="A35" s="1950" t="s">
        <v>3841</v>
      </c>
      <c r="B35" s="1948">
        <v>43146</v>
      </c>
      <c r="C35" s="1949">
        <v>1465000</v>
      </c>
      <c r="D35" s="1951">
        <v>1</v>
      </c>
      <c r="E35" s="1949"/>
      <c r="F35" s="716">
        <v>1465000</v>
      </c>
      <c r="G35" s="1949"/>
      <c r="H35" s="1949"/>
      <c r="I35" s="1756">
        <f t="shared" si="1"/>
        <v>1465000</v>
      </c>
      <c r="J35" s="720">
        <v>1463315</v>
      </c>
      <c r="K35" s="719"/>
    </row>
    <row r="36" spans="1:11" ht="12" customHeight="1" x14ac:dyDescent="0.2">
      <c r="A36" s="1950" t="s">
        <v>3841</v>
      </c>
      <c r="B36" s="1948">
        <v>43146</v>
      </c>
      <c r="C36" s="1949">
        <v>4775000</v>
      </c>
      <c r="D36" s="1951">
        <v>1</v>
      </c>
      <c r="E36" s="1949"/>
      <c r="F36" s="716">
        <v>4775000</v>
      </c>
      <c r="G36" s="1949"/>
      <c r="H36" s="1949"/>
      <c r="I36" s="1756">
        <f t="shared" si="1"/>
        <v>4775000</v>
      </c>
      <c r="J36" s="716">
        <v>4775000</v>
      </c>
      <c r="K36" s="721"/>
    </row>
    <row r="37" spans="1:11" ht="12" customHeight="1" x14ac:dyDescent="0.2">
      <c r="A37" s="714"/>
      <c r="B37" s="715"/>
      <c r="C37" s="1949"/>
      <c r="D37" s="1951"/>
      <c r="E37" s="1949"/>
      <c r="F37" s="716"/>
      <c r="G37" s="716"/>
      <c r="H37" s="1949"/>
      <c r="I37" s="1756">
        <f t="shared" si="1"/>
        <v>0</v>
      </c>
      <c r="J37" s="467"/>
      <c r="K37" s="719"/>
    </row>
    <row r="38" spans="1:11" ht="12" customHeight="1" x14ac:dyDescent="0.2">
      <c r="A38" s="714"/>
      <c r="B38" s="715"/>
      <c r="C38" s="1949"/>
      <c r="D38" s="1951"/>
      <c r="E38" s="1949"/>
      <c r="F38" s="716"/>
      <c r="G38" s="716"/>
      <c r="H38" s="1949"/>
      <c r="I38" s="1756">
        <f t="shared" si="1"/>
        <v>0</v>
      </c>
      <c r="J38" s="724" t="s">
        <v>282</v>
      </c>
      <c r="K38" s="725"/>
    </row>
    <row r="39" spans="1:11" ht="12" customHeight="1" x14ac:dyDescent="0.2">
      <c r="A39" s="714"/>
      <c r="B39" s="715"/>
      <c r="C39" s="1949"/>
      <c r="D39" s="1951"/>
      <c r="E39" s="1949"/>
      <c r="F39" s="716"/>
      <c r="G39" s="716"/>
      <c r="H39" s="1949"/>
      <c r="I39" s="1756">
        <f t="shared" si="1"/>
        <v>0</v>
      </c>
      <c r="J39" s="724"/>
      <c r="K39" s="725"/>
    </row>
    <row r="40" spans="1:11" ht="12" customHeight="1" x14ac:dyDescent="0.2">
      <c r="A40" s="714"/>
      <c r="B40" s="715"/>
      <c r="C40" s="1949"/>
      <c r="D40" s="1951"/>
      <c r="E40" s="1949"/>
      <c r="F40" s="716"/>
      <c r="G40" s="716"/>
      <c r="H40" s="1949"/>
      <c r="I40" s="1756">
        <f t="shared" si="1"/>
        <v>0</v>
      </c>
      <c r="J40" s="724"/>
      <c r="K40" s="725"/>
    </row>
    <row r="41" spans="1:11" ht="12" customHeight="1" x14ac:dyDescent="0.2">
      <c r="A41" s="714"/>
      <c r="B41" s="715"/>
      <c r="C41" s="1949"/>
      <c r="D41" s="1951"/>
      <c r="E41" s="1949"/>
      <c r="F41" s="716"/>
      <c r="G41" s="716"/>
      <c r="H41" s="1949"/>
      <c r="I41" s="1756">
        <f t="shared" si="1"/>
        <v>0</v>
      </c>
      <c r="J41" s="724"/>
      <c r="K41" s="725"/>
    </row>
    <row r="42" spans="1:11" ht="12" customHeight="1" x14ac:dyDescent="0.2">
      <c r="A42" s="714"/>
      <c r="B42" s="715"/>
      <c r="C42" s="1949"/>
      <c r="D42" s="1951"/>
      <c r="E42" s="1949"/>
      <c r="F42" s="716"/>
      <c r="G42" s="716"/>
      <c r="H42" s="1949"/>
      <c r="I42" s="1756">
        <f t="shared" si="1"/>
        <v>0</v>
      </c>
      <c r="J42" s="724"/>
      <c r="K42" s="725"/>
    </row>
    <row r="43" spans="1:11" ht="12" customHeight="1" x14ac:dyDescent="0.2">
      <c r="A43" s="714"/>
      <c r="B43" s="715"/>
      <c r="C43" s="716"/>
      <c r="D43" s="722"/>
      <c r="E43" s="723"/>
      <c r="F43" s="723"/>
      <c r="G43" s="723"/>
      <c r="H43" s="723"/>
      <c r="I43" s="1756">
        <f t="shared" si="1"/>
        <v>0</v>
      </c>
      <c r="J43" s="724"/>
      <c r="K43" s="725"/>
    </row>
    <row r="44" spans="1:11" ht="12" customHeight="1" x14ac:dyDescent="0.2">
      <c r="A44" s="714"/>
      <c r="B44" s="715"/>
      <c r="C44" s="716"/>
      <c r="D44" s="717"/>
      <c r="E44" s="716"/>
      <c r="F44" s="716"/>
      <c r="G44" s="716"/>
      <c r="H44" s="716"/>
      <c r="I44" s="1756">
        <f t="shared" si="1"/>
        <v>0</v>
      </c>
      <c r="J44" s="716"/>
      <c r="K44" s="719"/>
    </row>
    <row r="45" spans="1:11" ht="12" customHeight="1" x14ac:dyDescent="0.2">
      <c r="A45" s="714"/>
      <c r="B45" s="715"/>
      <c r="C45" s="716"/>
      <c r="D45" s="717"/>
      <c r="E45" s="716"/>
      <c r="F45" s="716"/>
      <c r="G45" s="716"/>
      <c r="H45" s="716"/>
      <c r="I45" s="1756">
        <f t="shared" si="1"/>
        <v>0</v>
      </c>
      <c r="J45" s="716"/>
      <c r="K45" s="719"/>
    </row>
    <row r="46" spans="1:11" ht="12" customHeight="1" x14ac:dyDescent="0.2">
      <c r="A46" s="714"/>
      <c r="B46" s="715"/>
      <c r="C46" s="716"/>
      <c r="D46" s="717"/>
      <c r="E46" s="716"/>
      <c r="F46" s="716"/>
      <c r="G46" s="716"/>
      <c r="H46" s="716"/>
      <c r="I46" s="1756">
        <f t="shared" si="1"/>
        <v>0</v>
      </c>
      <c r="J46" s="716"/>
      <c r="K46" s="719"/>
    </row>
    <row r="47" spans="1:11" ht="12" customHeight="1" x14ac:dyDescent="0.2">
      <c r="A47" s="714"/>
      <c r="B47" s="715"/>
      <c r="C47" s="720"/>
      <c r="D47" s="717"/>
      <c r="E47" s="720"/>
      <c r="F47" s="720"/>
      <c r="G47" s="720"/>
      <c r="H47" s="720"/>
      <c r="I47" s="1756">
        <f t="shared" si="1"/>
        <v>0</v>
      </c>
      <c r="J47" s="720"/>
      <c r="K47" s="719"/>
    </row>
    <row r="48" spans="1:11" ht="12" customHeight="1" x14ac:dyDescent="0.2">
      <c r="A48" s="714"/>
      <c r="B48" s="715"/>
      <c r="C48" s="716"/>
      <c r="D48" s="717"/>
      <c r="E48" s="716"/>
      <c r="F48" s="716"/>
      <c r="G48" s="716"/>
      <c r="H48" s="716"/>
      <c r="I48" s="1756">
        <f t="shared" si="1"/>
        <v>0</v>
      </c>
      <c r="J48" s="716"/>
      <c r="K48" s="719"/>
    </row>
    <row r="49" spans="1:11" ht="12" customHeight="1" x14ac:dyDescent="0.2">
      <c r="A49" s="714"/>
      <c r="B49" s="715"/>
      <c r="C49" s="1756">
        <f>SUM(C31:C48)</f>
        <v>19505000</v>
      </c>
      <c r="D49" s="726"/>
      <c r="E49" s="1756">
        <f t="shared" ref="E49:J49" si="2">SUM(E31:E48)</f>
        <v>9335628</v>
      </c>
      <c r="F49" s="1756">
        <f t="shared" si="2"/>
        <v>6240000</v>
      </c>
      <c r="G49" s="1756">
        <f t="shared" si="2"/>
        <v>-130714</v>
      </c>
      <c r="H49" s="1756">
        <f t="shared" si="2"/>
        <v>2960237</v>
      </c>
      <c r="I49" s="1756">
        <f t="shared" si="2"/>
        <v>12484677</v>
      </c>
      <c r="J49" s="1756">
        <f t="shared" si="2"/>
        <v>12525589</v>
      </c>
      <c r="K49" s="719"/>
    </row>
    <row r="50" spans="1:11" ht="6" customHeight="1" x14ac:dyDescent="0.2">
      <c r="A50" s="727"/>
      <c r="B50" s="718"/>
      <c r="C50" s="718"/>
      <c r="D50" s="718"/>
      <c r="E50" s="718"/>
      <c r="F50" s="718"/>
      <c r="G50" s="718"/>
      <c r="H50" s="718"/>
      <c r="I50" s="718"/>
      <c r="J50" s="727"/>
    </row>
    <row r="51" spans="1:11" x14ac:dyDescent="0.2">
      <c r="A51" s="728" t="s">
        <v>1910</v>
      </c>
      <c r="B51" s="727"/>
      <c r="C51" s="719"/>
      <c r="D51" s="719"/>
      <c r="E51" s="719"/>
      <c r="F51" s="719"/>
      <c r="G51" s="719"/>
      <c r="H51" s="718"/>
      <c r="I51" s="718"/>
      <c r="J51" s="727"/>
    </row>
    <row r="52" spans="1:11" ht="11.25" customHeight="1" x14ac:dyDescent="0.2">
      <c r="A52" s="729" t="s">
        <v>968</v>
      </c>
      <c r="B52" s="2257" t="s">
        <v>605</v>
      </c>
      <c r="C52" s="2258"/>
      <c r="D52" s="2258"/>
      <c r="E52" s="730" t="s">
        <v>900</v>
      </c>
      <c r="F52" s="2259"/>
      <c r="G52" s="2260"/>
      <c r="H52" s="718"/>
      <c r="I52" s="718"/>
      <c r="J52" s="727"/>
    </row>
    <row r="53" spans="1:11" ht="11.25" customHeight="1" x14ac:dyDescent="0.2">
      <c r="A53" s="731" t="s">
        <v>969</v>
      </c>
      <c r="B53" s="732" t="s">
        <v>1008</v>
      </c>
      <c r="C53" s="727"/>
      <c r="D53" s="719"/>
      <c r="E53" s="730" t="s">
        <v>518</v>
      </c>
      <c r="F53" s="2261"/>
      <c r="G53" s="2262"/>
      <c r="H53" s="718"/>
      <c r="I53" s="718"/>
      <c r="J53" s="727"/>
    </row>
    <row r="54" spans="1:11" ht="11.25" customHeight="1" x14ac:dyDescent="0.2">
      <c r="A54" s="733" t="s">
        <v>970</v>
      </c>
      <c r="B54" s="728" t="s">
        <v>1009</v>
      </c>
      <c r="C54" s="727"/>
      <c r="D54" s="719"/>
      <c r="E54" s="730" t="s">
        <v>519</v>
      </c>
      <c r="F54" s="2261"/>
      <c r="G54" s="2262"/>
      <c r="H54" s="718"/>
      <c r="I54" s="718"/>
      <c r="J54" s="727"/>
    </row>
    <row r="55" spans="1:11" ht="6" customHeight="1" x14ac:dyDescent="0.2">
      <c r="A55" s="719"/>
      <c r="B55" s="734"/>
      <c r="C55" s="735"/>
      <c r="D55" s="736"/>
      <c r="E55" s="737"/>
      <c r="F55" s="738"/>
      <c r="G55" s="727"/>
      <c r="H55" s="718"/>
      <c r="I55" s="718"/>
      <c r="J55" s="727"/>
    </row>
    <row r="56" spans="1:11" ht="11.25" customHeight="1" x14ac:dyDescent="0.2">
      <c r="A56" s="734"/>
      <c r="B56" s="739"/>
      <c r="C56" s="719"/>
      <c r="D56" s="719"/>
      <c r="E56" s="719"/>
      <c r="F56" s="719"/>
      <c r="G56" s="718"/>
      <c r="H56" s="718"/>
      <c r="I56" s="718"/>
      <c r="J56" s="727"/>
    </row>
    <row r="57" spans="1:11" ht="11.25" customHeight="1" x14ac:dyDescent="0.2">
      <c r="A57" s="719"/>
      <c r="B57" s="740"/>
      <c r="C57" s="719"/>
      <c r="D57" s="719"/>
      <c r="E57" s="719"/>
      <c r="F57" s="719"/>
      <c r="G57" s="718"/>
      <c r="H57" s="718"/>
      <c r="I57" s="718"/>
      <c r="J57" s="727"/>
    </row>
    <row r="58" spans="1:11" ht="11.25" customHeight="1" x14ac:dyDescent="0.2">
      <c r="A58" s="734"/>
      <c r="B58" s="739"/>
      <c r="C58" s="719"/>
      <c r="D58" s="719"/>
      <c r="E58" s="719"/>
      <c r="F58" s="719"/>
      <c r="G58" s="718"/>
      <c r="H58" s="718"/>
      <c r="I58" s="718"/>
      <c r="J58" s="72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8"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1" t="s">
        <v>911</v>
      </c>
      <c r="B1" s="2292"/>
      <c r="C1" s="2292"/>
      <c r="D1" s="2292"/>
      <c r="E1" s="2292"/>
      <c r="F1" s="2292"/>
      <c r="G1" s="2293"/>
      <c r="H1" s="1532"/>
      <c r="I1" s="741"/>
      <c r="J1" s="433"/>
    </row>
    <row r="2" spans="1:11" ht="26.25" x14ac:dyDescent="0.2">
      <c r="A2" s="2270" t="s">
        <v>1776</v>
      </c>
      <c r="B2" s="2271"/>
      <c r="C2" s="2271"/>
      <c r="D2" s="2271"/>
      <c r="E2" s="2272"/>
      <c r="F2" s="742" t="s">
        <v>960</v>
      </c>
      <c r="G2" s="743" t="s">
        <v>1773</v>
      </c>
      <c r="H2" s="743" t="s">
        <v>430</v>
      </c>
      <c r="I2" s="743" t="s">
        <v>1220</v>
      </c>
      <c r="J2" s="743" t="s">
        <v>1915</v>
      </c>
      <c r="K2" s="743" t="s">
        <v>140</v>
      </c>
    </row>
    <row r="3" spans="1:11" x14ac:dyDescent="0.2">
      <c r="A3" s="2273" t="s">
        <v>1698</v>
      </c>
      <c r="B3" s="2274"/>
      <c r="C3" s="2274"/>
      <c r="D3" s="2274"/>
      <c r="E3" s="2275"/>
      <c r="F3" s="744"/>
      <c r="G3" s="745"/>
      <c r="H3" s="745"/>
      <c r="I3" s="745"/>
      <c r="J3" s="746"/>
      <c r="K3" s="746"/>
    </row>
    <row r="4" spans="1:11" x14ac:dyDescent="0.2">
      <c r="A4" s="2276" t="s">
        <v>387</v>
      </c>
      <c r="B4" s="2277"/>
      <c r="C4" s="2277"/>
      <c r="D4" s="2277"/>
      <c r="E4" s="2258"/>
      <c r="F4" s="747"/>
      <c r="G4" s="748"/>
      <c r="H4" s="749"/>
      <c r="I4" s="748"/>
      <c r="J4" s="750"/>
      <c r="K4" s="750"/>
    </row>
    <row r="5" spans="1:11" x14ac:dyDescent="0.2">
      <c r="A5" s="2294" t="s">
        <v>1129</v>
      </c>
      <c r="B5" s="2267"/>
      <c r="C5" s="2267"/>
      <c r="D5" s="2267"/>
      <c r="E5" s="2295"/>
      <c r="F5" s="751" t="s">
        <v>903</v>
      </c>
      <c r="G5" s="752"/>
      <c r="H5" s="745">
        <v>55476</v>
      </c>
      <c r="I5" s="753"/>
      <c r="J5" s="754"/>
      <c r="K5" s="754"/>
    </row>
    <row r="6" spans="1:11" x14ac:dyDescent="0.2">
      <c r="A6" s="755" t="s">
        <v>744</v>
      </c>
      <c r="B6" s="756"/>
      <c r="C6" s="756"/>
      <c r="D6" s="756"/>
      <c r="E6" s="757"/>
      <c r="F6" s="758" t="s">
        <v>904</v>
      </c>
      <c r="G6" s="745"/>
      <c r="H6" s="745"/>
      <c r="I6" s="745"/>
      <c r="J6" s="746"/>
      <c r="K6" s="746"/>
    </row>
    <row r="7" spans="1:11" x14ac:dyDescent="0.2">
      <c r="A7" s="759" t="s">
        <v>264</v>
      </c>
      <c r="B7" s="760"/>
      <c r="C7" s="760"/>
      <c r="D7" s="760"/>
      <c r="E7" s="761"/>
      <c r="F7" s="751" t="s">
        <v>905</v>
      </c>
      <c r="G7" s="748"/>
      <c r="H7" s="748"/>
      <c r="I7" s="748"/>
      <c r="J7" s="762"/>
      <c r="K7" s="746"/>
    </row>
    <row r="8" spans="1:11" x14ac:dyDescent="0.2">
      <c r="A8" s="759" t="s">
        <v>363</v>
      </c>
      <c r="B8" s="760"/>
      <c r="C8" s="760"/>
      <c r="D8" s="760"/>
      <c r="E8" s="761"/>
      <c r="F8" s="751" t="s">
        <v>906</v>
      </c>
      <c r="G8" s="763"/>
      <c r="H8" s="763"/>
      <c r="I8" s="763"/>
      <c r="J8" s="746"/>
      <c r="K8" s="750"/>
    </row>
    <row r="9" spans="1:11" x14ac:dyDescent="0.2">
      <c r="A9" s="759" t="s">
        <v>140</v>
      </c>
      <c r="B9" s="760"/>
      <c r="C9" s="760"/>
      <c r="D9" s="760"/>
      <c r="E9" s="761"/>
      <c r="F9" s="758" t="s">
        <v>908</v>
      </c>
      <c r="G9" s="763"/>
      <c r="H9" s="752"/>
      <c r="I9" s="752"/>
      <c r="J9" s="762"/>
      <c r="K9" s="746"/>
    </row>
    <row r="10" spans="1:11" x14ac:dyDescent="0.2">
      <c r="A10" s="2294" t="s">
        <v>1916</v>
      </c>
      <c r="B10" s="2267"/>
      <c r="C10" s="2267"/>
      <c r="D10" s="2267"/>
      <c r="E10" s="2296"/>
      <c r="F10" s="764" t="s">
        <v>917</v>
      </c>
      <c r="G10" s="763"/>
      <c r="H10" s="765"/>
      <c r="I10" s="745"/>
      <c r="J10" s="746"/>
      <c r="K10" s="746"/>
    </row>
    <row r="11" spans="1:11" x14ac:dyDescent="0.2">
      <c r="A11" s="2294" t="s">
        <v>162</v>
      </c>
      <c r="B11" s="2267"/>
      <c r="C11" s="2267"/>
      <c r="D11" s="2267"/>
      <c r="E11" s="2295"/>
      <c r="F11" s="751" t="s">
        <v>907</v>
      </c>
      <c r="G11" s="752"/>
      <c r="H11" s="745"/>
      <c r="I11" s="745"/>
      <c r="J11" s="746"/>
      <c r="K11" s="754"/>
    </row>
    <row r="12" spans="1:11" ht="13.5" thickBot="1" x14ac:dyDescent="0.25">
      <c r="A12" s="2284" t="s">
        <v>961</v>
      </c>
      <c r="B12" s="2285"/>
      <c r="C12" s="2285"/>
      <c r="D12" s="2285"/>
      <c r="E12" s="2286"/>
      <c r="F12" s="1757"/>
      <c r="G12" s="1758">
        <f>SUM(G5:G11)</f>
        <v>0</v>
      </c>
      <c r="H12" s="1758">
        <f>SUM(H5:H11)</f>
        <v>55476</v>
      </c>
      <c r="I12" s="1758">
        <f>SUM(I5:I11)</f>
        <v>0</v>
      </c>
      <c r="J12" s="1758">
        <f>SUM(J5:J11)</f>
        <v>0</v>
      </c>
      <c r="K12" s="1758">
        <f>SUM(K5:K11)</f>
        <v>0</v>
      </c>
    </row>
    <row r="13" spans="1:11" ht="13.5" thickTop="1" x14ac:dyDescent="0.2">
      <c r="A13" s="2278" t="s">
        <v>388</v>
      </c>
      <c r="B13" s="2279"/>
      <c r="C13" s="2279"/>
      <c r="D13" s="2279"/>
      <c r="E13" s="2280"/>
      <c r="F13" s="766"/>
      <c r="G13" s="767"/>
      <c r="H13" s="768"/>
      <c r="I13" s="769"/>
      <c r="J13" s="769"/>
      <c r="K13" s="769"/>
    </row>
    <row r="14" spans="1:11" x14ac:dyDescent="0.2">
      <c r="A14" s="2300" t="s">
        <v>476</v>
      </c>
      <c r="B14" s="2300"/>
      <c r="C14" s="2300"/>
      <c r="D14" s="2300"/>
      <c r="E14" s="2301"/>
      <c r="F14" s="770" t="s">
        <v>909</v>
      </c>
      <c r="G14" s="763"/>
      <c r="H14" s="745">
        <v>55476</v>
      </c>
      <c r="I14" s="752"/>
      <c r="J14" s="754"/>
      <c r="K14" s="746"/>
    </row>
    <row r="15" spans="1:11" x14ac:dyDescent="0.2">
      <c r="A15" s="2267" t="s">
        <v>4</v>
      </c>
      <c r="B15" s="2267"/>
      <c r="C15" s="2267"/>
      <c r="D15" s="2267"/>
      <c r="E15" s="2295"/>
      <c r="F15" s="770" t="s">
        <v>910</v>
      </c>
      <c r="G15" s="752"/>
      <c r="H15" s="745"/>
      <c r="I15" s="745"/>
      <c r="J15" s="746"/>
      <c r="K15" s="746"/>
    </row>
    <row r="16" spans="1:11" x14ac:dyDescent="0.2">
      <c r="A16" s="2267" t="s">
        <v>316</v>
      </c>
      <c r="B16" s="2267"/>
      <c r="C16" s="2267"/>
      <c r="D16" s="2267"/>
      <c r="E16" s="2295"/>
      <c r="F16" s="770" t="s">
        <v>980</v>
      </c>
      <c r="G16" s="753"/>
      <c r="H16" s="748"/>
      <c r="I16" s="748"/>
      <c r="J16" s="750"/>
      <c r="K16" s="750"/>
    </row>
    <row r="17" spans="1:11" x14ac:dyDescent="0.2">
      <c r="A17" s="2289" t="s">
        <v>992</v>
      </c>
      <c r="B17" s="2289"/>
      <c r="C17" s="2289"/>
      <c r="D17" s="2289"/>
      <c r="E17" s="2290"/>
      <c r="F17" s="771"/>
      <c r="G17" s="772"/>
      <c r="H17" s="773"/>
      <c r="I17" s="773"/>
      <c r="J17" s="774"/>
      <c r="K17" s="775"/>
    </row>
    <row r="18" spans="1:11" x14ac:dyDescent="0.2">
      <c r="A18" s="2281" t="s">
        <v>386</v>
      </c>
      <c r="B18" s="2282"/>
      <c r="C18" s="2282"/>
      <c r="D18" s="2282"/>
      <c r="E18" s="2283"/>
      <c r="F18" s="770" t="s">
        <v>989</v>
      </c>
      <c r="G18" s="763"/>
      <c r="H18" s="763"/>
      <c r="I18" s="763"/>
      <c r="J18" s="746"/>
      <c r="K18" s="776"/>
    </row>
    <row r="19" spans="1:11" ht="21.75" customHeight="1" x14ac:dyDescent="0.2">
      <c r="A19" s="2302" t="s">
        <v>1912</v>
      </c>
      <c r="B19" s="2302"/>
      <c r="C19" s="2302"/>
      <c r="D19" s="2302"/>
      <c r="E19" s="2303"/>
      <c r="F19" s="770" t="s">
        <v>990</v>
      </c>
      <c r="G19" s="763"/>
      <c r="H19" s="763"/>
      <c r="I19" s="763"/>
      <c r="J19" s="746"/>
      <c r="K19" s="776"/>
    </row>
    <row r="20" spans="1:11" x14ac:dyDescent="0.2">
      <c r="A20" s="2281" t="s">
        <v>1917</v>
      </c>
      <c r="B20" s="2282"/>
      <c r="C20" s="2282"/>
      <c r="D20" s="2282"/>
      <c r="E20" s="2283"/>
      <c r="F20" s="770" t="s">
        <v>991</v>
      </c>
      <c r="G20" s="763"/>
      <c r="H20" s="763"/>
      <c r="I20" s="763"/>
      <c r="J20" s="746"/>
      <c r="K20" s="776"/>
    </row>
    <row r="21" spans="1:11" ht="13.5" thickBot="1" x14ac:dyDescent="0.25">
      <c r="A21" s="2287" t="s">
        <v>659</v>
      </c>
      <c r="B21" s="2287"/>
      <c r="C21" s="2287"/>
      <c r="D21" s="2287"/>
      <c r="E21" s="2287"/>
      <c r="F21" s="1759"/>
      <c r="G21" s="773"/>
      <c r="H21" s="777"/>
      <c r="I21" s="777"/>
      <c r="J21" s="1760">
        <f>SUM(J18:J20)</f>
        <v>0</v>
      </c>
      <c r="K21" s="774"/>
    </row>
    <row r="22" spans="1:11" ht="13.5" thickTop="1" x14ac:dyDescent="0.2">
      <c r="A22" s="2267" t="s">
        <v>1918</v>
      </c>
      <c r="B22" s="2267"/>
      <c r="C22" s="2267"/>
      <c r="D22" s="2267"/>
      <c r="E22" s="2295"/>
      <c r="F22" s="770" t="s">
        <v>917</v>
      </c>
      <c r="G22" s="763"/>
      <c r="H22" s="745"/>
      <c r="I22" s="745"/>
      <c r="J22" s="778"/>
      <c r="K22" s="746"/>
    </row>
    <row r="23" spans="1:11" ht="13.5" thickBot="1" x14ac:dyDescent="0.25">
      <c r="A23" s="2288" t="s">
        <v>962</v>
      </c>
      <c r="B23" s="2287"/>
      <c r="C23" s="2287"/>
      <c r="D23" s="2287"/>
      <c r="E23" s="2287"/>
      <c r="F23" s="1761"/>
      <c r="G23" s="1758">
        <f>SUM(G14:G16,G21,G22)</f>
        <v>0</v>
      </c>
      <c r="H23" s="1758">
        <f>SUM(H14:H16,H21,H22)</f>
        <v>55476</v>
      </c>
      <c r="I23" s="1758">
        <f>SUM(I14:I16,I21,I22)</f>
        <v>0</v>
      </c>
      <c r="J23" s="1758">
        <f>SUM(J14:J16,J21,J22)</f>
        <v>0</v>
      </c>
      <c r="K23" s="1758">
        <f>SUM(K14:K16,K21,K22)</f>
        <v>0</v>
      </c>
    </row>
    <row r="24" spans="1:11" ht="14.25" thickTop="1" thickBot="1" x14ac:dyDescent="0.25">
      <c r="A24" s="2288" t="s">
        <v>2022</v>
      </c>
      <c r="B24" s="2287"/>
      <c r="C24" s="2287"/>
      <c r="D24" s="2287"/>
      <c r="E24" s="2287"/>
      <c r="F24" s="1762"/>
      <c r="G24" s="1763">
        <f>SUM(G3,G12)-G23</f>
        <v>0</v>
      </c>
      <c r="H24" s="1763">
        <f>SUM(H3,H12)-H23</f>
        <v>0</v>
      </c>
      <c r="I24" s="1763">
        <f>SUM(I3,I12)-I23</f>
        <v>0</v>
      </c>
      <c r="J24" s="1763">
        <f>SUM(J3,J12)-J23</f>
        <v>0</v>
      </c>
      <c r="K24" s="1763">
        <f>SUM(K3,K12)-K23</f>
        <v>0</v>
      </c>
    </row>
    <row r="25" spans="1:11" ht="13.5" thickTop="1" x14ac:dyDescent="0.2">
      <c r="A25" s="779" t="s">
        <v>440</v>
      </c>
      <c r="B25" s="780"/>
      <c r="C25" s="780"/>
      <c r="D25" s="780"/>
      <c r="E25" s="781"/>
      <c r="F25" s="782">
        <v>714</v>
      </c>
      <c r="G25" s="783"/>
      <c r="H25" s="783"/>
      <c r="I25" s="783"/>
      <c r="J25" s="778"/>
      <c r="K25" s="778"/>
    </row>
    <row r="26" spans="1:11" ht="13.5" thickBot="1" x14ac:dyDescent="0.25">
      <c r="A26" s="779" t="s">
        <v>360</v>
      </c>
      <c r="B26" s="780"/>
      <c r="C26" s="780"/>
      <c r="D26" s="780"/>
      <c r="E26" s="781"/>
      <c r="F26" s="782">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1" t="s">
        <v>2032</v>
      </c>
      <c r="B28" s="1882"/>
      <c r="C28" s="1882"/>
      <c r="D28" s="1882"/>
      <c r="E28" s="1883"/>
      <c r="F28" s="784"/>
      <c r="G28" s="785"/>
    </row>
    <row r="29" spans="1:11" x14ac:dyDescent="0.2">
      <c r="B29" s="501"/>
      <c r="C29" s="501"/>
      <c r="D29" s="501"/>
      <c r="F29" s="202"/>
      <c r="G29" s="786"/>
    </row>
    <row r="30" spans="1:11" x14ac:dyDescent="0.2">
      <c r="A30" s="787" t="s">
        <v>593</v>
      </c>
      <c r="B30" s="788"/>
      <c r="C30" s="787" t="s">
        <v>401</v>
      </c>
      <c r="D30" s="788"/>
      <c r="E30" s="789" t="s">
        <v>792</v>
      </c>
      <c r="F30" s="202"/>
      <c r="G30" s="786"/>
    </row>
    <row r="31" spans="1:11" x14ac:dyDescent="0.2">
      <c r="A31" s="790"/>
      <c r="D31" s="237"/>
      <c r="E31" s="791" t="s">
        <v>793</v>
      </c>
      <c r="F31" s="792" t="s">
        <v>560</v>
      </c>
      <c r="G31" s="745"/>
      <c r="H31" s="2297"/>
      <c r="I31" s="2298"/>
      <c r="J31" s="2298"/>
      <c r="K31" s="2298"/>
    </row>
    <row r="32" spans="1:11" x14ac:dyDescent="0.2">
      <c r="A32" s="790"/>
      <c r="B32" s="237"/>
      <c r="C32" s="237"/>
      <c r="D32" s="237"/>
      <c r="E32" s="786"/>
      <c r="F32" s="792" t="s">
        <v>561</v>
      </c>
      <c r="G32" s="745"/>
      <c r="H32" s="2299"/>
      <c r="I32" s="2298"/>
      <c r="J32" s="2298"/>
      <c r="K32" s="2298"/>
    </row>
    <row r="33" spans="1:11" ht="1.5" customHeight="1" x14ac:dyDescent="0.2">
      <c r="A33" s="793" t="s">
        <v>1231</v>
      </c>
      <c r="B33" s="364"/>
      <c r="C33" s="364"/>
      <c r="D33" s="364"/>
      <c r="E33" s="364"/>
      <c r="F33" s="364"/>
      <c r="G33" s="794"/>
      <c r="H33" s="2299"/>
      <c r="I33" s="2298"/>
      <c r="J33" s="2298"/>
      <c r="K33" s="2298"/>
    </row>
    <row r="34" spans="1:11" x14ac:dyDescent="0.2">
      <c r="A34" s="795" t="s">
        <v>1919</v>
      </c>
      <c r="B34" s="364"/>
      <c r="C34" s="364"/>
      <c r="D34" s="364"/>
      <c r="E34" s="364"/>
      <c r="F34" s="364"/>
      <c r="G34" s="794"/>
    </row>
    <row r="35" spans="1:11" ht="15" x14ac:dyDescent="0.2">
      <c r="A35" s="806" t="s">
        <v>963</v>
      </c>
      <c r="B35" s="796"/>
      <c r="C35" s="796"/>
      <c r="D35" s="796"/>
      <c r="E35" s="796"/>
      <c r="F35" s="796"/>
      <c r="G35" s="797"/>
      <c r="H35" s="798"/>
    </row>
    <row r="36" spans="1:11" x14ac:dyDescent="0.2">
      <c r="A36" s="759" t="s">
        <v>1171</v>
      </c>
      <c r="B36" s="799"/>
      <c r="C36" s="799"/>
      <c r="D36" s="799"/>
      <c r="E36" s="799"/>
      <c r="F36" s="800"/>
      <c r="G36" s="746"/>
    </row>
    <row r="37" spans="1:11" x14ac:dyDescent="0.2">
      <c r="A37" s="801" t="s">
        <v>952</v>
      </c>
      <c r="B37" s="799"/>
      <c r="C37" s="799"/>
      <c r="D37" s="799"/>
      <c r="E37" s="799"/>
      <c r="F37" s="800"/>
      <c r="G37" s="746"/>
    </row>
    <row r="38" spans="1:11" x14ac:dyDescent="0.2">
      <c r="A38" s="801" t="s">
        <v>1050</v>
      </c>
      <c r="B38" s="799"/>
      <c r="C38" s="799"/>
      <c r="D38" s="799"/>
      <c r="E38" s="799"/>
      <c r="F38" s="800"/>
      <c r="G38" s="746"/>
    </row>
    <row r="39" spans="1:11" x14ac:dyDescent="0.2">
      <c r="A39" s="801" t="s">
        <v>1051</v>
      </c>
      <c r="B39" s="799"/>
      <c r="C39" s="799"/>
      <c r="D39" s="799"/>
      <c r="E39" s="799"/>
      <c r="F39" s="800"/>
      <c r="G39" s="746"/>
    </row>
    <row r="40" spans="1:11" x14ac:dyDescent="0.2">
      <c r="A40" s="801" t="s">
        <v>1052</v>
      </c>
      <c r="B40" s="799"/>
      <c r="C40" s="799"/>
      <c r="D40" s="799"/>
      <c r="E40" s="799"/>
      <c r="F40" s="800"/>
      <c r="G40" s="746"/>
    </row>
    <row r="41" spans="1:11" x14ac:dyDescent="0.2">
      <c r="A41" s="2267" t="s">
        <v>562</v>
      </c>
      <c r="B41" s="2268"/>
      <c r="C41" s="2268"/>
      <c r="D41" s="2268"/>
      <c r="E41" s="2268"/>
      <c r="F41" s="2269"/>
      <c r="G41" s="746"/>
    </row>
    <row r="42" spans="1:11" x14ac:dyDescent="0.2">
      <c r="A42" s="801" t="s">
        <v>1027</v>
      </c>
      <c r="B42" s="799"/>
      <c r="C42" s="799"/>
      <c r="D42" s="799"/>
      <c r="E42" s="799"/>
      <c r="F42" s="800"/>
      <c r="G42" s="746"/>
    </row>
    <row r="43" spans="1:11" x14ac:dyDescent="0.2">
      <c r="A43" s="801" t="s">
        <v>1028</v>
      </c>
      <c r="B43" s="799"/>
      <c r="C43" s="799"/>
      <c r="D43" s="799"/>
      <c r="E43" s="799"/>
      <c r="F43" s="800"/>
      <c r="G43" s="746"/>
    </row>
    <row r="44" spans="1:11" x14ac:dyDescent="0.2">
      <c r="A44" s="801" t="s">
        <v>1029</v>
      </c>
      <c r="B44" s="799"/>
      <c r="C44" s="799"/>
      <c r="D44" s="799"/>
      <c r="E44" s="799"/>
      <c r="F44" s="800"/>
      <c r="G44" s="746"/>
    </row>
    <row r="45" spans="1:11" ht="6.75" customHeight="1" x14ac:dyDescent="0.2"/>
    <row r="46" spans="1:11" ht="15" x14ac:dyDescent="0.2">
      <c r="A46" s="1533" t="s">
        <v>1913</v>
      </c>
      <c r="B46" s="408" t="s">
        <v>1774</v>
      </c>
    </row>
    <row r="47" spans="1:11" s="804" customFormat="1" ht="12.75" customHeight="1" x14ac:dyDescent="0.2">
      <c r="A47" s="802"/>
      <c r="B47" s="803" t="s">
        <v>1775</v>
      </c>
      <c r="E47" s="803"/>
      <c r="K47" s="805"/>
    </row>
    <row r="48" spans="1:11" ht="12.75" customHeight="1" x14ac:dyDescent="0.2">
      <c r="A48" s="153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3" colorId="8" zoomScaleNormal="100" workbookViewId="0"/>
  </sheetViews>
  <sheetFormatPr defaultColWidth="9.140625" defaultRowHeight="12.75" x14ac:dyDescent="0.2"/>
  <cols>
    <col min="1" max="1" width="28.85546875" style="78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6" t="s">
        <v>2031</v>
      </c>
      <c r="B1" s="2307"/>
      <c r="C1" s="2308"/>
      <c r="D1" s="807"/>
      <c r="E1" s="808"/>
      <c r="F1" s="808"/>
      <c r="G1" s="809"/>
      <c r="H1" s="810"/>
      <c r="I1" s="811"/>
      <c r="J1" s="2304"/>
      <c r="K1" s="2305"/>
      <c r="L1" s="2305"/>
    </row>
    <row r="2" spans="1:14" ht="69.75" customHeight="1" x14ac:dyDescent="0.2">
      <c r="A2" s="812" t="s">
        <v>1777</v>
      </c>
      <c r="B2" s="813" t="s">
        <v>396</v>
      </c>
      <c r="C2" s="814" t="s">
        <v>2026</v>
      </c>
      <c r="D2" s="814" t="s">
        <v>2023</v>
      </c>
      <c r="E2" s="814" t="s">
        <v>2024</v>
      </c>
      <c r="F2" s="814" t="s">
        <v>2025</v>
      </c>
      <c r="G2" s="814" t="s">
        <v>626</v>
      </c>
      <c r="H2" s="814" t="s">
        <v>2027</v>
      </c>
      <c r="I2" s="814" t="s">
        <v>2028</v>
      </c>
      <c r="J2" s="814" t="s">
        <v>2043</v>
      </c>
      <c r="K2" s="814" t="s">
        <v>2029</v>
      </c>
      <c r="L2" s="814" t="s">
        <v>2030</v>
      </c>
      <c r="M2" s="815"/>
      <c r="N2" s="815"/>
    </row>
    <row r="3" spans="1:14" ht="13.5" thickBot="1" x14ac:dyDescent="0.25">
      <c r="A3" s="1631" t="s">
        <v>948</v>
      </c>
      <c r="B3" s="1632">
        <v>210</v>
      </c>
      <c r="C3" s="816">
        <v>0</v>
      </c>
      <c r="D3" s="816"/>
      <c r="E3" s="816"/>
      <c r="F3" s="1760">
        <f>(C3+D3)-E3</f>
        <v>0</v>
      </c>
      <c r="G3" s="817"/>
      <c r="H3" s="816"/>
      <c r="I3" s="816"/>
      <c r="J3" s="816"/>
      <c r="K3" s="1769">
        <f>(H3+I3)-J3</f>
        <v>0</v>
      </c>
      <c r="L3" s="1769">
        <f>F3-K3</f>
        <v>0</v>
      </c>
      <c r="M3" s="815"/>
      <c r="N3" s="815"/>
    </row>
    <row r="4" spans="1:14" ht="15" customHeight="1" thickTop="1" x14ac:dyDescent="0.2">
      <c r="A4" s="1633" t="s">
        <v>160</v>
      </c>
      <c r="B4" s="1632">
        <v>220</v>
      </c>
      <c r="C4" s="762"/>
      <c r="D4" s="762"/>
      <c r="E4" s="762"/>
      <c r="F4" s="754"/>
      <c r="G4" s="818"/>
      <c r="H4" s="819"/>
      <c r="I4" s="819"/>
      <c r="J4" s="819"/>
      <c r="K4" s="820"/>
      <c r="L4" s="754"/>
    </row>
    <row r="5" spans="1:14" ht="13.5" thickBot="1" x14ac:dyDescent="0.25">
      <c r="A5" s="759" t="s">
        <v>949</v>
      </c>
      <c r="B5" s="821">
        <v>221</v>
      </c>
      <c r="C5" s="822">
        <v>1150441</v>
      </c>
      <c r="D5" s="822"/>
      <c r="E5" s="822"/>
      <c r="F5" s="1760">
        <f>(C5+D5)-E5</f>
        <v>1150441</v>
      </c>
      <c r="G5" s="818"/>
      <c r="H5" s="823"/>
      <c r="I5" s="823"/>
      <c r="J5" s="823"/>
      <c r="K5" s="774"/>
      <c r="L5" s="1769">
        <f>F5-K5</f>
        <v>1150441</v>
      </c>
    </row>
    <row r="6" spans="1:14" ht="14.25" thickTop="1" thickBot="1" x14ac:dyDescent="0.25">
      <c r="A6" s="759" t="s">
        <v>1179</v>
      </c>
      <c r="B6" s="821">
        <v>222</v>
      </c>
      <c r="C6" s="746"/>
      <c r="D6" s="746"/>
      <c r="E6" s="746"/>
      <c r="F6" s="1760">
        <f>(C6+D6)-E6</f>
        <v>0</v>
      </c>
      <c r="G6" s="818">
        <v>50</v>
      </c>
      <c r="H6" s="746"/>
      <c r="I6" s="746"/>
      <c r="J6" s="746"/>
      <c r="K6" s="1769">
        <f>(H6+I6)-J6</f>
        <v>0</v>
      </c>
      <c r="L6" s="1769">
        <f>F6-K6</f>
        <v>0</v>
      </c>
    </row>
    <row r="7" spans="1:14" ht="15" customHeight="1" thickTop="1" x14ac:dyDescent="0.2">
      <c r="A7" s="1633" t="s">
        <v>161</v>
      </c>
      <c r="B7" s="1632">
        <v>230</v>
      </c>
      <c r="C7" s="762"/>
      <c r="D7" s="762"/>
      <c r="E7" s="762"/>
      <c r="F7" s="754"/>
      <c r="G7" s="824"/>
      <c r="H7" s="762"/>
      <c r="I7" s="762"/>
      <c r="J7" s="762"/>
      <c r="K7" s="754"/>
      <c r="L7" s="754"/>
    </row>
    <row r="8" spans="1:14" ht="13.5" thickBot="1" x14ac:dyDescent="0.25">
      <c r="A8" s="759" t="s">
        <v>1180</v>
      </c>
      <c r="B8" s="821">
        <v>231</v>
      </c>
      <c r="C8" s="825">
        <v>42350306</v>
      </c>
      <c r="D8" s="825">
        <v>150605</v>
      </c>
      <c r="E8" s="825"/>
      <c r="F8" s="1760">
        <f>(C8+D8)-E8</f>
        <v>42500911</v>
      </c>
      <c r="G8" s="824">
        <v>50</v>
      </c>
      <c r="H8" s="746">
        <v>11010455</v>
      </c>
      <c r="I8" s="746">
        <v>837887</v>
      </c>
      <c r="J8" s="746"/>
      <c r="K8" s="1769">
        <f>(H8+I8)-J8</f>
        <v>11848342</v>
      </c>
      <c r="L8" s="1769">
        <f>F8-K8</f>
        <v>30652569</v>
      </c>
    </row>
    <row r="9" spans="1:14" ht="14.25" thickTop="1" thickBot="1" x14ac:dyDescent="0.25">
      <c r="A9" s="759" t="s">
        <v>1181</v>
      </c>
      <c r="B9" s="821">
        <v>232</v>
      </c>
      <c r="C9" s="746"/>
      <c r="D9" s="746"/>
      <c r="E9" s="746"/>
      <c r="F9" s="1760">
        <f>(C9+D9)-E9</f>
        <v>0</v>
      </c>
      <c r="G9" s="824">
        <v>20</v>
      </c>
      <c r="H9" s="746">
        <v>0</v>
      </c>
      <c r="I9" s="746"/>
      <c r="J9" s="746"/>
      <c r="K9" s="1769">
        <f>(H9+I9)-J9</f>
        <v>0</v>
      </c>
      <c r="L9" s="1769">
        <f>F9-K9</f>
        <v>0</v>
      </c>
    </row>
    <row r="10" spans="1:14" ht="24" thickTop="1" thickBot="1" x14ac:dyDescent="0.25">
      <c r="A10" s="826" t="s">
        <v>1182</v>
      </c>
      <c r="B10" s="821">
        <v>240</v>
      </c>
      <c r="C10" s="827">
        <v>546304</v>
      </c>
      <c r="D10" s="827">
        <v>65226</v>
      </c>
      <c r="E10" s="827"/>
      <c r="F10" s="1764">
        <f>(C10+D10)-E10</f>
        <v>611530</v>
      </c>
      <c r="G10" s="824">
        <v>20</v>
      </c>
      <c r="H10" s="828">
        <v>328343</v>
      </c>
      <c r="I10" s="828">
        <v>21513</v>
      </c>
      <c r="J10" s="828"/>
      <c r="K10" s="1769">
        <f>(H10+I10)-J10</f>
        <v>349856</v>
      </c>
      <c r="L10" s="1769">
        <f>F10-K10</f>
        <v>261674</v>
      </c>
    </row>
    <row r="11" spans="1:14" ht="13.5" thickTop="1" x14ac:dyDescent="0.2">
      <c r="A11" s="1634" t="s">
        <v>1198</v>
      </c>
      <c r="B11" s="1632">
        <v>250</v>
      </c>
      <c r="C11" s="762"/>
      <c r="D11" s="762"/>
      <c r="E11" s="762"/>
      <c r="F11" s="754"/>
      <c r="G11" s="824"/>
      <c r="H11" s="762"/>
      <c r="I11" s="762"/>
      <c r="J11" s="762"/>
      <c r="K11" s="754"/>
      <c r="L11" s="754"/>
    </row>
    <row r="12" spans="1:14" ht="13.5" thickBot="1" x14ac:dyDescent="0.25">
      <c r="A12" s="829" t="s">
        <v>1183</v>
      </c>
      <c r="B12" s="821">
        <v>251</v>
      </c>
      <c r="C12" s="825">
        <v>3047096</v>
      </c>
      <c r="D12" s="825">
        <v>176219</v>
      </c>
      <c r="E12" s="825">
        <v>141750</v>
      </c>
      <c r="F12" s="1760">
        <f>(C12+D12)-E12</f>
        <v>3081565</v>
      </c>
      <c r="G12" s="824">
        <v>10</v>
      </c>
      <c r="H12" s="746">
        <v>1305997</v>
      </c>
      <c r="I12" s="746">
        <v>308156</v>
      </c>
      <c r="J12" s="746">
        <v>141750</v>
      </c>
      <c r="K12" s="1769">
        <f>(H12+I12)-J12</f>
        <v>1472403</v>
      </c>
      <c r="L12" s="1769">
        <f>F12-K12</f>
        <v>1609162</v>
      </c>
    </row>
    <row r="13" spans="1:14" ht="14.25" thickTop="1" thickBot="1" x14ac:dyDescent="0.25">
      <c r="A13" s="829" t="s">
        <v>1184</v>
      </c>
      <c r="B13" s="821">
        <v>252</v>
      </c>
      <c r="C13" s="825">
        <v>2368729</v>
      </c>
      <c r="D13" s="825">
        <v>640534</v>
      </c>
      <c r="E13" s="825">
        <v>165526</v>
      </c>
      <c r="F13" s="1760">
        <f>(C13+D13)-E13</f>
        <v>2843737</v>
      </c>
      <c r="G13" s="824">
        <v>5</v>
      </c>
      <c r="H13" s="746">
        <v>1807453</v>
      </c>
      <c r="I13" s="746">
        <v>268425</v>
      </c>
      <c r="J13" s="746">
        <v>165526</v>
      </c>
      <c r="K13" s="1769">
        <f>(H13+I13)-J13</f>
        <v>1910352</v>
      </c>
      <c r="L13" s="1769">
        <f>F13-K13</f>
        <v>933385</v>
      </c>
    </row>
    <row r="14" spans="1:14" ht="14.25" thickTop="1" thickBot="1" x14ac:dyDescent="0.25">
      <c r="A14" s="829" t="s">
        <v>1185</v>
      </c>
      <c r="B14" s="821">
        <v>253</v>
      </c>
      <c r="C14" s="746"/>
      <c r="D14" s="746"/>
      <c r="E14" s="746"/>
      <c r="F14" s="1760">
        <f>(C14+D14)-E14</f>
        <v>0</v>
      </c>
      <c r="G14" s="824">
        <v>3</v>
      </c>
      <c r="H14" s="746"/>
      <c r="I14" s="746"/>
      <c r="J14" s="746"/>
      <c r="K14" s="1769">
        <f>(H14+I14)-J14</f>
        <v>0</v>
      </c>
      <c r="L14" s="1769">
        <f>F14-K14</f>
        <v>0</v>
      </c>
    </row>
    <row r="15" spans="1:14" ht="15" customHeight="1" thickTop="1" thickBot="1" x14ac:dyDescent="0.25">
      <c r="A15" s="1633" t="s">
        <v>549</v>
      </c>
      <c r="B15" s="1632">
        <v>260</v>
      </c>
      <c r="C15" s="825"/>
      <c r="D15" s="825"/>
      <c r="E15" s="825"/>
      <c r="F15" s="1760">
        <f>(C15+D15)-E15</f>
        <v>0</v>
      </c>
      <c r="G15" s="830" t="s">
        <v>917</v>
      </c>
      <c r="H15" s="762"/>
      <c r="I15" s="762"/>
      <c r="J15" s="762"/>
      <c r="K15" s="762"/>
      <c r="L15" s="1769">
        <f>F15-K15</f>
        <v>0</v>
      </c>
    </row>
    <row r="16" spans="1:14" ht="15" customHeight="1" thickTop="1" thickBot="1" x14ac:dyDescent="0.25">
      <c r="A16" s="1765" t="s">
        <v>664</v>
      </c>
      <c r="B16" s="1766">
        <v>200</v>
      </c>
      <c r="C16" s="1760">
        <f>SUM(C3,C5:C6,C8:C10,C12:C15)</f>
        <v>49462876</v>
      </c>
      <c r="D16" s="1760">
        <f>SUM(D3,D5:D6,D8:D10,D12:D15)</f>
        <v>1032584</v>
      </c>
      <c r="E16" s="1760">
        <f>SUM(E3,E5:E6,E8:E10,E12:E15)</f>
        <v>307276</v>
      </c>
      <c r="F16" s="1760">
        <f>SUM(F3,F5:F6,F8:F10,F12:F15)</f>
        <v>50188184</v>
      </c>
      <c r="G16" s="824"/>
      <c r="H16" s="1760">
        <f>SUM(H3,H6,H8:H10,H12:H14,)</f>
        <v>14452248</v>
      </c>
      <c r="I16" s="1760">
        <f>SUM(I3,I6,I8:I10,I12:I14,)</f>
        <v>1435981</v>
      </c>
      <c r="J16" s="1760">
        <f>SUM(J3,J6,J8:J10,J12:J14,)</f>
        <v>307276</v>
      </c>
      <c r="K16" s="1760">
        <f>(H16+I16)-J16</f>
        <v>15580953</v>
      </c>
      <c r="L16" s="1760">
        <f>F16-K16</f>
        <v>34607231</v>
      </c>
    </row>
    <row r="17" spans="1:12" ht="15" customHeight="1" thickTop="1" thickBot="1" x14ac:dyDescent="0.25">
      <c r="A17" s="1635" t="s">
        <v>309</v>
      </c>
      <c r="B17" s="1632">
        <v>700</v>
      </c>
      <c r="C17" s="750"/>
      <c r="D17" s="750"/>
      <c r="E17" s="750"/>
      <c r="F17" s="1760">
        <f>SUM('Expenditures 15-22'!I114,'Expenditures 15-22'!I151,'Expenditures 15-22'!I210,'Expenditures 15-22'!I312,'Expenditures 15-22'!I342,'Expenditures 15-22'!I367)</f>
        <v>0</v>
      </c>
      <c r="G17" s="818">
        <v>10</v>
      </c>
      <c r="H17" s="750"/>
      <c r="I17" s="1769">
        <f>F17/G17</f>
        <v>0</v>
      </c>
      <c r="J17" s="750"/>
      <c r="K17" s="776"/>
      <c r="L17" s="776"/>
    </row>
    <row r="18" spans="1:12" ht="14.25" thickTop="1" thickBot="1" x14ac:dyDescent="0.25">
      <c r="A18" s="1767" t="s">
        <v>706</v>
      </c>
      <c r="B18" s="1768"/>
      <c r="C18" s="752"/>
      <c r="D18" s="752"/>
      <c r="E18" s="752"/>
      <c r="F18" s="831"/>
      <c r="G18" s="832"/>
      <c r="H18" s="754"/>
      <c r="I18" s="1760">
        <f>SUM(I16,I17)</f>
        <v>1435981</v>
      </c>
      <c r="J18" s="754"/>
      <c r="K18" s="754"/>
      <c r="L18" s="754"/>
    </row>
    <row r="19" spans="1:12" ht="12" customHeight="1" thickTop="1" x14ac:dyDescent="0.2">
      <c r="F19" s="503"/>
      <c r="L19" s="503"/>
    </row>
    <row r="20" spans="1:12" ht="12" customHeight="1" x14ac:dyDescent="0.2">
      <c r="A20" s="83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4"/>
      <c r="B23" s="501"/>
      <c r="F23" s="503"/>
      <c r="L23" s="503"/>
    </row>
    <row r="24" spans="1:12" ht="12" customHeight="1" x14ac:dyDescent="0.2">
      <c r="B24" s="501"/>
      <c r="F24" s="503"/>
      <c r="L24" s="503"/>
    </row>
    <row r="25" spans="1:12" x14ac:dyDescent="0.2">
      <c r="F25" s="503"/>
      <c r="L25" s="503"/>
    </row>
    <row r="26" spans="1:12" ht="10.9" customHeight="1" x14ac:dyDescent="0.2">
      <c r="A26" s="835"/>
      <c r="B26" s="247"/>
      <c r="D26" s="347"/>
    </row>
    <row r="27" spans="1:12" x14ac:dyDescent="0.2">
      <c r="A27" s="83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6" activePane="bottomLeft" state="frozen"/>
      <selection pane="bottomLeft"/>
    </sheetView>
  </sheetViews>
  <sheetFormatPr defaultColWidth="8.7109375" defaultRowHeight="11.25" x14ac:dyDescent="0.2"/>
  <cols>
    <col min="1" max="1" width="22.140625" style="837" customWidth="1"/>
    <col min="2" max="2" width="31.85546875" style="837" customWidth="1"/>
    <col min="3" max="3" width="6.7109375" style="844" customWidth="1"/>
    <col min="4" max="4" width="55.7109375" style="837" customWidth="1"/>
    <col min="5" max="5" width="3.140625" style="844" customWidth="1"/>
    <col min="6" max="6" width="17.42578125" style="837" customWidth="1"/>
    <col min="7" max="7" width="0.85546875" style="837" customWidth="1"/>
    <col min="8" max="8" width="2.28515625" style="837" customWidth="1"/>
    <col min="9" max="16384" width="8.7109375" style="837"/>
  </cols>
  <sheetData>
    <row r="1" spans="1:7" ht="19.5" customHeight="1" thickTop="1" x14ac:dyDescent="0.2">
      <c r="A1" s="2312" t="s">
        <v>1699</v>
      </c>
      <c r="B1" s="2313"/>
      <c r="C1" s="2313"/>
      <c r="D1" s="2313"/>
      <c r="E1" s="2313"/>
      <c r="F1" s="2314"/>
      <c r="G1" s="836"/>
    </row>
    <row r="2" spans="1:7" ht="15" customHeight="1" thickBot="1" x14ac:dyDescent="0.25">
      <c r="A2" s="2315" t="s">
        <v>498</v>
      </c>
      <c r="B2" s="2316"/>
      <c r="C2" s="2316"/>
      <c r="D2" s="2316"/>
      <c r="E2" s="2316"/>
      <c r="F2" s="2317"/>
      <c r="G2" s="838"/>
    </row>
    <row r="3" spans="1:7" ht="5.25" customHeight="1" thickTop="1" x14ac:dyDescent="0.2">
      <c r="A3" s="839"/>
      <c r="B3" s="840"/>
      <c r="C3" s="841"/>
      <c r="D3" s="840"/>
      <c r="E3" s="841"/>
      <c r="F3" s="840"/>
      <c r="G3" s="840"/>
    </row>
    <row r="4" spans="1:7" ht="12.2" customHeight="1" x14ac:dyDescent="0.2">
      <c r="A4" s="842" t="s">
        <v>1137</v>
      </c>
      <c r="B4" s="843" t="s">
        <v>117</v>
      </c>
      <c r="D4" s="845" t="s">
        <v>532</v>
      </c>
      <c r="F4" s="843" t="s">
        <v>920</v>
      </c>
    </row>
    <row r="5" spans="1:7" ht="7.5" customHeight="1" x14ac:dyDescent="0.2">
      <c r="A5" s="2318"/>
      <c r="B5" s="2319"/>
      <c r="C5" s="2319"/>
      <c r="D5" s="2319"/>
      <c r="E5" s="2319"/>
      <c r="F5" s="2319"/>
    </row>
    <row r="6" spans="1:7" ht="13.5" customHeight="1" thickBot="1" x14ac:dyDescent="0.25">
      <c r="A6" s="2309" t="s">
        <v>1166</v>
      </c>
      <c r="B6" s="2310"/>
      <c r="C6" s="2310"/>
      <c r="D6" s="2310"/>
      <c r="E6" s="2310"/>
      <c r="F6" s="2311"/>
      <c r="G6" s="846"/>
    </row>
    <row r="7" spans="1:7" s="846" customFormat="1" ht="12" thickTop="1" x14ac:dyDescent="0.2">
      <c r="A7" s="847" t="s">
        <v>523</v>
      </c>
      <c r="B7" s="848"/>
      <c r="C7" s="849"/>
      <c r="D7" s="848"/>
      <c r="E7" s="849"/>
      <c r="F7" s="848"/>
    </row>
    <row r="8" spans="1:7" x14ac:dyDescent="0.2">
      <c r="A8" s="850" t="s">
        <v>479</v>
      </c>
      <c r="B8" s="851" t="s">
        <v>1544</v>
      </c>
      <c r="C8" s="852"/>
      <c r="D8" s="850" t="s">
        <v>522</v>
      </c>
      <c r="E8" s="849" t="s">
        <v>1015</v>
      </c>
      <c r="F8" s="1910">
        <f>'Expenditures 15-22'!K114</f>
        <v>17240450</v>
      </c>
      <c r="G8" s="846"/>
    </row>
    <row r="9" spans="1:7" x14ac:dyDescent="0.2">
      <c r="A9" s="850" t="s">
        <v>480</v>
      </c>
      <c r="B9" s="851" t="s">
        <v>1985</v>
      </c>
      <c r="C9" s="852"/>
      <c r="D9" s="850" t="s">
        <v>522</v>
      </c>
      <c r="E9" s="849"/>
      <c r="F9" s="1911">
        <f>'Expenditures 15-22'!K151</f>
        <v>1471677.1300000001</v>
      </c>
      <c r="G9" s="853"/>
    </row>
    <row r="10" spans="1:7" x14ac:dyDescent="0.2">
      <c r="A10" s="850" t="s">
        <v>520</v>
      </c>
      <c r="B10" s="851" t="s">
        <v>1986</v>
      </c>
      <c r="C10" s="852"/>
      <c r="D10" s="850" t="s">
        <v>522</v>
      </c>
      <c r="E10" s="849"/>
      <c r="F10" s="1911">
        <f>'Expenditures 15-22'!K174</f>
        <v>3284514</v>
      </c>
      <c r="G10" s="853"/>
    </row>
    <row r="11" spans="1:7" x14ac:dyDescent="0.2">
      <c r="A11" s="850" t="s">
        <v>481</v>
      </c>
      <c r="B11" s="851" t="s">
        <v>1987</v>
      </c>
      <c r="C11" s="852"/>
      <c r="D11" s="850" t="s">
        <v>522</v>
      </c>
      <c r="E11" s="849"/>
      <c r="F11" s="1911">
        <f>'Expenditures 15-22'!K210</f>
        <v>1937985</v>
      </c>
      <c r="G11" s="853"/>
    </row>
    <row r="12" spans="1:7" x14ac:dyDescent="0.2">
      <c r="A12" s="850" t="s">
        <v>482</v>
      </c>
      <c r="B12" s="851" t="s">
        <v>1988</v>
      </c>
      <c r="C12" s="852"/>
      <c r="D12" s="850" t="s">
        <v>522</v>
      </c>
      <c r="E12" s="849"/>
      <c r="F12" s="1911">
        <f>'Expenditures 15-22'!K295</f>
        <v>902914</v>
      </c>
      <c r="G12" s="853"/>
    </row>
    <row r="13" spans="1:7" x14ac:dyDescent="0.2">
      <c r="A13" s="850" t="s">
        <v>108</v>
      </c>
      <c r="B13" s="851" t="s">
        <v>1989</v>
      </c>
      <c r="C13" s="852"/>
      <c r="D13" s="850" t="s">
        <v>522</v>
      </c>
      <c r="E13" s="849"/>
      <c r="F13" s="1911">
        <f>'Expenditures 15-22'!K342</f>
        <v>503229.63</v>
      </c>
      <c r="G13" s="854"/>
    </row>
    <row r="14" spans="1:7" ht="12" customHeight="1" thickBot="1" x14ac:dyDescent="0.25">
      <c r="A14" s="1770"/>
      <c r="B14" s="1771"/>
      <c r="C14" s="1772"/>
      <c r="D14" s="1773" t="s">
        <v>522</v>
      </c>
      <c r="E14" s="1774" t="s">
        <v>1015</v>
      </c>
      <c r="F14" s="1775">
        <f>SUM(F8:F13)</f>
        <v>25340769.759999998</v>
      </c>
      <c r="G14" s="846"/>
    </row>
    <row r="15" spans="1:7" ht="3.75" customHeight="1" thickTop="1" x14ac:dyDescent="0.2">
      <c r="A15" s="846"/>
      <c r="B15" s="846"/>
      <c r="C15" s="852"/>
      <c r="D15" s="846"/>
      <c r="E15" s="849"/>
      <c r="F15" s="846"/>
      <c r="G15" s="846"/>
    </row>
    <row r="16" spans="1:7" ht="12" customHeight="1" x14ac:dyDescent="0.2">
      <c r="A16" s="855" t="s">
        <v>533</v>
      </c>
      <c r="B16" s="231"/>
      <c r="C16" s="231"/>
      <c r="D16" s="848"/>
      <c r="E16" s="849"/>
      <c r="F16" s="848"/>
      <c r="G16" s="846"/>
    </row>
    <row r="17" spans="1:7" ht="4.5" customHeight="1" x14ac:dyDescent="0.2">
      <c r="A17" s="855"/>
      <c r="B17" s="231"/>
      <c r="C17" s="231"/>
      <c r="D17" s="848"/>
      <c r="E17" s="849"/>
      <c r="F17" s="848"/>
      <c r="G17" s="846"/>
    </row>
    <row r="18" spans="1:7" x14ac:dyDescent="0.2">
      <c r="A18" s="850" t="s">
        <v>481</v>
      </c>
      <c r="B18" s="851" t="s">
        <v>1068</v>
      </c>
      <c r="C18" s="856">
        <f>'Revenues 9-14'!B43</f>
        <v>1412</v>
      </c>
      <c r="D18" s="857" t="str">
        <f>'Revenues 9-14'!A43</f>
        <v>Regular - Transp Fees from Other Districts (In State)</v>
      </c>
      <c r="E18" s="849" t="s">
        <v>1015</v>
      </c>
      <c r="F18" s="1912">
        <f>'Revenues 9-14'!F43</f>
        <v>858318</v>
      </c>
      <c r="G18" s="846"/>
    </row>
    <row r="19" spans="1:7" x14ac:dyDescent="0.2">
      <c r="A19" s="850" t="s">
        <v>481</v>
      </c>
      <c r="B19" s="851" t="s">
        <v>1069</v>
      </c>
      <c r="C19" s="858">
        <f>'Revenues 9-14'!B47</f>
        <v>1421</v>
      </c>
      <c r="D19" s="859" t="str">
        <f>'Revenues 9-14'!A47</f>
        <v>Summer Sch - Transp. Fees from Pupils or Parents (In State)</v>
      </c>
      <c r="E19" s="860"/>
      <c r="F19" s="1913">
        <f>'Revenues 9-14'!F47</f>
        <v>0</v>
      </c>
      <c r="G19" s="846"/>
    </row>
    <row r="20" spans="1:7" x14ac:dyDescent="0.2">
      <c r="A20" s="850" t="s">
        <v>481</v>
      </c>
      <c r="B20" s="851" t="s">
        <v>1070</v>
      </c>
      <c r="C20" s="856">
        <f>'Revenues 9-14'!B48</f>
        <v>1422</v>
      </c>
      <c r="D20" s="857" t="str">
        <f>'Revenues 9-14'!A48</f>
        <v>Summer Sch - Transp. Fees from Other Districts (In State)</v>
      </c>
      <c r="E20" s="849"/>
      <c r="F20" s="1914">
        <f>'Revenues 9-14'!F48</f>
        <v>0</v>
      </c>
      <c r="G20" s="846"/>
    </row>
    <row r="21" spans="1:7" x14ac:dyDescent="0.2">
      <c r="A21" s="850" t="s">
        <v>481</v>
      </c>
      <c r="B21" s="851" t="s">
        <v>1071</v>
      </c>
      <c r="C21" s="858">
        <f>'Revenues 9-14'!B49</f>
        <v>1423</v>
      </c>
      <c r="D21" s="857" t="str">
        <f>'Revenues 9-14'!A49</f>
        <v>Summer Sch - Transp. Fees from Other Sources (In State)</v>
      </c>
      <c r="E21" s="849"/>
      <c r="F21" s="1915">
        <f>'Revenues 9-14'!F49</f>
        <v>0</v>
      </c>
      <c r="G21" s="846"/>
    </row>
    <row r="22" spans="1:7" x14ac:dyDescent="0.2">
      <c r="A22" s="850" t="s">
        <v>481</v>
      </c>
      <c r="B22" s="851" t="s">
        <v>1072</v>
      </c>
      <c r="C22" s="858">
        <f>'Revenues 9-14'!B50</f>
        <v>1424</v>
      </c>
      <c r="D22" s="857" t="str">
        <f>'Revenues 9-14'!A50</f>
        <v>Summer Sch - Transp. Fees from Other Sources (Out of State)</v>
      </c>
      <c r="E22" s="849"/>
      <c r="F22" s="1915">
        <f>'Revenues 9-14'!F50</f>
        <v>0</v>
      </c>
      <c r="G22" s="846"/>
    </row>
    <row r="23" spans="1:7" x14ac:dyDescent="0.2">
      <c r="A23" s="850" t="s">
        <v>481</v>
      </c>
      <c r="B23" s="851" t="s">
        <v>1073</v>
      </c>
      <c r="C23" s="856">
        <f>'Revenues 9-14'!B52</f>
        <v>1432</v>
      </c>
      <c r="D23" s="857" t="str">
        <f>'Revenues 9-14'!A52</f>
        <v>CTE - Transp Fees from Other Districts (In State)</v>
      </c>
      <c r="E23" s="849"/>
      <c r="F23" s="1915">
        <f>'Revenues 9-14'!F52</f>
        <v>0</v>
      </c>
      <c r="G23" s="846"/>
    </row>
    <row r="24" spans="1:7" x14ac:dyDescent="0.2">
      <c r="A24" s="850" t="s">
        <v>481</v>
      </c>
      <c r="B24" s="851" t="s">
        <v>1074</v>
      </c>
      <c r="C24" s="856">
        <f>'Revenues 9-14'!B56</f>
        <v>1442</v>
      </c>
      <c r="D24" s="857" t="str">
        <f>'Revenues 9-14'!A56</f>
        <v>Special Ed - Transp Fees from Other Districts (In State)</v>
      </c>
      <c r="E24" s="849"/>
      <c r="F24" s="1915">
        <f>'Revenues 9-14'!F56</f>
        <v>0</v>
      </c>
      <c r="G24" s="846"/>
    </row>
    <row r="25" spans="1:7" x14ac:dyDescent="0.2">
      <c r="A25" s="850" t="s">
        <v>481</v>
      </c>
      <c r="B25" s="851" t="s">
        <v>1075</v>
      </c>
      <c r="C25" s="856">
        <f>'Revenues 9-14'!B59</f>
        <v>1451</v>
      </c>
      <c r="D25" s="857" t="str">
        <f>'Revenues 9-14'!A59</f>
        <v>Adult - Transp Fees from Pupils or Parents (In State)</v>
      </c>
      <c r="E25" s="849"/>
      <c r="F25" s="1915">
        <f>'Revenues 9-14'!F59</f>
        <v>0</v>
      </c>
      <c r="G25" s="846"/>
    </row>
    <row r="26" spans="1:7" x14ac:dyDescent="0.2">
      <c r="A26" s="850" t="s">
        <v>481</v>
      </c>
      <c r="B26" s="851" t="s">
        <v>1076</v>
      </c>
      <c r="C26" s="856">
        <f>'Revenues 9-14'!B60</f>
        <v>1452</v>
      </c>
      <c r="D26" s="857" t="str">
        <f>'Revenues 9-14'!A60</f>
        <v>Adult - Transp Fees from Other Districts (In State)</v>
      </c>
      <c r="E26" s="849"/>
      <c r="F26" s="1915">
        <f>'Revenues 9-14'!F60</f>
        <v>0</v>
      </c>
      <c r="G26" s="846"/>
    </row>
    <row r="27" spans="1:7" x14ac:dyDescent="0.2">
      <c r="A27" s="850" t="s">
        <v>481</v>
      </c>
      <c r="B27" s="851" t="s">
        <v>1077</v>
      </c>
      <c r="C27" s="856">
        <f>'Revenues 9-14'!B61</f>
        <v>1453</v>
      </c>
      <c r="D27" s="857" t="str">
        <f>'Revenues 9-14'!A61</f>
        <v>Adult - Transp Fees from Other Sources (In State)</v>
      </c>
      <c r="E27" s="849"/>
      <c r="F27" s="1915">
        <f>'Revenues 9-14'!F61</f>
        <v>0</v>
      </c>
      <c r="G27" s="846"/>
    </row>
    <row r="28" spans="1:7" x14ac:dyDescent="0.2">
      <c r="A28" s="850" t="s">
        <v>481</v>
      </c>
      <c r="B28" s="851" t="s">
        <v>1078</v>
      </c>
      <c r="C28" s="856">
        <f>'Revenues 9-14'!B62</f>
        <v>1454</v>
      </c>
      <c r="D28" s="857" t="str">
        <f>'Revenues 9-14'!A62</f>
        <v>Adult - Transp Fees from Other Sources (Out of State)</v>
      </c>
      <c r="E28" s="849"/>
      <c r="F28" s="1915">
        <f>'Revenues 9-14'!F62</f>
        <v>0</v>
      </c>
      <c r="G28" s="846"/>
    </row>
    <row r="29" spans="1:7" x14ac:dyDescent="0.2">
      <c r="A29" s="850" t="s">
        <v>1159</v>
      </c>
      <c r="B29" s="851" t="s">
        <v>1683</v>
      </c>
      <c r="C29" s="861">
        <f>'Revenues 9-14'!B148</f>
        <v>3410</v>
      </c>
      <c r="D29" s="862" t="str">
        <f>'Revenues 9-14'!A148</f>
        <v>Adult Ed (from ICCB)</v>
      </c>
      <c r="E29" s="849"/>
      <c r="F29" s="1915">
        <f>SUM('Revenues 9-14'!D148,F149)</f>
        <v>0</v>
      </c>
      <c r="G29" s="846"/>
    </row>
    <row r="30" spans="1:7" x14ac:dyDescent="0.2">
      <c r="A30" s="850" t="s">
        <v>1159</v>
      </c>
      <c r="B30" s="851" t="s">
        <v>861</v>
      </c>
      <c r="C30" s="861">
        <f>'Revenues 9-14'!B149</f>
        <v>3499</v>
      </c>
      <c r="D30" s="862" t="str">
        <f>'Revenues 9-14'!A149</f>
        <v>Adult Ed - Other (Describe &amp; Itemize)</v>
      </c>
      <c r="E30" s="849"/>
      <c r="F30" s="1916">
        <f>('Revenues 9-14'!D149+'Revenues 9-14'!F149)</f>
        <v>0</v>
      </c>
      <c r="G30" s="846"/>
    </row>
    <row r="31" spans="1:7" x14ac:dyDescent="0.2">
      <c r="A31" s="850" t="s">
        <v>1159</v>
      </c>
      <c r="B31" s="851" t="s">
        <v>862</v>
      </c>
      <c r="C31" s="856">
        <f>'Revenues 9-14'!B218</f>
        <v>4600</v>
      </c>
      <c r="D31" s="864" t="str">
        <f>'Revenues 9-14'!A218</f>
        <v>Fed - Spec Education - Preschool Flow-Through</v>
      </c>
      <c r="E31" s="865"/>
      <c r="F31" s="1915">
        <f>SUM('Revenues 9-14'!D218,'Revenues 9-14'!F218)</f>
        <v>0</v>
      </c>
      <c r="G31" s="846"/>
    </row>
    <row r="32" spans="1:7" x14ac:dyDescent="0.2">
      <c r="A32" s="850" t="s">
        <v>1159</v>
      </c>
      <c r="B32" s="851" t="s">
        <v>800</v>
      </c>
      <c r="C32" s="856">
        <f>'Revenues 9-14'!B219</f>
        <v>4605</v>
      </c>
      <c r="D32" s="866" t="str">
        <f>'Revenues 9-14'!A219</f>
        <v>Fed - Spec Education - Preschool Discretionary</v>
      </c>
      <c r="E32" s="865"/>
      <c r="F32" s="1915">
        <f>SUM('Revenues 9-14'!D219,'Revenues 9-14'!F219)</f>
        <v>0</v>
      </c>
      <c r="G32" s="846"/>
    </row>
    <row r="33" spans="1:7" x14ac:dyDescent="0.2">
      <c r="A33" s="850" t="s">
        <v>480</v>
      </c>
      <c r="B33" s="851" t="s">
        <v>801</v>
      </c>
      <c r="C33" s="856">
        <f>'Revenues 9-14'!B229</f>
        <v>4810</v>
      </c>
      <c r="D33" s="864" t="str">
        <f>'Revenues 9-14'!A229</f>
        <v>Federal - Adult Education</v>
      </c>
      <c r="E33" s="849"/>
      <c r="F33" s="1915">
        <f>'Revenues 9-14'!D229</f>
        <v>0</v>
      </c>
      <c r="G33" s="846"/>
    </row>
    <row r="34" spans="1:7" x14ac:dyDescent="0.2">
      <c r="A34" s="850" t="s">
        <v>479</v>
      </c>
      <c r="B34" s="850" t="s">
        <v>1545</v>
      </c>
      <c r="C34" s="867" t="str">
        <f>'Expenditures 15-22'!B7</f>
        <v>1125</v>
      </c>
      <c r="D34" s="868" t="str">
        <f>'Expenditures 15-22'!A7</f>
        <v>Pre-K Programs</v>
      </c>
      <c r="E34" s="849"/>
      <c r="F34" s="1915">
        <f>'Expenditures 15-22'!K7-SUM('Expenditures 15-22'!G7,'Expenditures 15-22'!I7)</f>
        <v>0</v>
      </c>
      <c r="G34" s="846"/>
    </row>
    <row r="35" spans="1:7" x14ac:dyDescent="0.2">
      <c r="A35" s="850" t="s">
        <v>479</v>
      </c>
      <c r="B35" s="850" t="s">
        <v>1546</v>
      </c>
      <c r="C35" s="867" t="str">
        <f>'Expenditures 15-22'!B9</f>
        <v>1225</v>
      </c>
      <c r="D35" s="868" t="str">
        <f>'Expenditures 15-22'!A9</f>
        <v>Special Education Programs Pre-K</v>
      </c>
      <c r="E35" s="849"/>
      <c r="F35" s="1915">
        <f>'Expenditures 15-22'!K9-SUM('Expenditures 15-22'!G9+'Expenditures 15-22'!I9)</f>
        <v>635229</v>
      </c>
      <c r="G35" s="846"/>
    </row>
    <row r="36" spans="1:7" x14ac:dyDescent="0.2">
      <c r="A36" s="850" t="s">
        <v>479</v>
      </c>
      <c r="B36" s="850" t="s">
        <v>118</v>
      </c>
      <c r="C36" s="867" t="str">
        <f>'Expenditures 15-22'!B11</f>
        <v>1275</v>
      </c>
      <c r="D36" s="868" t="str">
        <f>'Expenditures 15-22'!A11</f>
        <v>Remedial and Supplemental Programs Pre-K</v>
      </c>
      <c r="E36" s="849"/>
      <c r="F36" s="1915">
        <f>'Expenditures 15-22'!K11-SUM('Expenditures 15-22'!G11,'Expenditures 15-22'!I11)</f>
        <v>653635</v>
      </c>
      <c r="G36" s="846"/>
    </row>
    <row r="37" spans="1:7" x14ac:dyDescent="0.2">
      <c r="A37" s="850" t="s">
        <v>479</v>
      </c>
      <c r="B37" s="850" t="s">
        <v>1547</v>
      </c>
      <c r="C37" s="867">
        <f>'Expenditures 15-22'!B12</f>
        <v>1300</v>
      </c>
      <c r="D37" s="869" t="str">
        <f>'Expenditures 15-22'!A12</f>
        <v>Adult/Continuing Education Programs</v>
      </c>
      <c r="E37" s="849"/>
      <c r="F37" s="1915">
        <f>'Expenditures 15-22'!K12-SUM('Expenditures 15-22'!G12+'Expenditures 15-22'!I12)</f>
        <v>0</v>
      </c>
      <c r="G37" s="846"/>
    </row>
    <row r="38" spans="1:7" x14ac:dyDescent="0.2">
      <c r="A38" s="850" t="s">
        <v>479</v>
      </c>
      <c r="B38" s="850" t="s">
        <v>1548</v>
      </c>
      <c r="C38" s="867">
        <f>'Expenditures 15-22'!B15</f>
        <v>1600</v>
      </c>
      <c r="D38" s="869" t="str">
        <f>'Expenditures 15-22'!A15</f>
        <v>Summer School Programs</v>
      </c>
      <c r="E38" s="849"/>
      <c r="F38" s="1915">
        <f>'Expenditures 15-22'!K15-SUM('Expenditures 15-22'!G15,'Expenditures 15-22'!I15)</f>
        <v>0</v>
      </c>
      <c r="G38" s="846"/>
    </row>
    <row r="39" spans="1:7" x14ac:dyDescent="0.2">
      <c r="A39" s="850" t="s">
        <v>479</v>
      </c>
      <c r="B39" s="850" t="s">
        <v>119</v>
      </c>
      <c r="C39" s="867" t="str">
        <f>'Expenditures 15-22'!B20</f>
        <v>1910</v>
      </c>
      <c r="D39" s="869" t="str">
        <f>'Expenditures 15-22'!A20</f>
        <v>Pre-K Programs - Private Tuition</v>
      </c>
      <c r="E39" s="849"/>
      <c r="F39" s="1915">
        <f>'Expenditures 15-22'!K20</f>
        <v>0</v>
      </c>
      <c r="G39" s="846"/>
    </row>
    <row r="40" spans="1:7" x14ac:dyDescent="0.2">
      <c r="A40" s="850" t="s">
        <v>479</v>
      </c>
      <c r="B40" s="850" t="s">
        <v>120</v>
      </c>
      <c r="C40" s="867" t="str">
        <f>'Expenditures 15-22'!B21</f>
        <v>1911</v>
      </c>
      <c r="D40" s="869" t="str">
        <f>'Expenditures 15-22'!A21</f>
        <v>Regular K-12 Programs - Private Tuition</v>
      </c>
      <c r="E40" s="849"/>
      <c r="F40" s="1915">
        <f>'Expenditures 15-22'!K21</f>
        <v>0</v>
      </c>
      <c r="G40" s="846"/>
    </row>
    <row r="41" spans="1:7" x14ac:dyDescent="0.2">
      <c r="A41" s="850" t="s">
        <v>479</v>
      </c>
      <c r="B41" s="850" t="s">
        <v>121</v>
      </c>
      <c r="C41" s="867" t="str">
        <f>'Expenditures 15-22'!B22</f>
        <v>1912</v>
      </c>
      <c r="D41" s="869" t="str">
        <f>'Expenditures 15-22'!A22</f>
        <v>Special Education Programs K-12 - Private Tuition</v>
      </c>
      <c r="E41" s="849"/>
      <c r="F41" s="1915">
        <f>'Expenditures 15-22'!K22</f>
        <v>0</v>
      </c>
      <c r="G41" s="846"/>
    </row>
    <row r="42" spans="1:7" x14ac:dyDescent="0.2">
      <c r="A42" s="850" t="s">
        <v>479</v>
      </c>
      <c r="B42" s="850" t="s">
        <v>122</v>
      </c>
      <c r="C42" s="870" t="str">
        <f>'Expenditures 15-22'!B23</f>
        <v>1913</v>
      </c>
      <c r="D42" s="869" t="str">
        <f>'Expenditures 15-22'!A23</f>
        <v>Special Education Programs Pre-K - Tuition</v>
      </c>
      <c r="E42" s="849"/>
      <c r="F42" s="1915">
        <f>'Expenditures 15-22'!K23</f>
        <v>0</v>
      </c>
      <c r="G42" s="846"/>
    </row>
    <row r="43" spans="1:7" x14ac:dyDescent="0.2">
      <c r="A43" s="850" t="s">
        <v>479</v>
      </c>
      <c r="B43" s="850" t="s">
        <v>123</v>
      </c>
      <c r="C43" s="867" t="str">
        <f>'Expenditures 15-22'!B24</f>
        <v>1914</v>
      </c>
      <c r="D43" s="869" t="str">
        <f>'Expenditures 15-22'!A24</f>
        <v>Remedial/Supplemental Programs K-12 - Private Tuition</v>
      </c>
      <c r="E43" s="849"/>
      <c r="F43" s="1915">
        <f>'Expenditures 15-22'!K24</f>
        <v>0</v>
      </c>
      <c r="G43" s="846"/>
    </row>
    <row r="44" spans="1:7" x14ac:dyDescent="0.2">
      <c r="A44" s="850" t="s">
        <v>479</v>
      </c>
      <c r="B44" s="850" t="s">
        <v>124</v>
      </c>
      <c r="C44" s="870" t="str">
        <f>'Expenditures 15-22'!B25</f>
        <v>1915</v>
      </c>
      <c r="D44" s="869" t="str">
        <f>'Expenditures 15-22'!A25</f>
        <v>Remedial/Supplemental Programs Pre-K - Private Tuition</v>
      </c>
      <c r="E44" s="849"/>
      <c r="F44" s="1915">
        <f>'Expenditures 15-22'!K25</f>
        <v>0</v>
      </c>
      <c r="G44" s="846"/>
    </row>
    <row r="45" spans="1:7" x14ac:dyDescent="0.2">
      <c r="A45" s="850" t="s">
        <v>479</v>
      </c>
      <c r="B45" s="850" t="s">
        <v>125</v>
      </c>
      <c r="C45" s="870" t="str">
        <f>'Expenditures 15-22'!B26</f>
        <v>1916</v>
      </c>
      <c r="D45" s="869" t="str">
        <f>'Expenditures 15-22'!A26</f>
        <v>Adult/Continuing Education Programs - Private Tuition</v>
      </c>
      <c r="E45" s="849"/>
      <c r="F45" s="1915">
        <f>'Expenditures 15-22'!K26</f>
        <v>0</v>
      </c>
      <c r="G45" s="846"/>
    </row>
    <row r="46" spans="1:7" x14ac:dyDescent="0.2">
      <c r="A46" s="850" t="s">
        <v>479</v>
      </c>
      <c r="B46" s="850" t="s">
        <v>126</v>
      </c>
      <c r="C46" s="867" t="str">
        <f>'Expenditures 15-22'!B27</f>
        <v>1917</v>
      </c>
      <c r="D46" s="869" t="str">
        <f>'Expenditures 15-22'!A27</f>
        <v>CTE Programs - Private Tuition</v>
      </c>
      <c r="E46" s="849"/>
      <c r="F46" s="1915">
        <f>'Expenditures 15-22'!K27</f>
        <v>0</v>
      </c>
      <c r="G46" s="846"/>
    </row>
    <row r="47" spans="1:7" x14ac:dyDescent="0.2">
      <c r="A47" s="850" t="s">
        <v>479</v>
      </c>
      <c r="B47" s="850" t="s">
        <v>127</v>
      </c>
      <c r="C47" s="871" t="str">
        <f>'Expenditures 15-22'!B28</f>
        <v>1918</v>
      </c>
      <c r="D47" s="872" t="str">
        <f>'Expenditures 15-22'!A28</f>
        <v>Interscholastic Programs - Private Tuition</v>
      </c>
      <c r="E47" s="849"/>
      <c r="F47" s="1915">
        <f>'Expenditures 15-22'!K28</f>
        <v>0</v>
      </c>
      <c r="G47" s="846"/>
    </row>
    <row r="48" spans="1:7" x14ac:dyDescent="0.2">
      <c r="A48" s="850" t="s">
        <v>479</v>
      </c>
      <c r="B48" s="850" t="s">
        <v>128</v>
      </c>
      <c r="C48" s="870" t="str">
        <f>'Expenditures 15-22'!B29</f>
        <v>1919</v>
      </c>
      <c r="D48" s="869" t="str">
        <f>'Expenditures 15-22'!A29</f>
        <v>Summer School Programs - Private Tuition</v>
      </c>
      <c r="E48" s="849"/>
      <c r="F48" s="1915">
        <f>'Expenditures 15-22'!K29</f>
        <v>0</v>
      </c>
      <c r="G48" s="846"/>
    </row>
    <row r="49" spans="1:7" x14ac:dyDescent="0.2">
      <c r="A49" s="850" t="s">
        <v>479</v>
      </c>
      <c r="B49" s="850" t="s">
        <v>129</v>
      </c>
      <c r="C49" s="867" t="str">
        <f>'Expenditures 15-22'!B30</f>
        <v>1920</v>
      </c>
      <c r="D49" s="869" t="str">
        <f>'Expenditures 15-22'!A30</f>
        <v>Gifted Programs - Private Tuition</v>
      </c>
      <c r="E49" s="849"/>
      <c r="F49" s="1915">
        <f>'Expenditures 15-22'!K30</f>
        <v>0</v>
      </c>
      <c r="G49" s="846"/>
    </row>
    <row r="50" spans="1:7" x14ac:dyDescent="0.2">
      <c r="A50" s="850" t="s">
        <v>479</v>
      </c>
      <c r="B50" s="850" t="s">
        <v>130</v>
      </c>
      <c r="C50" s="867" t="str">
        <f>'Expenditures 15-22'!B31</f>
        <v>1921</v>
      </c>
      <c r="D50" s="869" t="str">
        <f>'Expenditures 15-22'!A31</f>
        <v>Bilingual Programs - Private Tuition</v>
      </c>
      <c r="E50" s="849"/>
      <c r="F50" s="1915">
        <f>'Expenditures 15-22'!K31</f>
        <v>0</v>
      </c>
      <c r="G50" s="846"/>
    </row>
    <row r="51" spans="1:7" x14ac:dyDescent="0.2">
      <c r="A51" s="850" t="s">
        <v>479</v>
      </c>
      <c r="B51" s="850" t="s">
        <v>1549</v>
      </c>
      <c r="C51" s="867" t="str">
        <f>'Expenditures 15-22'!B32</f>
        <v>1922</v>
      </c>
      <c r="D51" s="869" t="str">
        <f>'Expenditures 15-22'!A32</f>
        <v>Truants Alternative/Optional Ed Progms - Private Tuition</v>
      </c>
      <c r="E51" s="849"/>
      <c r="F51" s="1915">
        <f>'Expenditures 15-22'!K32</f>
        <v>0</v>
      </c>
      <c r="G51" s="846"/>
    </row>
    <row r="52" spans="1:7" x14ac:dyDescent="0.2">
      <c r="A52" s="850" t="s">
        <v>479</v>
      </c>
      <c r="B52" s="850" t="s">
        <v>1550</v>
      </c>
      <c r="C52" s="870" t="str">
        <f>'Expenditures 15-22'!B75</f>
        <v>3000</v>
      </c>
      <c r="D52" s="869" t="s">
        <v>469</v>
      </c>
      <c r="E52" s="849"/>
      <c r="F52" s="1915">
        <f>'Expenditures 15-22'!K75-SUM('Expenditures 15-22'!G75,'Expenditures 15-22'!I75)</f>
        <v>0</v>
      </c>
      <c r="G52" s="846"/>
    </row>
    <row r="53" spans="1:7" x14ac:dyDescent="0.2">
      <c r="A53" s="850" t="s">
        <v>479</v>
      </c>
      <c r="B53" s="850" t="s">
        <v>1551</v>
      </c>
      <c r="C53" s="870">
        <f>'Expenditures 15-22'!B102</f>
        <v>4000</v>
      </c>
      <c r="D53" s="869" t="str">
        <f>'Expenditures 15-22'!A102</f>
        <v>Total Payments to Other Govt Units</v>
      </c>
      <c r="E53" s="849"/>
      <c r="F53" s="1915">
        <f>'Expenditures 15-22'!K102</f>
        <v>543374</v>
      </c>
      <c r="G53" s="846"/>
    </row>
    <row r="54" spans="1:7" x14ac:dyDescent="0.2">
      <c r="A54" s="850" t="s">
        <v>479</v>
      </c>
      <c r="B54" s="850" t="s">
        <v>1552</v>
      </c>
      <c r="C54" s="870" t="s">
        <v>1039</v>
      </c>
      <c r="D54" s="866" t="s">
        <v>1157</v>
      </c>
      <c r="E54" s="849"/>
      <c r="F54" s="1915">
        <f>'Expenditures 15-22'!G114</f>
        <v>290928</v>
      </c>
      <c r="G54" s="846"/>
    </row>
    <row r="55" spans="1:7" x14ac:dyDescent="0.2">
      <c r="A55" s="850" t="s">
        <v>479</v>
      </c>
      <c r="B55" s="850" t="s">
        <v>1553</v>
      </c>
      <c r="C55" s="870" t="s">
        <v>1039</v>
      </c>
      <c r="D55" s="866" t="s">
        <v>309</v>
      </c>
      <c r="E55" s="849"/>
      <c r="F55" s="1915">
        <f>'Expenditures 15-22'!I114</f>
        <v>0</v>
      </c>
      <c r="G55" s="846"/>
    </row>
    <row r="56" spans="1:7" x14ac:dyDescent="0.2">
      <c r="A56" s="850" t="s">
        <v>480</v>
      </c>
      <c r="B56" s="850" t="s">
        <v>1554</v>
      </c>
      <c r="C56" s="867" t="str">
        <f>'Expenditures 15-22'!B130</f>
        <v>3000</v>
      </c>
      <c r="D56" s="873" t="s">
        <v>469</v>
      </c>
      <c r="E56" s="849"/>
      <c r="F56" s="1915">
        <f>'Expenditures 15-22'!K130-SUM('Expenditures 15-22'!G130+'Expenditures 15-22'!I130)</f>
        <v>0</v>
      </c>
      <c r="G56" s="846"/>
    </row>
    <row r="57" spans="1:7" x14ac:dyDescent="0.2">
      <c r="A57" s="850" t="s">
        <v>480</v>
      </c>
      <c r="B57" s="850" t="s">
        <v>1990</v>
      </c>
      <c r="C57" s="870">
        <f>'Expenditures 15-22'!B139</f>
        <v>4000</v>
      </c>
      <c r="D57" s="868" t="str">
        <f>'Expenditures 15-22'!A139</f>
        <v>Total Payments to Other Govt Units</v>
      </c>
      <c r="E57" s="849"/>
      <c r="F57" s="1915">
        <f>'Expenditures 15-22'!K139</f>
        <v>0</v>
      </c>
      <c r="G57" s="846"/>
    </row>
    <row r="58" spans="1:7" x14ac:dyDescent="0.2">
      <c r="A58" s="850" t="s">
        <v>480</v>
      </c>
      <c r="B58" s="850" t="s">
        <v>1991</v>
      </c>
      <c r="C58" s="867" t="s">
        <v>1039</v>
      </c>
      <c r="D58" s="866" t="s">
        <v>1157</v>
      </c>
      <c r="E58" s="849"/>
      <c r="F58" s="1917">
        <f>'Expenditures 15-22'!G151</f>
        <v>218636.6</v>
      </c>
      <c r="G58" s="846"/>
    </row>
    <row r="59" spans="1:7" x14ac:dyDescent="0.2">
      <c r="A59" s="874" t="s">
        <v>480</v>
      </c>
      <c r="B59" s="837" t="s">
        <v>1992</v>
      </c>
      <c r="C59" s="875" t="s">
        <v>1039</v>
      </c>
      <c r="D59" s="837" t="s">
        <v>309</v>
      </c>
      <c r="F59" s="1918">
        <f>'Expenditures 15-22'!I151</f>
        <v>0</v>
      </c>
      <c r="G59" s="846"/>
    </row>
    <row r="60" spans="1:7" x14ac:dyDescent="0.2">
      <c r="A60" s="874" t="s">
        <v>520</v>
      </c>
      <c r="B60" s="837" t="s">
        <v>1993</v>
      </c>
      <c r="C60" s="875">
        <v>4000</v>
      </c>
      <c r="D60" s="837" t="s">
        <v>330</v>
      </c>
      <c r="F60" s="1916">
        <f>'Expenditures 15-22'!K160</f>
        <v>0</v>
      </c>
      <c r="G60" s="846"/>
    </row>
    <row r="61" spans="1:7" x14ac:dyDescent="0.2">
      <c r="A61" s="876" t="s">
        <v>520</v>
      </c>
      <c r="B61" s="876" t="s">
        <v>1994</v>
      </c>
      <c r="C61" s="877" t="str">
        <f>'Expenditures 15-22'!B170</f>
        <v>5300</v>
      </c>
      <c r="D61" s="878" t="s">
        <v>329</v>
      </c>
      <c r="E61" s="860"/>
      <c r="F61" s="1915">
        <f>'Expenditures 15-22'!K170</f>
        <v>2960237</v>
      </c>
      <c r="G61" s="846"/>
    </row>
    <row r="62" spans="1:7" x14ac:dyDescent="0.2">
      <c r="A62" s="850" t="s">
        <v>481</v>
      </c>
      <c r="B62" s="850" t="s">
        <v>1995</v>
      </c>
      <c r="C62" s="867">
        <f>'Expenditures 15-22'!B185</f>
        <v>3000</v>
      </c>
      <c r="D62" s="857" t="s">
        <v>469</v>
      </c>
      <c r="E62" s="849"/>
      <c r="F62" s="1915">
        <f>'Expenditures 15-22'!K185-SUM('Expenditures 15-22'!G185,'Expenditures 15-22'!I185)</f>
        <v>0</v>
      </c>
      <c r="G62" s="846"/>
    </row>
    <row r="63" spans="1:7" x14ac:dyDescent="0.2">
      <c r="A63" s="850" t="s">
        <v>481</v>
      </c>
      <c r="B63" s="850" t="s">
        <v>1996</v>
      </c>
      <c r="C63" s="867" t="str">
        <f>'Expenditures 15-22'!B196</f>
        <v>4000</v>
      </c>
      <c r="D63" s="868" t="str">
        <f>'Expenditures 15-22'!A196</f>
        <v>Total Payments to Other Govt Units</v>
      </c>
      <c r="E63" s="849"/>
      <c r="F63" s="1915">
        <f>'Expenditures 15-22'!K196</f>
        <v>0</v>
      </c>
      <c r="G63" s="846"/>
    </row>
    <row r="64" spans="1:7" x14ac:dyDescent="0.2">
      <c r="A64" s="876" t="s">
        <v>481</v>
      </c>
      <c r="B64" s="876" t="s">
        <v>1997</v>
      </c>
      <c r="C64" s="877" t="str">
        <f>'Expenditures 15-22'!B206</f>
        <v>5300</v>
      </c>
      <c r="D64" s="873" t="s">
        <v>329</v>
      </c>
      <c r="E64" s="849"/>
      <c r="F64" s="1915">
        <f>'Expenditures 15-22'!K206</f>
        <v>130714</v>
      </c>
      <c r="G64" s="846"/>
    </row>
    <row r="65" spans="1:8" x14ac:dyDescent="0.2">
      <c r="A65" s="850" t="s">
        <v>481</v>
      </c>
      <c r="B65" s="850" t="s">
        <v>1998</v>
      </c>
      <c r="C65" s="867" t="s">
        <v>1039</v>
      </c>
      <c r="D65" s="866" t="s">
        <v>1157</v>
      </c>
      <c r="E65" s="849"/>
      <c r="F65" s="1915">
        <f>'Expenditures 15-22'!G210</f>
        <v>640534</v>
      </c>
      <c r="G65" s="846"/>
    </row>
    <row r="66" spans="1:8" x14ac:dyDescent="0.2">
      <c r="A66" s="850" t="s">
        <v>481</v>
      </c>
      <c r="B66" s="850" t="s">
        <v>1999</v>
      </c>
      <c r="C66" s="867" t="s">
        <v>1039</v>
      </c>
      <c r="D66" s="866" t="s">
        <v>309</v>
      </c>
      <c r="E66" s="849"/>
      <c r="F66" s="1915">
        <f>'Expenditures 15-22'!I210</f>
        <v>0</v>
      </c>
      <c r="G66" s="846"/>
    </row>
    <row r="67" spans="1:8" x14ac:dyDescent="0.2">
      <c r="A67" s="850" t="s">
        <v>482</v>
      </c>
      <c r="B67" s="850" t="s">
        <v>2000</v>
      </c>
      <c r="C67" s="867" t="str">
        <f>'Expenditures 15-22'!B216</f>
        <v>1125</v>
      </c>
      <c r="D67" s="873" t="str">
        <f>'Expenditures 15-22'!A216</f>
        <v>Pre-K Programs</v>
      </c>
      <c r="E67" s="849"/>
      <c r="F67" s="1915">
        <f>'Expenditures 15-22'!K216</f>
        <v>0</v>
      </c>
      <c r="G67" s="846"/>
    </row>
    <row r="68" spans="1:8" x14ac:dyDescent="0.2">
      <c r="A68" s="850" t="s">
        <v>482</v>
      </c>
      <c r="B68" s="850" t="s">
        <v>1555</v>
      </c>
      <c r="C68" s="867" t="str">
        <f>'Expenditures 15-22'!B218</f>
        <v>1225</v>
      </c>
      <c r="D68" s="873" t="str">
        <f>'Expenditures 15-22'!A218</f>
        <v>Special Education Programs - Pre-K</v>
      </c>
      <c r="E68" s="849"/>
      <c r="F68" s="1915">
        <f>'Expenditures 15-22'!K218</f>
        <v>53873</v>
      </c>
      <c r="G68" s="846"/>
    </row>
    <row r="69" spans="1:8" x14ac:dyDescent="0.2">
      <c r="A69" s="850" t="s">
        <v>482</v>
      </c>
      <c r="B69" s="850" t="s">
        <v>2001</v>
      </c>
      <c r="C69" s="867" t="str">
        <f>'Expenditures 15-22'!B220</f>
        <v>1275</v>
      </c>
      <c r="D69" s="873" t="str">
        <f>'Expenditures 15-22'!A220</f>
        <v>Remedial and Supplemental Programs - Pre-K</v>
      </c>
      <c r="E69" s="849"/>
      <c r="F69" s="1915">
        <f>'Expenditures 15-22'!K220</f>
        <v>30267</v>
      </c>
      <c r="G69" s="846"/>
    </row>
    <row r="70" spans="1:8" x14ac:dyDescent="0.2">
      <c r="A70" s="850" t="s">
        <v>482</v>
      </c>
      <c r="B70" s="850" t="s">
        <v>2002</v>
      </c>
      <c r="C70" s="867">
        <f>'Expenditures 15-22'!B221</f>
        <v>1300</v>
      </c>
      <c r="D70" s="868" t="str">
        <f>'Expenditures 15-22'!A221</f>
        <v>Adult/Continuing Education Programs</v>
      </c>
      <c r="E70" s="849"/>
      <c r="F70" s="1915">
        <f>'Expenditures 15-22'!K221</f>
        <v>0</v>
      </c>
      <c r="G70" s="846"/>
    </row>
    <row r="71" spans="1:8" x14ac:dyDescent="0.2">
      <c r="A71" s="850" t="s">
        <v>482</v>
      </c>
      <c r="B71" s="850" t="s">
        <v>2003</v>
      </c>
      <c r="C71" s="867">
        <f>'Expenditures 15-22'!B224</f>
        <v>1600</v>
      </c>
      <c r="D71" s="868" t="str">
        <f>'Expenditures 15-22'!A224</f>
        <v>Summer School Programs</v>
      </c>
      <c r="E71" s="849"/>
      <c r="F71" s="1915">
        <f>'Expenditures 15-22'!K224</f>
        <v>0</v>
      </c>
      <c r="G71" s="846"/>
    </row>
    <row r="72" spans="1:8" x14ac:dyDescent="0.2">
      <c r="A72" s="850" t="s">
        <v>482</v>
      </c>
      <c r="B72" s="850" t="s">
        <v>2004</v>
      </c>
      <c r="C72" s="867">
        <f>'Expenditures 15-22'!B280</f>
        <v>3000</v>
      </c>
      <c r="D72" s="857" t="s">
        <v>469</v>
      </c>
      <c r="E72" s="849"/>
      <c r="F72" s="1915">
        <f>'Expenditures 15-22'!K280</f>
        <v>0</v>
      </c>
      <c r="G72" s="846"/>
    </row>
    <row r="73" spans="1:8" x14ac:dyDescent="0.2">
      <c r="A73" s="850" t="s">
        <v>482</v>
      </c>
      <c r="B73" s="850" t="s">
        <v>2005</v>
      </c>
      <c r="C73" s="867" t="str">
        <f>'Expenditures 15-22'!B285</f>
        <v>4000</v>
      </c>
      <c r="D73" s="868" t="str">
        <f>'Expenditures 15-22'!A285</f>
        <v>Total Payments to Other Govt Units</v>
      </c>
      <c r="E73" s="849"/>
      <c r="F73" s="1915">
        <f>'Expenditures 15-22'!K285</f>
        <v>0</v>
      </c>
      <c r="G73" s="846"/>
    </row>
    <row r="74" spans="1:8" x14ac:dyDescent="0.2">
      <c r="A74" s="850" t="s">
        <v>456</v>
      </c>
      <c r="B74" s="850" t="s">
        <v>2006</v>
      </c>
      <c r="C74" s="867" t="s">
        <v>915</v>
      </c>
      <c r="D74" s="868" t="s">
        <v>1567</v>
      </c>
      <c r="E74" s="849"/>
      <c r="F74" s="1919">
        <f>'Expenditures 15-22'!K334</f>
        <v>0</v>
      </c>
      <c r="G74" s="846"/>
    </row>
    <row r="75" spans="1:8" ht="5.25" customHeight="1" x14ac:dyDescent="0.2">
      <c r="A75" s="846"/>
      <c r="B75" s="856"/>
      <c r="C75" s="856"/>
      <c r="D75" s="846"/>
      <c r="E75" s="849"/>
      <c r="F75" s="863"/>
      <c r="G75" s="848"/>
    </row>
    <row r="76" spans="1:8" ht="12" thickBot="1" x14ac:dyDescent="0.25">
      <c r="A76" s="1770"/>
      <c r="B76" s="1776"/>
      <c r="C76" s="1772"/>
      <c r="D76" s="1777" t="s">
        <v>2007</v>
      </c>
      <c r="E76" s="1774" t="s">
        <v>1015</v>
      </c>
      <c r="F76" s="1778">
        <f>SUM(F18:F74)</f>
        <v>7015745.5999999996</v>
      </c>
      <c r="G76" s="846"/>
    </row>
    <row r="77" spans="1:8" s="874" customFormat="1" ht="12" customHeight="1" thickTop="1" thickBot="1" x14ac:dyDescent="0.25">
      <c r="A77" s="1779"/>
      <c r="B77" s="1776"/>
      <c r="C77" s="1772"/>
      <c r="D77" s="1777" t="s">
        <v>2008</v>
      </c>
      <c r="E77" s="1774"/>
      <c r="F77" s="1780">
        <f>(F14-F76)</f>
        <v>18325024.159999996</v>
      </c>
      <c r="G77" s="850"/>
    </row>
    <row r="78" spans="1:8" s="874" customFormat="1" ht="12" customHeight="1" thickTop="1" x14ac:dyDescent="0.2">
      <c r="A78" s="1781"/>
      <c r="B78" s="1776"/>
      <c r="C78" s="1772"/>
      <c r="D78" s="1777" t="s">
        <v>2055</v>
      </c>
      <c r="E78" s="1774"/>
      <c r="F78" s="879">
        <v>1795.19</v>
      </c>
      <c r="G78" s="880"/>
      <c r="H78" s="850"/>
    </row>
    <row r="79" spans="1:8" s="874" customFormat="1" ht="12" customHeight="1" thickBot="1" x14ac:dyDescent="0.25">
      <c r="A79" s="1782"/>
      <c r="B79" s="1776"/>
      <c r="C79" s="1772"/>
      <c r="D79" s="1777" t="s">
        <v>2009</v>
      </c>
      <c r="E79" s="1774" t="s">
        <v>1015</v>
      </c>
      <c r="F79" s="1783">
        <f>IF(F78&gt;0,F77/F78," Complete Line 78")</f>
        <v>10207.846612336296</v>
      </c>
      <c r="G79" s="850"/>
    </row>
    <row r="80" spans="1:8" s="874" customFormat="1" ht="8.25" customHeight="1" thickTop="1" x14ac:dyDescent="0.2">
      <c r="A80" s="881"/>
      <c r="B80" s="850"/>
      <c r="C80" s="852"/>
      <c r="D80" s="882"/>
      <c r="E80" s="849"/>
      <c r="F80" s="883"/>
      <c r="G80" s="850"/>
    </row>
    <row r="81" spans="1:7" s="874" customFormat="1" ht="12" thickBot="1" x14ac:dyDescent="0.25">
      <c r="A81" s="2309" t="s">
        <v>1167</v>
      </c>
      <c r="B81" s="2310"/>
      <c r="C81" s="2310"/>
      <c r="D81" s="2310"/>
      <c r="E81" s="2310"/>
      <c r="F81" s="2311"/>
      <c r="G81" s="850"/>
    </row>
    <row r="82" spans="1:7" s="874" customFormat="1" ht="5.25" customHeight="1" thickTop="1" x14ac:dyDescent="0.2">
      <c r="A82" s="850"/>
      <c r="B82" s="850"/>
      <c r="C82" s="852"/>
      <c r="D82" s="850"/>
      <c r="E82" s="852"/>
      <c r="F82" s="850"/>
      <c r="G82" s="884"/>
    </row>
    <row r="83" spans="1:7" ht="12" customHeight="1" x14ac:dyDescent="0.2">
      <c r="A83" s="885" t="s">
        <v>867</v>
      </c>
      <c r="B83" s="886"/>
      <c r="C83" s="887"/>
      <c r="D83" s="888"/>
      <c r="E83" s="887"/>
      <c r="F83" s="886"/>
      <c r="G83" s="886"/>
    </row>
    <row r="84" spans="1:7" x14ac:dyDescent="0.2">
      <c r="A84" s="889" t="s">
        <v>481</v>
      </c>
      <c r="B84" s="890" t="s">
        <v>148</v>
      </c>
      <c r="C84" s="891">
        <f>'Revenues 9-14'!B42</f>
        <v>1411</v>
      </c>
      <c r="D84" s="892" t="str">
        <f>'Revenues 9-14'!A42</f>
        <v>Regular -Transp Fees from Pupils or Parents (In State)</v>
      </c>
      <c r="E84" s="887" t="s">
        <v>1015</v>
      </c>
      <c r="F84" s="1909">
        <f>'Revenues 9-14'!F42</f>
        <v>0</v>
      </c>
      <c r="G84" s="893"/>
    </row>
    <row r="85" spans="1:7" x14ac:dyDescent="0.2">
      <c r="A85" s="889" t="s">
        <v>481</v>
      </c>
      <c r="B85" s="889" t="s">
        <v>192</v>
      </c>
      <c r="C85" s="894">
        <f>'Revenues 9-14'!B44</f>
        <v>1413</v>
      </c>
      <c r="D85" s="892" t="str">
        <f>'Revenues 9-14'!A44</f>
        <v>Regular - Transp Fees from Other Sources (In State)</v>
      </c>
      <c r="E85" s="887"/>
      <c r="F85" s="1789">
        <f>'Revenues 9-14'!F44</f>
        <v>0</v>
      </c>
      <c r="G85" s="895"/>
    </row>
    <row r="86" spans="1:7" x14ac:dyDescent="0.2">
      <c r="A86" s="889" t="s">
        <v>481</v>
      </c>
      <c r="B86" s="889" t="s">
        <v>168</v>
      </c>
      <c r="C86" s="891">
        <f>'Revenues 9-14'!B45</f>
        <v>1415</v>
      </c>
      <c r="D86" s="892" t="str">
        <f>'Revenues 9-14'!A45</f>
        <v>Regular - Transp Fees from Co-curricular Activities (In State)</v>
      </c>
      <c r="E86" s="887"/>
      <c r="F86" s="1789">
        <f>'Revenues 9-14'!F45</f>
        <v>0</v>
      </c>
      <c r="G86" s="895"/>
    </row>
    <row r="87" spans="1:7" x14ac:dyDescent="0.2">
      <c r="A87" s="889" t="s">
        <v>481</v>
      </c>
      <c r="B87" s="889" t="s">
        <v>169</v>
      </c>
      <c r="C87" s="891">
        <v>1416</v>
      </c>
      <c r="D87" s="892" t="str">
        <f>'Revenues 9-14'!A46</f>
        <v>Regular Transp Fees from Other Sources (Out of State)</v>
      </c>
      <c r="E87" s="887"/>
      <c r="F87" s="1789">
        <f>'Revenues 9-14'!F46</f>
        <v>0</v>
      </c>
      <c r="G87" s="895"/>
    </row>
    <row r="88" spans="1:7" x14ac:dyDescent="0.2">
      <c r="A88" s="889" t="s">
        <v>481</v>
      </c>
      <c r="B88" s="889" t="s">
        <v>170</v>
      </c>
      <c r="C88" s="891">
        <f>'Revenues 9-14'!B51</f>
        <v>1431</v>
      </c>
      <c r="D88" s="892" t="str">
        <f>'Revenues 9-14'!A51</f>
        <v>CTE - Transp Fees from Pupils or Parents (In State)</v>
      </c>
      <c r="E88" s="887"/>
      <c r="F88" s="1789">
        <f>'Revenues 9-14'!F51</f>
        <v>0</v>
      </c>
      <c r="G88" s="895"/>
    </row>
    <row r="89" spans="1:7" x14ac:dyDescent="0.2">
      <c r="A89" s="889" t="s">
        <v>481</v>
      </c>
      <c r="B89" s="889" t="s">
        <v>171</v>
      </c>
      <c r="C89" s="891">
        <f>'Revenues 9-14'!B53</f>
        <v>1433</v>
      </c>
      <c r="D89" s="892" t="str">
        <f>'Revenues 9-14'!A53</f>
        <v>CTE - Transp Fees from Other Sources (In State)</v>
      </c>
      <c r="E89" s="887"/>
      <c r="F89" s="1789">
        <f>'Revenues 9-14'!F53</f>
        <v>0</v>
      </c>
      <c r="G89" s="895"/>
    </row>
    <row r="90" spans="1:7" x14ac:dyDescent="0.2">
      <c r="A90" s="889" t="s">
        <v>481</v>
      </c>
      <c r="B90" s="889" t="s">
        <v>172</v>
      </c>
      <c r="C90" s="891">
        <f>'Revenues 9-14'!B54</f>
        <v>1434</v>
      </c>
      <c r="D90" s="892" t="str">
        <f>'Revenues 9-14'!A54</f>
        <v>CTE - Transp Fees from Other Sources (Out of State)</v>
      </c>
      <c r="E90" s="887"/>
      <c r="F90" s="1789">
        <f>'Revenues 9-14'!F54</f>
        <v>0</v>
      </c>
      <c r="G90" s="895"/>
    </row>
    <row r="91" spans="1:7" x14ac:dyDescent="0.2">
      <c r="A91" s="889" t="s">
        <v>481</v>
      </c>
      <c r="B91" s="889" t="s">
        <v>173</v>
      </c>
      <c r="C91" s="896">
        <f>'Revenues 9-14'!B55</f>
        <v>1441</v>
      </c>
      <c r="D91" s="892" t="str">
        <f>'Revenues 9-14'!A55</f>
        <v>Special Ed - Transp Fees from Pupils or Parents (In State)</v>
      </c>
      <c r="E91" s="887"/>
      <c r="F91" s="1789">
        <f>'Revenues 9-14'!F55</f>
        <v>0</v>
      </c>
      <c r="G91" s="895"/>
    </row>
    <row r="92" spans="1:7" x14ac:dyDescent="0.2">
      <c r="A92" s="889" t="s">
        <v>481</v>
      </c>
      <c r="B92" s="889" t="s">
        <v>174</v>
      </c>
      <c r="C92" s="891">
        <f>'Revenues 9-14'!B57</f>
        <v>1443</v>
      </c>
      <c r="D92" s="892" t="str">
        <f>'Revenues 9-14'!A57</f>
        <v>Special Ed - Transp Fees from Other Sources (In State)</v>
      </c>
      <c r="E92" s="887"/>
      <c r="F92" s="1789">
        <f>'Revenues 9-14'!F57</f>
        <v>0</v>
      </c>
      <c r="G92" s="897"/>
    </row>
    <row r="93" spans="1:7" x14ac:dyDescent="0.2">
      <c r="A93" s="889" t="s">
        <v>481</v>
      </c>
      <c r="B93" s="889" t="s">
        <v>175</v>
      </c>
      <c r="C93" s="891">
        <f>'Revenues 9-14'!B58</f>
        <v>1444</v>
      </c>
      <c r="D93" s="892" t="str">
        <f>'Revenues 9-14'!A58</f>
        <v>Special Ed - Transp Fees from Other Sources (Out of State)</v>
      </c>
      <c r="E93" s="887"/>
      <c r="F93" s="1789">
        <f>'Revenues 9-14'!F58</f>
        <v>0</v>
      </c>
      <c r="G93" s="897"/>
    </row>
    <row r="94" spans="1:7" x14ac:dyDescent="0.2">
      <c r="A94" s="889" t="s">
        <v>479</v>
      </c>
      <c r="B94" s="889" t="s">
        <v>176</v>
      </c>
      <c r="C94" s="891">
        <v>1600</v>
      </c>
      <c r="D94" s="898" t="str">
        <f>'Revenues 9-14'!A75</f>
        <v>Total Food Service</v>
      </c>
      <c r="E94" s="887"/>
      <c r="F94" s="1789">
        <f>'Revenues 9-14'!C75</f>
        <v>213922</v>
      </c>
      <c r="G94" s="893"/>
    </row>
    <row r="95" spans="1:7" x14ac:dyDescent="0.2">
      <c r="A95" s="889" t="s">
        <v>142</v>
      </c>
      <c r="B95" s="889" t="s">
        <v>177</v>
      </c>
      <c r="C95" s="891">
        <v>1700</v>
      </c>
      <c r="D95" s="899" t="str">
        <f>'Revenues 9-14'!A82</f>
        <v>Total District/School Activity Income</v>
      </c>
      <c r="E95" s="887"/>
      <c r="F95" s="1789">
        <f>SUM('Revenues 9-14'!C82,'Revenues 9-14'!D82)</f>
        <v>129580</v>
      </c>
      <c r="G95" s="893"/>
    </row>
    <row r="96" spans="1:7" x14ac:dyDescent="0.2">
      <c r="A96" s="889" t="s">
        <v>479</v>
      </c>
      <c r="B96" s="889" t="s">
        <v>178</v>
      </c>
      <c r="C96" s="891">
        <f>'Revenues 9-14'!B84</f>
        <v>1811</v>
      </c>
      <c r="D96" s="892" t="str">
        <f>'Revenues 9-14'!A84</f>
        <v>Rentals - Regular Textbooks</v>
      </c>
      <c r="E96" s="887"/>
      <c r="F96" s="1789">
        <f>'Revenues 9-14'!C84</f>
        <v>0</v>
      </c>
      <c r="G96" s="893"/>
    </row>
    <row r="97" spans="1:7" x14ac:dyDescent="0.2">
      <c r="A97" s="889" t="s">
        <v>479</v>
      </c>
      <c r="B97" s="889" t="s">
        <v>179</v>
      </c>
      <c r="C97" s="891">
        <f>'Revenues 9-14'!B87</f>
        <v>1819</v>
      </c>
      <c r="D97" s="892" t="str">
        <f>'Revenues 9-14'!A87</f>
        <v>Rentals - Other (Describe &amp; Itemize)</v>
      </c>
      <c r="E97" s="887"/>
      <c r="F97" s="1789">
        <f>'Revenues 9-14'!C87</f>
        <v>0</v>
      </c>
      <c r="G97" s="893"/>
    </row>
    <row r="98" spans="1:7" x14ac:dyDescent="0.2">
      <c r="A98" s="889" t="s">
        <v>479</v>
      </c>
      <c r="B98" s="889" t="s">
        <v>180</v>
      </c>
      <c r="C98" s="891">
        <f>'Revenues 9-14'!B88</f>
        <v>1821</v>
      </c>
      <c r="D98" s="892" t="str">
        <f>'Revenues 9-14'!A88</f>
        <v>Sales - Regular Textbooks</v>
      </c>
      <c r="E98" s="887"/>
      <c r="F98" s="1789">
        <f>'Revenues 9-14'!C88</f>
        <v>0</v>
      </c>
      <c r="G98" s="893"/>
    </row>
    <row r="99" spans="1:7" x14ac:dyDescent="0.2">
      <c r="A99" s="889" t="s">
        <v>479</v>
      </c>
      <c r="B99" s="889" t="s">
        <v>181</v>
      </c>
      <c r="C99" s="891">
        <f>'Revenues 9-14'!B91</f>
        <v>1829</v>
      </c>
      <c r="D99" s="892" t="str">
        <f>'Revenues 9-14'!A91</f>
        <v>Sales - Other (Describe &amp; Itemize)</v>
      </c>
      <c r="E99" s="887"/>
      <c r="F99" s="1789">
        <f>'Revenues 9-14'!C91</f>
        <v>0</v>
      </c>
      <c r="G99" s="893"/>
    </row>
    <row r="100" spans="1:7" x14ac:dyDescent="0.2">
      <c r="A100" s="889" t="s">
        <v>479</v>
      </c>
      <c r="B100" s="889" t="s">
        <v>182</v>
      </c>
      <c r="C100" s="891">
        <f>'Revenues 9-14'!B92</f>
        <v>1890</v>
      </c>
      <c r="D100" s="892" t="str">
        <f>'Revenues 9-14'!A92</f>
        <v>Other (Describe &amp; Itemize)</v>
      </c>
      <c r="E100" s="887"/>
      <c r="F100" s="1789">
        <f>'Revenues 9-14'!C92</f>
        <v>0</v>
      </c>
      <c r="G100" s="893"/>
    </row>
    <row r="101" spans="1:7" x14ac:dyDescent="0.2">
      <c r="A101" s="889" t="s">
        <v>142</v>
      </c>
      <c r="B101" s="889" t="s">
        <v>183</v>
      </c>
      <c r="C101" s="891">
        <f>'Revenues 9-14'!B95</f>
        <v>1910</v>
      </c>
      <c r="D101" s="892" t="str">
        <f>'Revenues 9-14'!A95</f>
        <v>Rentals</v>
      </c>
      <c r="E101" s="887"/>
      <c r="F101" s="1789">
        <f>SUM('Revenues 9-14'!C95:D95)</f>
        <v>2165.36</v>
      </c>
      <c r="G101" s="893"/>
    </row>
    <row r="102" spans="1:7" x14ac:dyDescent="0.2">
      <c r="A102" s="889" t="s">
        <v>524</v>
      </c>
      <c r="B102" s="889" t="s">
        <v>184</v>
      </c>
      <c r="C102" s="891">
        <f>'Revenues 9-14'!B98</f>
        <v>1940</v>
      </c>
      <c r="D102" s="892" t="str">
        <f>'Revenues 9-14'!A98</f>
        <v>Services Provided Other Districts</v>
      </c>
      <c r="E102" s="887"/>
      <c r="F102" s="1789">
        <f>SUM('Revenues 9-14'!C98,'Revenues 9-14'!D98,'Revenues 9-14'!F98)</f>
        <v>217731</v>
      </c>
      <c r="G102" s="893"/>
    </row>
    <row r="103" spans="1:7" x14ac:dyDescent="0.2">
      <c r="A103" s="889" t="s">
        <v>1066</v>
      </c>
      <c r="B103" s="889" t="s">
        <v>834</v>
      </c>
      <c r="C103" s="891">
        <f>'Revenues 9-14'!B104</f>
        <v>1991</v>
      </c>
      <c r="D103" s="900" t="str">
        <f>'Revenues 9-14'!A104</f>
        <v>Payment from Other Districts</v>
      </c>
      <c r="E103" s="887"/>
      <c r="F103" s="1789">
        <f>SUM('Revenues 9-14'!C104,'Revenues 9-14'!D104,'Revenues 9-14'!E104,'Revenues 9-14'!F104,'Revenues 9-14'!G104)</f>
        <v>0</v>
      </c>
      <c r="G103" s="893"/>
    </row>
    <row r="104" spans="1:7" x14ac:dyDescent="0.2">
      <c r="A104" s="889" t="s">
        <v>479</v>
      </c>
      <c r="B104" s="889" t="s">
        <v>841</v>
      </c>
      <c r="C104" s="891">
        <f>'Revenues 9-14'!B106</f>
        <v>1993</v>
      </c>
      <c r="D104" s="892" t="str">
        <f>'Revenues 9-14'!A106</f>
        <v>Other Local Fees (Describe &amp; Itemize)</v>
      </c>
      <c r="E104" s="887"/>
      <c r="F104" s="1789">
        <f>('Revenues 9-14'!C106)</f>
        <v>0</v>
      </c>
      <c r="G104" s="893"/>
    </row>
    <row r="105" spans="1:7" x14ac:dyDescent="0.2">
      <c r="A105" s="889" t="s">
        <v>524</v>
      </c>
      <c r="B105" s="889" t="s">
        <v>842</v>
      </c>
      <c r="C105" s="894">
        <v>3100</v>
      </c>
      <c r="D105" s="900" t="str">
        <f>'Revenues 9-14'!A131</f>
        <v>Total Special Education</v>
      </c>
      <c r="E105" s="887"/>
      <c r="F105" s="1789">
        <f>SUM('Revenues 9-14'!C131:D131,'Revenues 9-14'!F131)</f>
        <v>636047</v>
      </c>
      <c r="G105" s="893"/>
    </row>
    <row r="106" spans="1:7" x14ac:dyDescent="0.2">
      <c r="A106" s="889" t="s">
        <v>694</v>
      </c>
      <c r="B106" s="889" t="s">
        <v>1483</v>
      </c>
      <c r="C106" s="901">
        <v>3200</v>
      </c>
      <c r="D106" s="892" t="str">
        <f>'Revenues 9-14'!A140</f>
        <v>Total Career and Technical Education</v>
      </c>
      <c r="E106" s="887"/>
      <c r="F106" s="1789">
        <f>SUM('Revenues 9-14'!C140,'Revenues 9-14'!D140,'Revenues 9-14'!G140)</f>
        <v>0</v>
      </c>
      <c r="G106" s="893"/>
    </row>
    <row r="107" spans="1:7" x14ac:dyDescent="0.2">
      <c r="A107" s="902" t="s">
        <v>685</v>
      </c>
      <c r="B107" s="889" t="s">
        <v>843</v>
      </c>
      <c r="C107" s="901">
        <v>3300</v>
      </c>
      <c r="D107" s="892" t="str">
        <f>'Revenues 9-14'!A144</f>
        <v>Total Bilingual Ed</v>
      </c>
      <c r="E107" s="887"/>
      <c r="F107" s="1789">
        <f>SUM('Revenues 9-14'!C144,'Revenues 9-14'!G144)</f>
        <v>0</v>
      </c>
      <c r="G107" s="893"/>
    </row>
    <row r="108" spans="1:7" x14ac:dyDescent="0.2">
      <c r="A108" s="889" t="s">
        <v>479</v>
      </c>
      <c r="B108" s="889" t="s">
        <v>844</v>
      </c>
      <c r="C108" s="901">
        <f>'Revenues 9-14'!B145</f>
        <v>3360</v>
      </c>
      <c r="D108" s="892" t="str">
        <f>'Revenues 9-14'!A145</f>
        <v>State Free Lunch &amp; Breakfast</v>
      </c>
      <c r="E108" s="887"/>
      <c r="F108" s="1789">
        <f>'Revenues 9-14'!C145</f>
        <v>7143</v>
      </c>
      <c r="G108" s="893"/>
    </row>
    <row r="109" spans="1:7" x14ac:dyDescent="0.2">
      <c r="A109" s="889" t="s">
        <v>694</v>
      </c>
      <c r="B109" s="889" t="s">
        <v>845</v>
      </c>
      <c r="C109" s="901">
        <f>'Revenues 9-14'!B146</f>
        <v>3365</v>
      </c>
      <c r="D109" s="892" t="str">
        <f>'Revenues 9-14'!A146</f>
        <v>School Breakfast Initiative</v>
      </c>
      <c r="E109" s="887"/>
      <c r="F109" s="1789">
        <f>SUM('Revenues 9-14'!C146,'Revenues 9-14'!D146,'Revenues 9-14'!G146)</f>
        <v>0</v>
      </c>
      <c r="G109" s="893"/>
    </row>
    <row r="110" spans="1:7" x14ac:dyDescent="0.2">
      <c r="A110" s="889" t="s">
        <v>142</v>
      </c>
      <c r="B110" s="889" t="s">
        <v>846</v>
      </c>
      <c r="C110" s="901">
        <f>'Revenues 9-14'!B147</f>
        <v>3370</v>
      </c>
      <c r="D110" s="892" t="str">
        <f>'Revenues 9-14'!A147</f>
        <v>Driver Education</v>
      </c>
      <c r="E110" s="887"/>
      <c r="F110" s="1789">
        <f>SUM('Revenues 9-14'!C147,'Revenues 9-14'!D147)</f>
        <v>0</v>
      </c>
      <c r="G110" s="893"/>
    </row>
    <row r="111" spans="1:7" x14ac:dyDescent="0.2">
      <c r="A111" s="889" t="s">
        <v>689</v>
      </c>
      <c r="B111" s="889" t="s">
        <v>802</v>
      </c>
      <c r="C111" s="903">
        <v>3500</v>
      </c>
      <c r="D111" s="892" t="str">
        <f>'Revenues 9-14'!A154</f>
        <v>Total Transportation</v>
      </c>
      <c r="E111" s="887"/>
      <c r="F111" s="1789">
        <f>SUM('Revenues 9-14'!C154,'Revenues 9-14'!D154,'Revenues 9-14'!F154,'Revenues 9-14'!G154)</f>
        <v>258342</v>
      </c>
      <c r="G111" s="893"/>
    </row>
    <row r="112" spans="1:7" x14ac:dyDescent="0.2">
      <c r="A112" s="889" t="s">
        <v>479</v>
      </c>
      <c r="B112" s="889" t="s">
        <v>847</v>
      </c>
      <c r="C112" s="901">
        <f>'Revenues 9-14'!B155</f>
        <v>3610</v>
      </c>
      <c r="D112" s="892" t="str">
        <f>'Revenues 9-14'!A155</f>
        <v>Learning Improvement - Change Grants</v>
      </c>
      <c r="E112" s="887"/>
      <c r="F112" s="1789">
        <f>'Revenues 9-14'!C155</f>
        <v>0</v>
      </c>
      <c r="G112" s="893"/>
    </row>
    <row r="113" spans="1:7" x14ac:dyDescent="0.2">
      <c r="A113" s="889" t="s">
        <v>689</v>
      </c>
      <c r="B113" s="889" t="s">
        <v>848</v>
      </c>
      <c r="C113" s="901">
        <f>'Revenues 9-14'!B156</f>
        <v>3660</v>
      </c>
      <c r="D113" s="892" t="str">
        <f>'Revenues 9-14'!A156</f>
        <v>Scientific Literacy</v>
      </c>
      <c r="E113" s="887"/>
      <c r="F113" s="1789">
        <f>SUM('Revenues 9-14'!C156,'Revenues 9-14'!D156,'Revenues 9-14'!F156,'Revenues 9-14'!G156)</f>
        <v>0</v>
      </c>
      <c r="G113" s="893"/>
    </row>
    <row r="114" spans="1:7" x14ac:dyDescent="0.2">
      <c r="A114" s="889" t="s">
        <v>5</v>
      </c>
      <c r="B114" s="889" t="s">
        <v>849</v>
      </c>
      <c r="C114" s="901">
        <f>'Revenues 9-14'!B157</f>
        <v>3695</v>
      </c>
      <c r="D114" s="892" t="str">
        <f>'Revenues 9-14'!A157</f>
        <v>Truant Alternative/Optional Education</v>
      </c>
      <c r="E114" s="887"/>
      <c r="F114" s="1789">
        <f>SUM('Revenues 9-14'!C157,'Revenues 9-14'!F157,'Revenues 9-14'!G157)</f>
        <v>0</v>
      </c>
      <c r="G114" s="893"/>
    </row>
    <row r="115" spans="1:7" x14ac:dyDescent="0.2">
      <c r="A115" s="889" t="s">
        <v>5</v>
      </c>
      <c r="B115" s="889" t="s">
        <v>185</v>
      </c>
      <c r="C115" s="901">
        <f>'Revenues 9-14'!B159</f>
        <v>3715</v>
      </c>
      <c r="D115" s="892" t="str">
        <f>'Revenues 9-14'!A159</f>
        <v>Reading Improvement Block Grant</v>
      </c>
      <c r="E115" s="887"/>
      <c r="F115" s="1789">
        <f>SUM('Revenues 9-14'!C159,'Revenues 9-14'!F159,'Revenues 9-14'!G159)</f>
        <v>0</v>
      </c>
      <c r="G115" s="893"/>
    </row>
    <row r="116" spans="1:7" x14ac:dyDescent="0.2">
      <c r="A116" s="904" t="s">
        <v>5</v>
      </c>
      <c r="B116" s="904" t="s">
        <v>186</v>
      </c>
      <c r="C116" s="905">
        <f>'Revenues 9-14'!B160</f>
        <v>3720</v>
      </c>
      <c r="D116" s="906" t="str">
        <f>'Revenues 9-14'!A160</f>
        <v>Reading Improvement Block Grant - Reading Recovery</v>
      </c>
      <c r="E116" s="907"/>
      <c r="F116" s="1789">
        <f>SUM('Revenues 9-14'!C160,'Revenues 9-14'!F160,'Revenues 9-14'!G160)</f>
        <v>0</v>
      </c>
      <c r="G116" s="893"/>
    </row>
    <row r="117" spans="1:7" x14ac:dyDescent="0.2">
      <c r="A117" s="904" t="s">
        <v>5</v>
      </c>
      <c r="B117" s="904" t="s">
        <v>187</v>
      </c>
      <c r="C117" s="905">
        <f>'Revenues 9-14'!B161</f>
        <v>3725</v>
      </c>
      <c r="D117" s="906" t="str">
        <f>'Revenues 9-14'!A161</f>
        <v>Continued Reading Improvement Block Grant</v>
      </c>
      <c r="E117" s="907"/>
      <c r="F117" s="1789">
        <f>SUM('Revenues 9-14'!C161,'Revenues 9-14'!F161,'Revenues 9-14'!G161)</f>
        <v>0</v>
      </c>
      <c r="G117" s="893"/>
    </row>
    <row r="118" spans="1:7" x14ac:dyDescent="0.2">
      <c r="A118" s="904" t="s">
        <v>5</v>
      </c>
      <c r="B118" s="904" t="s">
        <v>850</v>
      </c>
      <c r="C118" s="905">
        <f>'Revenues 9-14'!B162</f>
        <v>3726</v>
      </c>
      <c r="D118" s="906" t="str">
        <f>'Revenues 9-14'!A162</f>
        <v>Continued Reading Improvement Block Grant (2% Set Aside)</v>
      </c>
      <c r="E118" s="907"/>
      <c r="F118" s="1908">
        <f>SUM('Revenues 9-14'!C162,'Revenues 9-14'!F162,'Revenues 9-14'!G162)</f>
        <v>0</v>
      </c>
      <c r="G118" s="893"/>
    </row>
    <row r="119" spans="1:7" x14ac:dyDescent="0.2">
      <c r="A119" s="889" t="s">
        <v>689</v>
      </c>
      <c r="B119" s="889" t="s">
        <v>188</v>
      </c>
      <c r="C119" s="901">
        <f>'Revenues 9-14'!B163</f>
        <v>3766</v>
      </c>
      <c r="D119" s="892" t="str">
        <f>'Revenues 9-14'!A163</f>
        <v>Chicago General Education Block Grant</v>
      </c>
      <c r="E119" s="887"/>
      <c r="F119" s="1789">
        <f>SUM('Revenues 9-14'!C163,'Revenues 9-14'!D163,'Revenues 9-14'!F163,'Revenues 9-14'!G163)</f>
        <v>0</v>
      </c>
      <c r="G119" s="893"/>
    </row>
    <row r="120" spans="1:7" x14ac:dyDescent="0.2">
      <c r="A120" s="889" t="s">
        <v>689</v>
      </c>
      <c r="B120" s="889" t="s">
        <v>851</v>
      </c>
      <c r="C120" s="901">
        <f>'Revenues 9-14'!B164</f>
        <v>3767</v>
      </c>
      <c r="D120" s="892" t="str">
        <f>'Revenues 9-14'!A164</f>
        <v>Chicago Educational Services Block Grant</v>
      </c>
      <c r="E120" s="887"/>
      <c r="F120" s="1789">
        <f>SUM('Revenues 9-14'!C164,'Revenues 9-14'!D164,'Revenues 9-14'!F164,'Revenues 9-14'!G164)</f>
        <v>0</v>
      </c>
      <c r="G120" s="893"/>
    </row>
    <row r="121" spans="1:7" x14ac:dyDescent="0.2">
      <c r="A121" s="904" t="s">
        <v>1066</v>
      </c>
      <c r="B121" s="904" t="s">
        <v>189</v>
      </c>
      <c r="C121" s="905">
        <f>'Revenues 9-14'!B165</f>
        <v>3775</v>
      </c>
      <c r="D121" s="906" t="str">
        <f>'Revenues 9-14'!A165</f>
        <v>School Safety &amp; Educational Improvement Block Grant</v>
      </c>
      <c r="E121" s="887"/>
      <c r="F121" s="1909">
        <f>SUM('Revenues 9-14'!C165,'Revenues 9-14'!D165,'Revenues 9-14'!E165,'Revenues 9-14'!F165,'Revenues 9-14'!G165)</f>
        <v>0</v>
      </c>
      <c r="G121" s="893"/>
    </row>
    <row r="122" spans="1:7" x14ac:dyDescent="0.2">
      <c r="A122" s="904" t="s">
        <v>1066</v>
      </c>
      <c r="B122" s="904" t="s">
        <v>852</v>
      </c>
      <c r="C122" s="905">
        <f>'Revenues 9-14'!B166</f>
        <v>3780</v>
      </c>
      <c r="D122" s="906" t="str">
        <f>'Revenues 9-14'!A166</f>
        <v>Technology - Technology for Success</v>
      </c>
      <c r="E122" s="887"/>
      <c r="F122" s="1909">
        <f>SUM('Revenues 9-14'!C166:G166)</f>
        <v>0</v>
      </c>
      <c r="G122" s="893"/>
    </row>
    <row r="123" spans="1:7" x14ac:dyDescent="0.2">
      <c r="A123" s="904" t="s">
        <v>525</v>
      </c>
      <c r="B123" s="904" t="s">
        <v>853</v>
      </c>
      <c r="C123" s="905">
        <f>'Revenues 9-14'!B167</f>
        <v>3815</v>
      </c>
      <c r="D123" s="906" t="str">
        <f>'Revenues 9-14'!A167</f>
        <v>State Charter Schools</v>
      </c>
      <c r="E123" s="887"/>
      <c r="F123" s="1909">
        <f>SUM('Revenues 9-14'!C167,'Revenues 9-14'!F167)</f>
        <v>0</v>
      </c>
      <c r="G123" s="893"/>
    </row>
    <row r="124" spans="1:7" x14ac:dyDescent="0.2">
      <c r="A124" s="908" t="s">
        <v>480</v>
      </c>
      <c r="B124" s="908" t="s">
        <v>854</v>
      </c>
      <c r="C124" s="909">
        <f>'Revenues 9-14'!B170</f>
        <v>3925</v>
      </c>
      <c r="D124" s="910" t="str">
        <f>'Revenues 9-14'!A170</f>
        <v>School Infrastructure - Maintenance Projects</v>
      </c>
      <c r="E124" s="887"/>
      <c r="F124" s="1789">
        <f>'Revenues 9-14'!D170</f>
        <v>0</v>
      </c>
      <c r="G124" s="911"/>
    </row>
    <row r="125" spans="1:7" x14ac:dyDescent="0.2">
      <c r="A125" s="908" t="s">
        <v>521</v>
      </c>
      <c r="B125" s="908" t="s">
        <v>855</v>
      </c>
      <c r="C125" s="909">
        <f>'Revenues 9-14'!B171</f>
        <v>3999</v>
      </c>
      <c r="D125" s="910" t="s">
        <v>564</v>
      </c>
      <c r="E125" s="912"/>
      <c r="F125" s="1789">
        <f>SUM('Revenues 9-14'!C171:G171,'Revenues 9-14'!J171)</f>
        <v>2642</v>
      </c>
      <c r="G125" s="911"/>
    </row>
    <row r="126" spans="1:7" x14ac:dyDescent="0.2">
      <c r="A126" s="908" t="s">
        <v>479</v>
      </c>
      <c r="B126" s="908" t="s">
        <v>856</v>
      </c>
      <c r="C126" s="913">
        <f>'Revenues 9-14'!B180</f>
        <v>4045</v>
      </c>
      <c r="D126" s="910" t="str">
        <f>'Revenues 9-14'!A180 &amp; " (Subtract)"</f>
        <v>Head Start (Subtract)</v>
      </c>
      <c r="E126" s="887"/>
      <c r="F126" s="1789">
        <f>SUM(-'Revenues 9-14'!C180)</f>
        <v>0</v>
      </c>
      <c r="G126" s="911"/>
    </row>
    <row r="127" spans="1:7" x14ac:dyDescent="0.2">
      <c r="A127" s="908" t="s">
        <v>689</v>
      </c>
      <c r="B127" s="908" t="s">
        <v>857</v>
      </c>
      <c r="C127" s="913" t="s">
        <v>1039</v>
      </c>
      <c r="D127" s="910" t="str">
        <f>('Revenues 9-14'!A184)</f>
        <v>Total Restricted Grants-In-Aid Received Directly from Federal Govt</v>
      </c>
      <c r="E127" s="887"/>
      <c r="F127" s="1789">
        <f>SUM('Revenues 9-14'!C184,'Revenues 9-14'!D184,'Revenues 9-14'!F184,'Revenues 9-14'!G184)</f>
        <v>0</v>
      </c>
      <c r="G127" s="911"/>
    </row>
    <row r="128" spans="1:7" x14ac:dyDescent="0.2">
      <c r="A128" s="908" t="s">
        <v>689</v>
      </c>
      <c r="B128" s="908" t="s">
        <v>858</v>
      </c>
      <c r="C128" s="913">
        <v>4100</v>
      </c>
      <c r="D128" s="914" t="str">
        <f>'Revenues 9-14'!A191</f>
        <v>Total Title V</v>
      </c>
      <c r="E128" s="887"/>
      <c r="F128" s="1789">
        <f>SUM('Revenues 9-14'!C191,'Revenues 9-14'!D191,'Revenues 9-14'!F191,'Revenues 9-14'!G191)</f>
        <v>0</v>
      </c>
      <c r="G128" s="911"/>
    </row>
    <row r="129" spans="1:7" x14ac:dyDescent="0.2">
      <c r="A129" s="908" t="s">
        <v>685</v>
      </c>
      <c r="B129" s="908" t="s">
        <v>803</v>
      </c>
      <c r="C129" s="913">
        <v>4200</v>
      </c>
      <c r="D129" s="910" t="str">
        <f>'Revenues 9-14'!A201</f>
        <v>Total Food Service</v>
      </c>
      <c r="E129" s="887"/>
      <c r="F129" s="1789">
        <f>SUM('Revenues 9-14'!C201,'Revenues 9-14'!G201)</f>
        <v>496668</v>
      </c>
      <c r="G129" s="911"/>
    </row>
    <row r="130" spans="1:7" x14ac:dyDescent="0.2">
      <c r="A130" s="908" t="s">
        <v>689</v>
      </c>
      <c r="B130" s="908" t="s">
        <v>804</v>
      </c>
      <c r="C130" s="913">
        <v>4300</v>
      </c>
      <c r="D130" s="914" t="str">
        <f>'Revenues 9-14'!A211</f>
        <v>Total Title I</v>
      </c>
      <c r="E130" s="887"/>
      <c r="F130" s="1789">
        <f>SUM('Revenues 9-14'!C211,'Revenues 9-14'!D211,'Revenues 9-14'!F211,'Revenues 9-14'!G211)</f>
        <v>565026</v>
      </c>
      <c r="G130" s="911"/>
    </row>
    <row r="131" spans="1:7" x14ac:dyDescent="0.2">
      <c r="A131" s="908" t="s">
        <v>689</v>
      </c>
      <c r="B131" s="908" t="s">
        <v>805</v>
      </c>
      <c r="C131" s="913">
        <v>4400</v>
      </c>
      <c r="D131" s="914" t="str">
        <f>'Revenues 9-14'!A216</f>
        <v>Total Title IV</v>
      </c>
      <c r="E131" s="887"/>
      <c r="F131" s="1789">
        <f>SUM('Revenues 9-14'!C216,'Revenues 9-14'!D216,'Revenues 9-14'!F216,'Revenues 9-14'!G216)</f>
        <v>18603</v>
      </c>
      <c r="G131" s="911"/>
    </row>
    <row r="132" spans="1:7" x14ac:dyDescent="0.2">
      <c r="A132" s="908" t="s">
        <v>689</v>
      </c>
      <c r="B132" s="908" t="s">
        <v>190</v>
      </c>
      <c r="C132" s="913">
        <f>'Revenues 9-14'!B220</f>
        <v>4620</v>
      </c>
      <c r="D132" s="914" t="str">
        <f>'Revenues 9-14'!A220</f>
        <v>Fed - Spec Education - IDEA - Flow Through</v>
      </c>
      <c r="E132" s="887"/>
      <c r="F132" s="1789">
        <f>SUM('Revenues 9-14'!C220:D220,'Revenues 9-14'!F220:G220)</f>
        <v>414716</v>
      </c>
      <c r="G132" s="911"/>
    </row>
    <row r="133" spans="1:7" x14ac:dyDescent="0.2">
      <c r="A133" s="908" t="s">
        <v>689</v>
      </c>
      <c r="B133" s="908" t="s">
        <v>191</v>
      </c>
      <c r="C133" s="913">
        <f>'Revenues 9-14'!B221</f>
        <v>4625</v>
      </c>
      <c r="D133" s="914" t="str">
        <f>'Revenues 9-14'!A221</f>
        <v>Fed - Spec Education - IDEA - Room &amp; Board</v>
      </c>
      <c r="E133" s="887"/>
      <c r="F133" s="1789">
        <f>SUM('Revenues 9-14'!C221,'Revenues 9-14'!D221,'Revenues 9-14'!F221,'Revenues 9-14'!G221)</f>
        <v>5117</v>
      </c>
      <c r="G133" s="911"/>
    </row>
    <row r="134" spans="1:7" x14ac:dyDescent="0.2">
      <c r="A134" s="908" t="s">
        <v>689</v>
      </c>
      <c r="B134" s="908" t="s">
        <v>859</v>
      </c>
      <c r="C134" s="913">
        <f>'Revenues 9-14'!B222</f>
        <v>4630</v>
      </c>
      <c r="D134" s="914" t="str">
        <f>'Revenues 9-14'!A222</f>
        <v>Fed - Spec Education - IDEA - Discretionary</v>
      </c>
      <c r="E134" s="887"/>
      <c r="F134" s="1789">
        <f>SUM('Revenues 9-14'!C222:D222,'Revenues 9-14'!F222:G222)</f>
        <v>0</v>
      </c>
      <c r="G134" s="911">
        <v>6297</v>
      </c>
    </row>
    <row r="135" spans="1:7" x14ac:dyDescent="0.2">
      <c r="A135" s="908" t="s">
        <v>689</v>
      </c>
      <c r="B135" s="908" t="s">
        <v>806</v>
      </c>
      <c r="C135" s="913">
        <f>'Revenues 9-14'!B223</f>
        <v>4699</v>
      </c>
      <c r="D135" s="914" t="str">
        <f>'Revenues 9-14'!A223</f>
        <v>Fed - Spec Education - IDEA - Other (Describe &amp; Itemize)</v>
      </c>
      <c r="E135" s="887"/>
      <c r="F135" s="1789">
        <f>SUM('Revenues 9-14'!C223:D223,'Revenues 9-14'!F223:G223)</f>
        <v>0</v>
      </c>
      <c r="G135" s="911"/>
    </row>
    <row r="136" spans="1:7" x14ac:dyDescent="0.2">
      <c r="A136" s="908" t="s">
        <v>694</v>
      </c>
      <c r="B136" s="908" t="s">
        <v>807</v>
      </c>
      <c r="C136" s="913">
        <v>4700</v>
      </c>
      <c r="D136" s="910" t="str">
        <f>'Revenues 9-14'!A228</f>
        <v>Total CTE - Perkins</v>
      </c>
      <c r="E136" s="887"/>
      <c r="F136" s="1789">
        <f>SUM('Revenues 9-14'!C228,'Revenues 9-14'!D228,'Revenues 9-14'!G228)</f>
        <v>0</v>
      </c>
      <c r="G136" s="911">
        <v>6303</v>
      </c>
    </row>
    <row r="137" spans="1:7" s="848" customFormat="1" hidden="1" x14ac:dyDescent="0.2">
      <c r="A137" s="915" t="s">
        <v>215</v>
      </c>
      <c r="B137" s="915" t="s">
        <v>1484</v>
      </c>
      <c r="C137" s="916" t="s">
        <v>216</v>
      </c>
      <c r="D137" s="917" t="str">
        <f>'Revenues 9-14'!A231</f>
        <v>ARRA - Title I - Low Income</v>
      </c>
      <c r="E137" s="918"/>
      <c r="F137" s="1909">
        <f>SUM('Revenues 9-14'!$C$231:$D$231,'Revenues 9-14'!$F$231:$G$231)</f>
        <v>0</v>
      </c>
      <c r="G137" s="886"/>
    </row>
    <row r="138" spans="1:7" s="848" customFormat="1" hidden="1" x14ac:dyDescent="0.2">
      <c r="A138" s="915" t="s">
        <v>215</v>
      </c>
      <c r="B138" s="915" t="s">
        <v>1485</v>
      </c>
      <c r="C138" s="916" t="s">
        <v>217</v>
      </c>
      <c r="D138" s="917" t="str">
        <f>'Revenues 9-14'!A232</f>
        <v>ARRA - Title I - Neglected, Private</v>
      </c>
      <c r="E138" s="918"/>
      <c r="F138" s="1789">
        <f>SUM('Revenues 9-14'!C232:G232,'Revenues 9-14'!J232)</f>
        <v>0</v>
      </c>
      <c r="G138" s="886"/>
    </row>
    <row r="139" spans="1:7" s="848" customFormat="1" hidden="1" x14ac:dyDescent="0.2">
      <c r="A139" s="915" t="s">
        <v>215</v>
      </c>
      <c r="B139" s="915" t="s">
        <v>220</v>
      </c>
      <c r="C139" s="916" t="s">
        <v>218</v>
      </c>
      <c r="D139" s="917" t="str">
        <f>'Revenues 9-14'!A233</f>
        <v>ARRA - Title I - Delinquent, Private</v>
      </c>
      <c r="E139" s="918"/>
      <c r="F139" s="1789">
        <f>SUM('Revenues 9-14'!C233:G233,'Revenues 9-14'!J233)</f>
        <v>0</v>
      </c>
      <c r="G139" s="886"/>
    </row>
    <row r="140" spans="1:7" s="848" customFormat="1" hidden="1" x14ac:dyDescent="0.2">
      <c r="A140" s="915" t="s">
        <v>215</v>
      </c>
      <c r="B140" s="915" t="s">
        <v>222</v>
      </c>
      <c r="C140" s="916" t="s">
        <v>219</v>
      </c>
      <c r="D140" s="917" t="str">
        <f>'Revenues 9-14'!A234</f>
        <v>ARRA - Title I - School Improvement (Part A)</v>
      </c>
      <c r="E140" s="918"/>
      <c r="F140" s="1789">
        <f>SUM('Revenues 9-14'!C234:G234,'Revenues 9-14'!J234)</f>
        <v>0</v>
      </c>
      <c r="G140" s="886"/>
    </row>
    <row r="141" spans="1:7" s="848" customFormat="1" hidden="1" x14ac:dyDescent="0.2">
      <c r="A141" s="915" t="s">
        <v>215</v>
      </c>
      <c r="B141" s="915" t="s">
        <v>224</v>
      </c>
      <c r="C141" s="916" t="s">
        <v>221</v>
      </c>
      <c r="D141" s="917" t="str">
        <f>'Revenues 9-14'!A235</f>
        <v>ARRA - Title I - School Improvement (Section 1003g)</v>
      </c>
      <c r="E141" s="918"/>
      <c r="F141" s="1789">
        <f>SUM('Revenues 9-14'!C235:G235,'Revenues 9-14'!J235)</f>
        <v>0</v>
      </c>
      <c r="G141" s="886"/>
    </row>
    <row r="142" spans="1:7" s="848" customFormat="1" hidden="1" x14ac:dyDescent="0.2">
      <c r="A142" s="915" t="s">
        <v>215</v>
      </c>
      <c r="B142" s="915" t="s">
        <v>226</v>
      </c>
      <c r="C142" s="916" t="s">
        <v>223</v>
      </c>
      <c r="D142" s="917" t="str">
        <f>'Revenues 9-14'!A236</f>
        <v>ARRA - IDEA - Part B - Preschool</v>
      </c>
      <c r="E142" s="918"/>
      <c r="F142" s="1789">
        <v>0</v>
      </c>
      <c r="G142" s="886"/>
    </row>
    <row r="143" spans="1:7" s="848" customFormat="1" hidden="1" x14ac:dyDescent="0.2">
      <c r="A143" s="915" t="s">
        <v>215</v>
      </c>
      <c r="B143" s="915" t="s">
        <v>228</v>
      </c>
      <c r="C143" s="916" t="s">
        <v>225</v>
      </c>
      <c r="D143" s="917" t="str">
        <f>'Revenues 9-14'!A237</f>
        <v>ARRA - IDEA - Part B - Flow-Through</v>
      </c>
      <c r="E143" s="918"/>
      <c r="F143" s="1789">
        <f>SUM('Revenues 9-14'!C237:G237,'Revenues 9-14'!J237)</f>
        <v>0</v>
      </c>
      <c r="G143" s="886"/>
    </row>
    <row r="144" spans="1:7" s="848" customFormat="1" hidden="1" x14ac:dyDescent="0.2">
      <c r="A144" s="915" t="s">
        <v>215</v>
      </c>
      <c r="B144" s="915" t="s">
        <v>860</v>
      </c>
      <c r="C144" s="916" t="s">
        <v>227</v>
      </c>
      <c r="D144" s="917" t="str">
        <f>'Revenues 9-14'!A238</f>
        <v>ARRA - Title IID - Technology-Formula</v>
      </c>
      <c r="E144" s="918"/>
      <c r="F144" s="1789">
        <f>SUM('Revenues 9-14'!C238:G238,'Revenues 9-14'!J238)</f>
        <v>0</v>
      </c>
      <c r="G144" s="886"/>
    </row>
    <row r="145" spans="1:7" s="848" customFormat="1" hidden="1" x14ac:dyDescent="0.2">
      <c r="A145" s="915" t="s">
        <v>215</v>
      </c>
      <c r="B145" s="915" t="s">
        <v>1486</v>
      </c>
      <c r="C145" s="916" t="s">
        <v>229</v>
      </c>
      <c r="D145" s="917" t="str">
        <f>'Revenues 9-14'!A239</f>
        <v>ARRA - Title IID - Technology-Competitive</v>
      </c>
      <c r="E145" s="918"/>
      <c r="F145" s="1789">
        <f>SUM('Revenues 9-14'!C239:G239,'Revenues 9-14'!J239)</f>
        <v>0</v>
      </c>
      <c r="G145" s="886"/>
    </row>
    <row r="146" spans="1:7" s="848" customFormat="1" hidden="1" x14ac:dyDescent="0.2">
      <c r="A146" s="915" t="s">
        <v>689</v>
      </c>
      <c r="B146" s="915" t="s">
        <v>1487</v>
      </c>
      <c r="C146" s="916" t="s">
        <v>230</v>
      </c>
      <c r="D146" s="917" t="str">
        <f>'Revenues 9-14'!A240</f>
        <v>ARRA - McKinney - Vento Homeless Education</v>
      </c>
      <c r="E146" s="918"/>
      <c r="F146" s="1789">
        <f>SUM('Revenues 9-14'!C240:G240,'Revenues 9-14'!J240)</f>
        <v>0</v>
      </c>
      <c r="G146" s="886"/>
    </row>
    <row r="147" spans="1:7" s="848" customFormat="1" hidden="1" x14ac:dyDescent="0.2">
      <c r="A147" s="915" t="s">
        <v>215</v>
      </c>
      <c r="B147" s="915" t="s">
        <v>233</v>
      </c>
      <c r="C147" s="916" t="s">
        <v>231</v>
      </c>
      <c r="D147" s="917" t="str">
        <f>'Revenues 9-14'!A244</f>
        <v>Qualified Zone Academy Bond Tax Credits</v>
      </c>
      <c r="E147" s="918"/>
      <c r="F147" s="1789">
        <f>SUM('Revenues 9-14'!C244:G244,'Revenues 9-14'!J244)</f>
        <v>0</v>
      </c>
      <c r="G147" s="886"/>
    </row>
    <row r="148" spans="1:7" s="848" customFormat="1" hidden="1" x14ac:dyDescent="0.2">
      <c r="A148" s="915" t="s">
        <v>215</v>
      </c>
      <c r="B148" s="915" t="s">
        <v>235</v>
      </c>
      <c r="C148" s="916" t="s">
        <v>232</v>
      </c>
      <c r="D148" s="917" t="str">
        <f>'Revenues 9-14'!A245</f>
        <v>Qualified School Construction Bond Credits</v>
      </c>
      <c r="E148" s="918"/>
      <c r="F148" s="1789">
        <f>SUM('Revenues 9-14'!C245:G245,'Revenues 9-14'!J245)</f>
        <v>0</v>
      </c>
      <c r="G148" s="886"/>
    </row>
    <row r="149" spans="1:7" s="848" customFormat="1" hidden="1" x14ac:dyDescent="0.2">
      <c r="A149" s="915" t="s">
        <v>215</v>
      </c>
      <c r="B149" s="915" t="s">
        <v>237</v>
      </c>
      <c r="C149" s="916" t="s">
        <v>234</v>
      </c>
      <c r="D149" s="917" t="str">
        <f>'Revenues 9-14'!A246</f>
        <v>Build America Bond Tax Credits</v>
      </c>
      <c r="E149" s="918"/>
      <c r="F149" s="1789">
        <f>SUM('Revenues 9-14'!C246:G246,'Revenues 9-14'!J246)</f>
        <v>0</v>
      </c>
      <c r="G149" s="886"/>
    </row>
    <row r="150" spans="1:7" s="848" customFormat="1" hidden="1" x14ac:dyDescent="0.2">
      <c r="A150" s="915" t="s">
        <v>215</v>
      </c>
      <c r="B150" s="915" t="s">
        <v>1488</v>
      </c>
      <c r="C150" s="916" t="s">
        <v>236</v>
      </c>
      <c r="D150" s="917" t="str">
        <f>'Revenues 9-14'!A247</f>
        <v>Build America Bond Interest Reimbursement</v>
      </c>
      <c r="E150" s="918"/>
      <c r="F150" s="1789">
        <f>SUM('Revenues 9-14'!C247:G247,'Revenues 9-14'!J247)</f>
        <v>0</v>
      </c>
      <c r="G150" s="886"/>
    </row>
    <row r="151" spans="1:7" s="848" customFormat="1" hidden="1" x14ac:dyDescent="0.2">
      <c r="A151" s="915" t="s">
        <v>215</v>
      </c>
      <c r="B151" s="915" t="s">
        <v>240</v>
      </c>
      <c r="C151" s="916" t="s">
        <v>238</v>
      </c>
      <c r="D151" s="917" t="str">
        <f>'Revenues 9-14'!A249</f>
        <v>Other ARRA Funds - II</v>
      </c>
      <c r="E151" s="918"/>
      <c r="F151" s="1789">
        <f>SUM('Revenues 9-14'!C249:G249,'Revenues 9-14'!J249)</f>
        <v>0</v>
      </c>
      <c r="G151" s="886"/>
    </row>
    <row r="152" spans="1:7" s="848" customFormat="1" hidden="1" x14ac:dyDescent="0.2">
      <c r="A152" s="915" t="s">
        <v>215</v>
      </c>
      <c r="B152" s="915" t="s">
        <v>242</v>
      </c>
      <c r="C152" s="916" t="s">
        <v>239</v>
      </c>
      <c r="D152" s="917" t="str">
        <f>'Revenues 9-14'!A250</f>
        <v>Other ARRA Funds - III</v>
      </c>
      <c r="E152" s="918"/>
      <c r="F152" s="1789">
        <f>SUM('Revenues 9-14'!C250:G250,'Revenues 9-14'!J250)</f>
        <v>0</v>
      </c>
      <c r="G152" s="886"/>
    </row>
    <row r="153" spans="1:7" s="848" customFormat="1" hidden="1" x14ac:dyDescent="0.2">
      <c r="A153" s="915" t="s">
        <v>215</v>
      </c>
      <c r="B153" s="915" t="s">
        <v>244</v>
      </c>
      <c r="C153" s="916" t="s">
        <v>241</v>
      </c>
      <c r="D153" s="917" t="str">
        <f>'Revenues 9-14'!A251</f>
        <v>Other ARRA Funds - IV</v>
      </c>
      <c r="E153" s="918"/>
      <c r="F153" s="1789">
        <f>SUM('Revenues 9-14'!C251:G251,'Revenues 9-14'!J251)</f>
        <v>0</v>
      </c>
      <c r="G153" s="886"/>
    </row>
    <row r="154" spans="1:7" s="848" customFormat="1" hidden="1" x14ac:dyDescent="0.2">
      <c r="A154" s="915" t="s">
        <v>215</v>
      </c>
      <c r="B154" s="915" t="s">
        <v>246</v>
      </c>
      <c r="C154" s="916" t="s">
        <v>243</v>
      </c>
      <c r="D154" s="917" t="str">
        <f>'Revenues 9-14'!A252</f>
        <v>Other ARRA Funds - V</v>
      </c>
      <c r="E154" s="918"/>
      <c r="F154" s="1789">
        <f>SUM('Revenues 9-14'!C252:G252,'Revenues 9-14'!J252)</f>
        <v>0</v>
      </c>
      <c r="G154" s="886"/>
    </row>
    <row r="155" spans="1:7" s="848" customFormat="1" hidden="1" x14ac:dyDescent="0.2">
      <c r="A155" s="915" t="s">
        <v>215</v>
      </c>
      <c r="B155" s="915" t="s">
        <v>248</v>
      </c>
      <c r="C155" s="916" t="s">
        <v>245</v>
      </c>
      <c r="D155" s="917" t="str">
        <f>'Revenues 9-14'!A253</f>
        <v>ARRA - Early Childhood</v>
      </c>
      <c r="E155" s="918"/>
      <c r="F155" s="1789">
        <v>0</v>
      </c>
      <c r="G155" s="886"/>
    </row>
    <row r="156" spans="1:7" s="848" customFormat="1" hidden="1" x14ac:dyDescent="0.2">
      <c r="A156" s="915" t="s">
        <v>215</v>
      </c>
      <c r="B156" s="915" t="s">
        <v>250</v>
      </c>
      <c r="C156" s="916" t="s">
        <v>247</v>
      </c>
      <c r="D156" s="917" t="str">
        <f>'Revenues 9-14'!A254</f>
        <v>Other ARRA Funds VII</v>
      </c>
      <c r="E156" s="918"/>
      <c r="F156" s="1789">
        <f>SUM('Revenues 9-14'!C254:G254,'Revenues 9-14'!J254)</f>
        <v>0</v>
      </c>
      <c r="G156" s="886"/>
    </row>
    <row r="157" spans="1:7" s="848" customFormat="1" hidden="1" x14ac:dyDescent="0.2">
      <c r="A157" s="915" t="s">
        <v>215</v>
      </c>
      <c r="B157" s="915" t="s">
        <v>252</v>
      </c>
      <c r="C157" s="916" t="s">
        <v>249</v>
      </c>
      <c r="D157" s="917" t="str">
        <f>'Revenues 9-14'!A255</f>
        <v>Other ARRA Funds VIII</v>
      </c>
      <c r="E157" s="918"/>
      <c r="F157" s="1789">
        <f>SUM('Revenues 9-14'!C255:G255,'Revenues 9-14'!J255)</f>
        <v>0</v>
      </c>
      <c r="G157" s="886"/>
    </row>
    <row r="158" spans="1:7" s="848" customFormat="1" hidden="1" x14ac:dyDescent="0.2">
      <c r="A158" s="915" t="s">
        <v>215</v>
      </c>
      <c r="B158" s="915" t="s">
        <v>254</v>
      </c>
      <c r="C158" s="916" t="s">
        <v>251</v>
      </c>
      <c r="D158" s="917" t="str">
        <f>'Revenues 9-14'!A256</f>
        <v>Other ARRA Funds IX</v>
      </c>
      <c r="E158" s="918"/>
      <c r="F158" s="1789">
        <f>SUM('Revenues 9-14'!C256:G256,'Revenues 9-14'!J256)</f>
        <v>0</v>
      </c>
      <c r="G158" s="886"/>
    </row>
    <row r="159" spans="1:7" s="848" customFormat="1" hidden="1" x14ac:dyDescent="0.2">
      <c r="A159" s="915" t="s">
        <v>215</v>
      </c>
      <c r="B159" s="915" t="s">
        <v>863</v>
      </c>
      <c r="C159" s="916" t="s">
        <v>253</v>
      </c>
      <c r="D159" s="917" t="str">
        <f>'Revenues 9-14'!A257</f>
        <v>Other ARRA Funds X</v>
      </c>
      <c r="E159" s="918"/>
      <c r="F159" s="1789">
        <f>SUM('Revenues 9-14'!C257:G257,'Revenues 9-14'!J257)</f>
        <v>0</v>
      </c>
      <c r="G159" s="886"/>
    </row>
    <row r="160" spans="1:7" s="848" customFormat="1" hidden="1" x14ac:dyDescent="0.2">
      <c r="A160" s="915" t="s">
        <v>215</v>
      </c>
      <c r="B160" s="915" t="s">
        <v>1489</v>
      </c>
      <c r="C160" s="916" t="s">
        <v>255</v>
      </c>
      <c r="D160" s="917" t="str">
        <f>'Revenues 9-14'!A258</f>
        <v>Other ARRA Funds Ed Job Fund Program</v>
      </c>
      <c r="E160" s="918"/>
      <c r="F160" s="1789">
        <f>SUM('Revenues 9-14'!C258:G258,'Revenues 9-14'!J258)</f>
        <v>0</v>
      </c>
      <c r="G160" s="886"/>
    </row>
    <row r="161" spans="1:7" s="848" customFormat="1" x14ac:dyDescent="0.2">
      <c r="A161" s="919" t="s">
        <v>521</v>
      </c>
      <c r="B161" s="920" t="s">
        <v>1564</v>
      </c>
      <c r="C161" s="921" t="s">
        <v>896</v>
      </c>
      <c r="D161" s="922" t="s">
        <v>808</v>
      </c>
      <c r="E161" s="923"/>
      <c r="F161" s="1789">
        <f>SUM(F137:F160)</f>
        <v>0</v>
      </c>
      <c r="G161" s="886"/>
    </row>
    <row r="162" spans="1:7" s="848" customFormat="1" x14ac:dyDescent="0.2">
      <c r="A162" s="919" t="s">
        <v>479</v>
      </c>
      <c r="B162" s="920" t="s">
        <v>1501</v>
      </c>
      <c r="C162" s="921" t="s">
        <v>1499</v>
      </c>
      <c r="D162" s="922" t="s">
        <v>1500</v>
      </c>
      <c r="E162" s="923"/>
      <c r="F162" s="1789">
        <f>SUM('Revenues 9-14'!C260)</f>
        <v>0</v>
      </c>
      <c r="G162" s="886"/>
    </row>
    <row r="163" spans="1:7" s="848" customFormat="1" x14ac:dyDescent="0.2">
      <c r="A163" s="919" t="s">
        <v>521</v>
      </c>
      <c r="B163" s="920" t="s">
        <v>1541</v>
      </c>
      <c r="C163" s="921" t="s">
        <v>1542</v>
      </c>
      <c r="D163" s="922" t="s">
        <v>1543</v>
      </c>
      <c r="E163" s="923"/>
      <c r="F163" s="1789">
        <f>SUM('Revenues 9-14'!C261:H261,'Revenues 9-14'!J261:K261)</f>
        <v>0</v>
      </c>
      <c r="G163" s="886"/>
    </row>
    <row r="164" spans="1:7" x14ac:dyDescent="0.2">
      <c r="A164" s="908" t="s">
        <v>1067</v>
      </c>
      <c r="B164" s="908" t="s">
        <v>1556</v>
      </c>
      <c r="C164" s="913">
        <f>'Revenues 9-14'!B262</f>
        <v>4904</v>
      </c>
      <c r="D164" s="910" t="str">
        <f>'Revenues 9-14'!A262</f>
        <v>Advanced Placement Fee/International Baccalaureate</v>
      </c>
      <c r="E164" s="887"/>
      <c r="F164" s="1789">
        <f>SUM('Revenues 9-14'!C262,'Revenues 9-14'!D262,'Revenues 9-14'!G262)</f>
        <v>0</v>
      </c>
      <c r="G164" s="911"/>
    </row>
    <row r="165" spans="1:7" x14ac:dyDescent="0.2">
      <c r="A165" s="908" t="s">
        <v>5</v>
      </c>
      <c r="B165" s="908" t="s">
        <v>809</v>
      </c>
      <c r="C165" s="913">
        <f>'Revenues 9-14'!B263</f>
        <v>4905</v>
      </c>
      <c r="D165" s="910" t="str">
        <f>'Revenues 9-14'!A263</f>
        <v>Title III - Immigrant Education Program (IEP)</v>
      </c>
      <c r="E165" s="887"/>
      <c r="F165" s="1789">
        <f>SUM('Revenues 9-14'!C263,'Revenues 9-14'!F263,'Revenues 9-14'!G263)</f>
        <v>0</v>
      </c>
      <c r="G165" s="924">
        <v>6306</v>
      </c>
    </row>
    <row r="166" spans="1:7" x14ac:dyDescent="0.2">
      <c r="A166" s="908" t="s">
        <v>5</v>
      </c>
      <c r="B166" s="908" t="s">
        <v>1502</v>
      </c>
      <c r="C166" s="913">
        <f>'Revenues 9-14'!B264</f>
        <v>4909</v>
      </c>
      <c r="D166" s="910" t="str">
        <f>'Revenues 9-14'!A264</f>
        <v>Title III - Language Inst Program - Limited Eng (LIPLEP)</v>
      </c>
      <c r="E166" s="887"/>
      <c r="F166" s="1789">
        <f>SUM('Revenues 9-14'!C264,'Revenues 9-14'!F264,'Revenues 9-14'!G264)</f>
        <v>0</v>
      </c>
      <c r="G166" s="924"/>
    </row>
    <row r="167" spans="1:7" x14ac:dyDescent="0.2">
      <c r="A167" s="908" t="s">
        <v>5</v>
      </c>
      <c r="B167" s="908" t="s">
        <v>1557</v>
      </c>
      <c r="C167" s="913">
        <f>'Revenues 9-14'!B265</f>
        <v>4910</v>
      </c>
      <c r="D167" s="910" t="str">
        <f>'Revenues 9-14'!A265</f>
        <v>Learn &amp; Serve America</v>
      </c>
      <c r="E167" s="887"/>
      <c r="F167" s="1789">
        <f>SUM('Revenues 9-14'!C265,'Revenues 9-14'!F265,'Revenues 9-14'!G265)</f>
        <v>0</v>
      </c>
      <c r="G167" s="911"/>
    </row>
    <row r="168" spans="1:7" x14ac:dyDescent="0.2">
      <c r="A168" s="908" t="s">
        <v>689</v>
      </c>
      <c r="B168" s="908" t="s">
        <v>707</v>
      </c>
      <c r="C168" s="913">
        <f>'Revenues 9-14'!B266</f>
        <v>4920</v>
      </c>
      <c r="D168" s="910" t="str">
        <f>'Revenues 9-14'!A266</f>
        <v>McKinney Education for Homeless Children</v>
      </c>
      <c r="E168" s="887"/>
      <c r="F168" s="1789">
        <f>SUM('Revenues 9-14'!C266,'Revenues 9-14'!D266,'Revenues 9-14'!F266,'Revenues 9-14'!G266)</f>
        <v>0</v>
      </c>
      <c r="G168" s="911"/>
    </row>
    <row r="169" spans="1:7" x14ac:dyDescent="0.2">
      <c r="A169" s="925" t="s">
        <v>689</v>
      </c>
      <c r="B169" s="925" t="s">
        <v>708</v>
      </c>
      <c r="C169" s="926">
        <f>'Revenues 9-14'!B267</f>
        <v>4930</v>
      </c>
      <c r="D169" s="927" t="str">
        <f>'Revenues 9-14'!A267</f>
        <v>Title II - Eisenhower Professional Development Formula</v>
      </c>
      <c r="E169" s="907"/>
      <c r="F169" s="1909">
        <f>SUM('Revenues 9-14'!C267:D267,'Revenues 9-14'!F267,'Revenues 9-14'!G267)</f>
        <v>45917</v>
      </c>
      <c r="G169" s="911"/>
    </row>
    <row r="170" spans="1:7" x14ac:dyDescent="0.2">
      <c r="A170" s="908" t="s">
        <v>689</v>
      </c>
      <c r="B170" s="908" t="s">
        <v>709</v>
      </c>
      <c r="C170" s="913">
        <f>'Revenues 9-14'!B268</f>
        <v>4932</v>
      </c>
      <c r="D170" s="914" t="str">
        <f>'Revenues 9-14'!A268</f>
        <v>Title II - Teacher Quality</v>
      </c>
      <c r="E170" s="887"/>
      <c r="F170" s="1909">
        <f>SUM('Revenues 9-14'!C268,'Revenues 9-14'!D268,'Revenues 9-14'!F268,'Revenues 9-14'!G268)</f>
        <v>0</v>
      </c>
      <c r="G170" s="911"/>
    </row>
    <row r="171" spans="1:7" x14ac:dyDescent="0.2">
      <c r="A171" s="908" t="s">
        <v>689</v>
      </c>
      <c r="B171" s="908" t="s">
        <v>864</v>
      </c>
      <c r="C171" s="913">
        <f>'Revenues 9-14'!B269</f>
        <v>4960</v>
      </c>
      <c r="D171" s="910" t="str">
        <f>'Revenues 9-14'!A269</f>
        <v>Federal Charter Schools</v>
      </c>
      <c r="E171" s="887"/>
      <c r="F171" s="1789">
        <f>SUM('Revenues 9-14'!C269:D269,'Revenues 9-14'!F269:G269)</f>
        <v>0</v>
      </c>
      <c r="G171" s="911"/>
    </row>
    <row r="172" spans="1:7" x14ac:dyDescent="0.2">
      <c r="A172" s="908" t="s">
        <v>689</v>
      </c>
      <c r="B172" s="908" t="s">
        <v>810</v>
      </c>
      <c r="C172" s="913">
        <f>'Revenues 9-14'!B270</f>
        <v>4991</v>
      </c>
      <c r="D172" s="914" t="str">
        <f>'Revenues 9-14'!A270</f>
        <v>Medicaid Matching Funds - Administrative Outreach</v>
      </c>
      <c r="E172" s="887"/>
      <c r="F172" s="1789">
        <f>SUM('Revenues 9-14'!C270:D270,'Revenues 9-14'!F270:G270)</f>
        <v>76112</v>
      </c>
      <c r="G172" s="928">
        <v>6320</v>
      </c>
    </row>
    <row r="173" spans="1:7" x14ac:dyDescent="0.2">
      <c r="A173" s="908" t="s">
        <v>689</v>
      </c>
      <c r="B173" s="908" t="s">
        <v>1503</v>
      </c>
      <c r="C173" s="913">
        <f>'Revenues 9-14'!B271</f>
        <v>4992</v>
      </c>
      <c r="D173" s="914" t="str">
        <f>'Revenues 9-14'!A271</f>
        <v>Medicaid Matching Funds - Fee-for-Service Program</v>
      </c>
      <c r="E173" s="887"/>
      <c r="F173" s="1789">
        <f>SUM('Revenues 9-14'!C271:D271,'Revenues 9-14'!F271:G271)</f>
        <v>210880</v>
      </c>
      <c r="G173" s="928"/>
    </row>
    <row r="174" spans="1:7" x14ac:dyDescent="0.2">
      <c r="A174" s="929" t="s">
        <v>689</v>
      </c>
      <c r="B174" s="925" t="s">
        <v>1558</v>
      </c>
      <c r="C174" s="926">
        <f>'Revenues 9-14'!B272</f>
        <v>4999</v>
      </c>
      <c r="D174" s="927" t="str">
        <f>'Revenues 9-14'!A272</f>
        <v>Other Restricted Revenue from Federal Sources (Describe &amp; Itemize)</v>
      </c>
      <c r="E174" s="887"/>
      <c r="F174" s="1789">
        <f>SUM('Revenues 9-14'!C272:D272,'Revenues 9-14'!F272:G272)</f>
        <v>0</v>
      </c>
      <c r="G174" s="908"/>
    </row>
    <row r="175" spans="1:7" x14ac:dyDescent="0.2">
      <c r="A175" s="1920" t="s">
        <v>5</v>
      </c>
      <c r="B175" s="1921" t="s">
        <v>2054</v>
      </c>
      <c r="C175" s="1922">
        <v>3100</v>
      </c>
      <c r="D175" s="1923" t="s">
        <v>2057</v>
      </c>
      <c r="E175" s="887"/>
      <c r="F175" s="1907"/>
      <c r="G175" s="908"/>
    </row>
    <row r="176" spans="1:7" x14ac:dyDescent="0.2">
      <c r="A176" s="1920" t="s">
        <v>685</v>
      </c>
      <c r="B176" s="1921" t="s">
        <v>2054</v>
      </c>
      <c r="C176" s="1922">
        <v>3300</v>
      </c>
      <c r="D176" s="1923" t="s">
        <v>2058</v>
      </c>
      <c r="E176" s="887"/>
      <c r="F176" s="1907"/>
      <c r="G176" s="908"/>
    </row>
    <row r="177" spans="1:7" ht="6" customHeight="1" x14ac:dyDescent="0.2">
      <c r="A177" s="908"/>
      <c r="B177" s="908"/>
      <c r="C177" s="930"/>
      <c r="D177" s="908"/>
      <c r="E177" s="887"/>
      <c r="F177" s="931"/>
      <c r="G177" s="928"/>
    </row>
    <row r="178" spans="1:7" x14ac:dyDescent="0.2">
      <c r="A178" s="1770"/>
      <c r="B178" s="1784"/>
      <c r="C178" s="1785"/>
      <c r="D178" s="1786" t="s">
        <v>2010</v>
      </c>
      <c r="E178" s="1787" t="s">
        <v>1015</v>
      </c>
      <c r="F178" s="1788">
        <f>SUM(F84:F136,F161:F176)</f>
        <v>3300611.36</v>
      </c>
    </row>
    <row r="179" spans="1:7" ht="12" customHeight="1" x14ac:dyDescent="0.2">
      <c r="A179" s="1770"/>
      <c r="B179" s="1784"/>
      <c r="C179" s="1785"/>
      <c r="D179" s="1786" t="s">
        <v>2011</v>
      </c>
      <c r="E179" s="1787"/>
      <c r="F179" s="1789">
        <f>'PCTC-OEPP 27-28'!F77-F178</f>
        <v>15024412.799999997</v>
      </c>
    </row>
    <row r="180" spans="1:7" ht="12" customHeight="1" x14ac:dyDescent="0.2">
      <c r="A180" s="1770"/>
      <c r="B180" s="1784"/>
      <c r="C180" s="1785"/>
      <c r="D180" s="1786" t="s">
        <v>1920</v>
      </c>
      <c r="E180" s="1787"/>
      <c r="F180" s="1789">
        <f>'Cap Outlay Deprec 26'!I18</f>
        <v>1435981</v>
      </c>
    </row>
    <row r="181" spans="1:7" ht="12" customHeight="1" x14ac:dyDescent="0.2">
      <c r="A181" s="1770"/>
      <c r="B181" s="1784"/>
      <c r="C181" s="1785"/>
      <c r="D181" s="1786" t="s">
        <v>2012</v>
      </c>
      <c r="E181" s="1787"/>
      <c r="F181" s="1789">
        <f>F179+F180</f>
        <v>16460393.799999997</v>
      </c>
    </row>
    <row r="182" spans="1:7" ht="12" customHeight="1" x14ac:dyDescent="0.2">
      <c r="A182" s="1770"/>
      <c r="B182" s="1790"/>
      <c r="C182" s="1785"/>
      <c r="D182" s="1786" t="str">
        <f>D78</f>
        <v>9 Month ADA from District Average Daily Attendance/Prior General State Aid Inquiry 2017-2018</v>
      </c>
      <c r="E182" s="1787"/>
      <c r="F182" s="1791">
        <f>'PCTC-OEPP 27-28'!F78</f>
        <v>1795.19</v>
      </c>
      <c r="G182" s="911"/>
    </row>
    <row r="183" spans="1:7" ht="12" customHeight="1" thickBot="1" x14ac:dyDescent="0.25">
      <c r="A183" s="1770"/>
      <c r="B183" s="1790"/>
      <c r="C183" s="1785"/>
      <c r="D183" s="1786" t="s">
        <v>2013</v>
      </c>
      <c r="E183" s="1787" t="s">
        <v>1626</v>
      </c>
      <c r="F183" s="1792">
        <f>F181/F182</f>
        <v>9169.1652694143777</v>
      </c>
      <c r="G183" s="837">
        <v>6323</v>
      </c>
    </row>
    <row r="184" spans="1:7" ht="12" thickTop="1" x14ac:dyDescent="0.2">
      <c r="B184" s="911"/>
      <c r="C184" s="930"/>
      <c r="D184" s="911"/>
      <c r="E184" s="930"/>
      <c r="F184" s="911"/>
      <c r="G184" s="932">
        <v>6326</v>
      </c>
    </row>
    <row r="185" spans="1:7" ht="12.2" customHeight="1" x14ac:dyDescent="0.2">
      <c r="A185" s="911" t="s">
        <v>2056</v>
      </c>
      <c r="B185" s="911"/>
      <c r="C185" s="930"/>
      <c r="D185" s="911"/>
      <c r="E185" s="930"/>
      <c r="F185" s="911"/>
      <c r="G185" s="911"/>
    </row>
    <row r="186" spans="1:7" s="1924" customFormat="1" ht="12.2" customHeight="1" x14ac:dyDescent="0.2">
      <c r="A186" s="1924" t="s">
        <v>2061</v>
      </c>
      <c r="B186" s="1925"/>
      <c r="C186" s="1926"/>
      <c r="D186" s="1925"/>
      <c r="E186" s="1926"/>
      <c r="F186" s="1925"/>
      <c r="G186" s="1925"/>
    </row>
    <row r="187" spans="1:7" s="1924" customFormat="1" ht="12.2" customHeight="1" x14ac:dyDescent="0.2">
      <c r="A187" s="1927" t="s">
        <v>2062</v>
      </c>
      <c r="C187" s="1926"/>
      <c r="D187" s="1925"/>
      <c r="E187" s="1926"/>
      <c r="F187" s="1925"/>
      <c r="G187" s="1925"/>
    </row>
    <row r="188" spans="1:7" ht="12" customHeight="1" x14ac:dyDescent="0.2">
      <c r="C188" s="930"/>
      <c r="D188" s="911"/>
      <c r="E188" s="930"/>
      <c r="F188" s="911"/>
      <c r="G188" s="911"/>
    </row>
    <row r="189" spans="1:7" x14ac:dyDescent="0.2">
      <c r="A189" s="1928" t="s">
        <v>2060</v>
      </c>
      <c r="B189" s="1929" t="s">
        <v>2059</v>
      </c>
      <c r="C189" s="930"/>
      <c r="D189" s="911"/>
      <c r="E189" s="930"/>
      <c r="F189" s="911"/>
      <c r="G189" s="911"/>
    </row>
    <row r="190" spans="1:7" x14ac:dyDescent="0.2">
      <c r="A190" s="911"/>
      <c r="B190" s="911"/>
      <c r="C190" s="930"/>
      <c r="D190" s="911"/>
      <c r="E190" s="930"/>
      <c r="F190" s="911"/>
      <c r="G190" s="911"/>
    </row>
    <row r="191" spans="1:7" x14ac:dyDescent="0.2">
      <c r="A191" s="911"/>
      <c r="B191" s="911"/>
      <c r="C191" s="930"/>
      <c r="D191" s="911"/>
      <c r="E191" s="930"/>
      <c r="F191" s="911"/>
      <c r="G191" s="911"/>
    </row>
    <row r="192" spans="1:7" x14ac:dyDescent="0.2">
      <c r="A192" s="911"/>
      <c r="B192" s="911"/>
      <c r="C192" s="930"/>
      <c r="D192" s="911"/>
      <c r="E192" s="930"/>
      <c r="F192" s="911"/>
      <c r="G192" s="911"/>
    </row>
    <row r="193" spans="1:7" x14ac:dyDescent="0.2">
      <c r="A193" s="911"/>
      <c r="B193" s="911"/>
      <c r="C193" s="930"/>
      <c r="D193" s="911"/>
      <c r="E193" s="930"/>
      <c r="F193" s="911"/>
      <c r="G193" s="911"/>
    </row>
    <row r="194" spans="1:7" x14ac:dyDescent="0.2">
      <c r="A194" s="911"/>
      <c r="B194" s="911"/>
      <c r="C194" s="930"/>
      <c r="D194" s="911"/>
      <c r="E194" s="930"/>
      <c r="F194" s="911"/>
      <c r="G194" s="911"/>
    </row>
    <row r="195" spans="1:7" x14ac:dyDescent="0.2">
      <c r="A195" s="911"/>
      <c r="B195" s="911"/>
      <c r="C195" s="930"/>
      <c r="D195" s="911"/>
      <c r="E195" s="930"/>
      <c r="F195" s="911"/>
      <c r="G195" s="911"/>
    </row>
    <row r="196" spans="1:7" x14ac:dyDescent="0.2">
      <c r="A196" s="911"/>
      <c r="B196" s="911"/>
      <c r="C196" s="930"/>
      <c r="D196" s="911"/>
      <c r="E196" s="930"/>
      <c r="F196" s="911"/>
      <c r="G196" s="911"/>
    </row>
    <row r="197" spans="1:7" x14ac:dyDescent="0.2">
      <c r="A197" s="911"/>
      <c r="B197" s="911"/>
      <c r="C197" s="930"/>
      <c r="D197" s="911"/>
      <c r="E197" s="930"/>
      <c r="F197" s="911"/>
      <c r="G197" s="911"/>
    </row>
    <row r="198" spans="1:7" x14ac:dyDescent="0.2">
      <c r="A198" s="911"/>
      <c r="B198" s="911"/>
      <c r="C198" s="930"/>
      <c r="D198" s="911"/>
      <c r="E198" s="930"/>
      <c r="F198" s="911"/>
      <c r="G198" s="911"/>
    </row>
    <row r="199" spans="1:7" x14ac:dyDescent="0.2">
      <c r="A199" s="911"/>
      <c r="B199" s="911"/>
      <c r="C199" s="930"/>
      <c r="D199" s="911"/>
      <c r="E199" s="930"/>
      <c r="F199" s="911"/>
      <c r="G199" s="911"/>
    </row>
    <row r="200" spans="1:7" x14ac:dyDescent="0.2">
      <c r="A200" s="911"/>
      <c r="B200" s="911"/>
      <c r="C200" s="930"/>
      <c r="D200" s="911"/>
      <c r="E200" s="930"/>
      <c r="F200" s="911"/>
      <c r="G200" s="911"/>
    </row>
    <row r="201" spans="1:7" x14ac:dyDescent="0.2">
      <c r="A201" s="911"/>
      <c r="B201" s="911"/>
      <c r="C201" s="930"/>
      <c r="D201" s="911"/>
      <c r="E201" s="930"/>
      <c r="F201" s="911"/>
      <c r="G201" s="911"/>
    </row>
    <row r="202" spans="1:7" x14ac:dyDescent="0.2">
      <c r="A202" s="911"/>
      <c r="B202" s="911"/>
      <c r="C202" s="930"/>
      <c r="D202" s="911"/>
      <c r="E202" s="930"/>
      <c r="F202" s="911"/>
      <c r="G202" s="911"/>
    </row>
    <row r="203" spans="1:7" x14ac:dyDescent="0.2">
      <c r="A203" s="911"/>
      <c r="B203" s="911"/>
      <c r="C203" s="930"/>
      <c r="D203" s="911"/>
      <c r="E203" s="930"/>
      <c r="F203" s="911"/>
      <c r="G203" s="911"/>
    </row>
    <row r="204" spans="1:7" x14ac:dyDescent="0.2">
      <c r="A204" s="911"/>
      <c r="B204" s="911"/>
      <c r="C204" s="930"/>
      <c r="D204" s="911"/>
      <c r="E204" s="930"/>
      <c r="F204" s="911"/>
      <c r="G204" s="911"/>
    </row>
    <row r="205" spans="1:7" x14ac:dyDescent="0.2">
      <c r="A205" s="911"/>
      <c r="B205" s="911"/>
      <c r="C205" s="930"/>
      <c r="D205" s="911"/>
      <c r="E205" s="930"/>
      <c r="F205" s="911"/>
      <c r="G205" s="911"/>
    </row>
    <row r="206" spans="1:7" x14ac:dyDescent="0.2">
      <c r="A206" s="911"/>
      <c r="B206" s="911"/>
      <c r="C206" s="930"/>
      <c r="D206" s="911"/>
      <c r="E206" s="930"/>
      <c r="F206" s="911"/>
      <c r="G206" s="91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ColWidth="9.140625" defaultRowHeight="15" x14ac:dyDescent="0.25"/>
  <cols>
    <col min="1" max="1" width="52" style="1544" customWidth="1"/>
    <col min="2" max="2" width="16.42578125" style="1545" bestFit="1" customWidth="1"/>
    <col min="3" max="3" width="33.7109375" style="1545" customWidth="1"/>
    <col min="4" max="4" width="16.28515625" style="1546" customWidth="1"/>
    <col min="5" max="5" width="0.140625" style="1546" hidden="1" customWidth="1"/>
    <col min="6" max="6" width="23.5703125" style="1546" customWidth="1"/>
    <col min="7" max="7" width="23.28515625" style="1545" customWidth="1"/>
    <col min="8" max="16384" width="9.140625" style="1535"/>
  </cols>
  <sheetData>
    <row r="1" spans="1:7" ht="15" customHeight="1" x14ac:dyDescent="0.25">
      <c r="A1" s="1659" t="s">
        <v>1936</v>
      </c>
      <c r="B1" s="1660"/>
      <c r="C1" s="1660"/>
      <c r="D1" s="1660"/>
      <c r="E1" s="1660"/>
      <c r="F1" s="1660"/>
      <c r="G1" s="1660"/>
    </row>
    <row r="2" spans="1:7" x14ac:dyDescent="0.25">
      <c r="A2" s="1657"/>
      <c r="B2" s="1657"/>
      <c r="C2" s="1658" t="s">
        <v>1036</v>
      </c>
      <c r="D2" s="1657"/>
      <c r="E2" s="1657"/>
      <c r="F2" s="1657"/>
      <c r="G2" s="1657"/>
    </row>
    <row r="3" spans="1:7" ht="5.25" customHeight="1" x14ac:dyDescent="0.25">
      <c r="A3" s="1547"/>
      <c r="B3" s="1547"/>
      <c r="C3" s="1547"/>
      <c r="D3" s="1547"/>
      <c r="E3" s="1547"/>
      <c r="F3" s="1547"/>
      <c r="G3" s="1547"/>
    </row>
    <row r="4" spans="1:7" ht="18.75" customHeight="1" x14ac:dyDescent="0.25">
      <c r="A4" s="2323" t="s">
        <v>1921</v>
      </c>
      <c r="B4" s="2324"/>
      <c r="C4" s="2324"/>
      <c r="D4" s="2324"/>
      <c r="E4" s="2324"/>
      <c r="F4" s="2324"/>
      <c r="G4" s="2325"/>
    </row>
    <row r="5" spans="1:7" x14ac:dyDescent="0.25">
      <c r="A5" s="2326"/>
      <c r="B5" s="2327"/>
      <c r="C5" s="2327"/>
      <c r="D5" s="2327"/>
      <c r="E5" s="2327"/>
      <c r="F5" s="2327"/>
      <c r="G5" s="2328"/>
    </row>
    <row r="6" spans="1:7" ht="18.75" x14ac:dyDescent="0.25">
      <c r="A6" s="1536" t="s">
        <v>1922</v>
      </c>
      <c r="B6" s="1537"/>
      <c r="C6" s="1537"/>
      <c r="D6" s="1537"/>
      <c r="E6" s="1537"/>
      <c r="F6" s="1537"/>
      <c r="G6" s="1538"/>
    </row>
    <row r="7" spans="1:7" ht="30.75" customHeight="1" x14ac:dyDescent="0.25">
      <c r="A7" s="2329" t="s">
        <v>2071</v>
      </c>
      <c r="B7" s="2330"/>
      <c r="C7" s="2330"/>
      <c r="D7" s="2330"/>
      <c r="E7" s="2330"/>
      <c r="F7" s="2330"/>
      <c r="G7" s="2331"/>
    </row>
    <row r="8" spans="1:7" ht="15.75" customHeight="1" x14ac:dyDescent="0.25">
      <c r="A8" s="2332" t="s">
        <v>2020</v>
      </c>
      <c r="B8" s="2333"/>
      <c r="C8" s="2333"/>
      <c r="D8" s="2333"/>
      <c r="E8" s="2333"/>
      <c r="F8" s="2333"/>
      <c r="G8" s="2334"/>
    </row>
    <row r="9" spans="1:7" ht="35.25" customHeight="1" x14ac:dyDescent="0.25">
      <c r="A9" s="2329" t="s">
        <v>2019</v>
      </c>
      <c r="B9" s="2330"/>
      <c r="C9" s="2330"/>
      <c r="D9" s="2330"/>
      <c r="E9" s="2330"/>
      <c r="F9" s="2330"/>
      <c r="G9" s="2331"/>
    </row>
    <row r="10" spans="1:7" ht="15" customHeight="1" x14ac:dyDescent="0.25">
      <c r="A10" s="1539" t="s">
        <v>1923</v>
      </c>
      <c r="B10" s="1540"/>
      <c r="C10" s="1540"/>
      <c r="D10" s="1540"/>
      <c r="E10" s="1540"/>
      <c r="F10" s="1540"/>
      <c r="G10" s="1541"/>
    </row>
    <row r="11" spans="1:7" ht="17.25" customHeight="1" x14ac:dyDescent="0.25">
      <c r="A11" s="2329" t="s">
        <v>1937</v>
      </c>
      <c r="B11" s="2330"/>
      <c r="C11" s="2330"/>
      <c r="D11" s="2330"/>
      <c r="E11" s="2330"/>
      <c r="F11" s="2330"/>
      <c r="G11" s="2331"/>
    </row>
    <row r="12" spans="1:7" ht="15" customHeight="1" x14ac:dyDescent="0.25">
      <c r="A12" s="1539" t="s">
        <v>1928</v>
      </c>
      <c r="B12" s="1540"/>
      <c r="C12" s="1540"/>
      <c r="D12" s="1540"/>
      <c r="E12" s="1540"/>
      <c r="F12" s="1540"/>
      <c r="G12" s="1541"/>
    </row>
    <row r="13" spans="1:7" ht="32.25" customHeight="1" x14ac:dyDescent="0.25">
      <c r="A13" s="2320" t="s">
        <v>1929</v>
      </c>
      <c r="B13" s="2321"/>
      <c r="C13" s="2321"/>
      <c r="D13" s="2321"/>
      <c r="E13" s="2321"/>
      <c r="F13" s="2321"/>
      <c r="G13" s="2322"/>
    </row>
    <row r="14" spans="1:7" x14ac:dyDescent="0.25">
      <c r="A14" s="1661" t="s">
        <v>1938</v>
      </c>
      <c r="B14" s="1662"/>
      <c r="C14" s="1662"/>
      <c r="D14" s="1662"/>
      <c r="E14" s="1662"/>
      <c r="F14" s="1662"/>
      <c r="G14" s="1663"/>
    </row>
    <row r="15" spans="1:7" ht="61.5" customHeight="1" x14ac:dyDescent="0.25">
      <c r="A15" s="1548" t="s">
        <v>1930</v>
      </c>
      <c r="B15" s="1548" t="s">
        <v>1931</v>
      </c>
      <c r="C15" s="1548" t="s">
        <v>1932</v>
      </c>
      <c r="D15" s="1549" t="s">
        <v>1933</v>
      </c>
      <c r="E15" s="1549" t="s">
        <v>1924</v>
      </c>
      <c r="F15" s="1549" t="s">
        <v>1934</v>
      </c>
      <c r="G15" s="1549" t="s">
        <v>1935</v>
      </c>
    </row>
    <row r="16" spans="1:7" x14ac:dyDescent="0.25">
      <c r="A16" s="1650" t="s">
        <v>1939</v>
      </c>
      <c r="B16" s="1651" t="s">
        <v>1927</v>
      </c>
      <c r="C16" s="1652" t="s">
        <v>1925</v>
      </c>
      <c r="D16" s="1653">
        <v>500000</v>
      </c>
      <c r="E16" s="1653">
        <f>IF(D16&lt;=25000,D16,IF(D16&gt;25000,25000,0))</f>
        <v>25000</v>
      </c>
      <c r="F16" s="165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4">
        <f>IF(F16=0,"0",D16-F16)</f>
        <v>475000</v>
      </c>
    </row>
    <row r="17" spans="1:8" x14ac:dyDescent="0.25">
      <c r="A17" s="1990" t="s">
        <v>4003</v>
      </c>
      <c r="B17" s="1989" t="s">
        <v>4002</v>
      </c>
      <c r="C17" s="1991" t="s">
        <v>4004</v>
      </c>
      <c r="D17" s="1845">
        <v>1500</v>
      </c>
      <c r="E17" s="1542">
        <f t="shared" ref="E17:E141" si="1">IF(D17&lt;=25000,D17,IF(D17&gt;25000,25000,0))</f>
        <v>1500</v>
      </c>
      <c r="F17" s="1793">
        <f t="shared" si="0"/>
        <v>1500</v>
      </c>
      <c r="G17" s="1794">
        <f>IF(F17=0,0,D17-F17)</f>
        <v>0</v>
      </c>
      <c r="H17" s="1649"/>
    </row>
    <row r="18" spans="1:8" x14ac:dyDescent="0.25">
      <c r="A18" s="1990" t="s">
        <v>4003</v>
      </c>
      <c r="B18" s="1989" t="s">
        <v>4002</v>
      </c>
      <c r="C18" s="1991" t="s">
        <v>4004</v>
      </c>
      <c r="D18" s="1845">
        <v>6800</v>
      </c>
      <c r="E18" s="1542">
        <f t="shared" ref="E18:E140" si="2">IF(D18&lt;=25000,D18,IF(D18&gt;25000,25000,0))</f>
        <v>6800</v>
      </c>
      <c r="F18" s="179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6800</v>
      </c>
      <c r="G18" s="1794">
        <f t="shared" ref="G18:G140" si="4">IF(F18=0,0,D18-F18)</f>
        <v>0</v>
      </c>
    </row>
    <row r="19" spans="1:8" x14ac:dyDescent="0.25">
      <c r="A19" s="1990" t="s">
        <v>4003</v>
      </c>
      <c r="B19" s="1989" t="s">
        <v>4002</v>
      </c>
      <c r="C19" s="1991" t="s">
        <v>4004</v>
      </c>
      <c r="D19" s="1845">
        <v>3200</v>
      </c>
      <c r="E19" s="1542">
        <f t="shared" si="2"/>
        <v>3200</v>
      </c>
      <c r="F19" s="1793">
        <f t="shared" si="3"/>
        <v>3200</v>
      </c>
      <c r="G19" s="1794">
        <f t="shared" si="4"/>
        <v>0</v>
      </c>
    </row>
    <row r="20" spans="1:8" x14ac:dyDescent="0.25">
      <c r="A20" s="1992" t="s">
        <v>4009</v>
      </c>
      <c r="B20" s="1989" t="s">
        <v>4007</v>
      </c>
      <c r="C20" s="1991" t="s">
        <v>4008</v>
      </c>
      <c r="D20" s="1845">
        <v>52747</v>
      </c>
      <c r="E20" s="1542">
        <f t="shared" si="2"/>
        <v>25000</v>
      </c>
      <c r="F20" s="1793">
        <f t="shared" si="3"/>
        <v>25000</v>
      </c>
      <c r="G20" s="1794">
        <f t="shared" si="4"/>
        <v>27747</v>
      </c>
    </row>
    <row r="21" spans="1:8" x14ac:dyDescent="0.25">
      <c r="A21" s="1990" t="s">
        <v>4006</v>
      </c>
      <c r="B21" s="1989" t="s">
        <v>4005</v>
      </c>
      <c r="C21" s="1991" t="s">
        <v>4010</v>
      </c>
      <c r="D21" s="1845">
        <v>4665</v>
      </c>
      <c r="E21" s="1542">
        <f t="shared" si="2"/>
        <v>4665</v>
      </c>
      <c r="F21" s="1793">
        <f t="shared" si="3"/>
        <v>4665</v>
      </c>
      <c r="G21" s="1794">
        <f t="shared" si="4"/>
        <v>0</v>
      </c>
    </row>
    <row r="22" spans="1:8" x14ac:dyDescent="0.25">
      <c r="A22" s="1990" t="s">
        <v>4006</v>
      </c>
      <c r="B22" s="1989" t="s">
        <v>4005</v>
      </c>
      <c r="C22" s="1991" t="s">
        <v>4011</v>
      </c>
      <c r="D22" s="1845">
        <v>5887.75</v>
      </c>
      <c r="E22" s="1542">
        <f t="shared" si="2"/>
        <v>5887.75</v>
      </c>
      <c r="F22" s="1793">
        <f t="shared" si="3"/>
        <v>5887.75</v>
      </c>
      <c r="G22" s="1794">
        <f t="shared" si="4"/>
        <v>0</v>
      </c>
    </row>
    <row r="23" spans="1:8" x14ac:dyDescent="0.25">
      <c r="A23" s="1990" t="s">
        <v>4006</v>
      </c>
      <c r="B23" s="1989" t="s">
        <v>4005</v>
      </c>
      <c r="C23" s="1991" t="s">
        <v>4012</v>
      </c>
      <c r="D23" s="1845">
        <v>8000</v>
      </c>
      <c r="E23" s="1542">
        <f t="shared" si="2"/>
        <v>8000</v>
      </c>
      <c r="F23" s="1793">
        <f t="shared" si="3"/>
        <v>8000</v>
      </c>
      <c r="G23" s="1794">
        <f t="shared" si="4"/>
        <v>0</v>
      </c>
    </row>
    <row r="24" spans="1:8" x14ac:dyDescent="0.25">
      <c r="A24" s="1990" t="s">
        <v>4006</v>
      </c>
      <c r="B24" s="1989" t="s">
        <v>4005</v>
      </c>
      <c r="C24" s="1991" t="s">
        <v>4013</v>
      </c>
      <c r="D24" s="1845">
        <v>22563.88</v>
      </c>
      <c r="E24" s="1542">
        <f t="shared" si="2"/>
        <v>22563.88</v>
      </c>
      <c r="F24" s="1793">
        <f t="shared" si="3"/>
        <v>22563.88</v>
      </c>
      <c r="G24" s="1794">
        <f t="shared" si="4"/>
        <v>0</v>
      </c>
    </row>
    <row r="25" spans="1:8" x14ac:dyDescent="0.25">
      <c r="A25" s="1990" t="s">
        <v>4006</v>
      </c>
      <c r="B25" s="1989" t="s">
        <v>4005</v>
      </c>
      <c r="C25" s="1991" t="s">
        <v>4014</v>
      </c>
      <c r="D25" s="1845">
        <v>4402</v>
      </c>
      <c r="E25" s="1542">
        <f t="shared" si="2"/>
        <v>4402</v>
      </c>
      <c r="F25" s="1793">
        <f t="shared" si="3"/>
        <v>4402</v>
      </c>
      <c r="G25" s="1794">
        <f t="shared" si="4"/>
        <v>0</v>
      </c>
    </row>
    <row r="26" spans="1:8" x14ac:dyDescent="0.25">
      <c r="A26" s="1990" t="s">
        <v>4006</v>
      </c>
      <c r="B26" s="1989" t="s">
        <v>4005</v>
      </c>
      <c r="C26" s="1991" t="s">
        <v>4015</v>
      </c>
      <c r="D26" s="1845">
        <v>5899</v>
      </c>
      <c r="E26" s="1542">
        <f t="shared" si="2"/>
        <v>5899</v>
      </c>
      <c r="F26" s="1793">
        <f t="shared" si="3"/>
        <v>5899</v>
      </c>
      <c r="G26" s="1794">
        <f t="shared" si="4"/>
        <v>0</v>
      </c>
    </row>
    <row r="27" spans="1:8" x14ac:dyDescent="0.25">
      <c r="A27" s="1990" t="s">
        <v>4006</v>
      </c>
      <c r="B27" s="1989" t="s">
        <v>4005</v>
      </c>
      <c r="C27" s="1991" t="s">
        <v>4016</v>
      </c>
      <c r="D27" s="1845">
        <v>3360</v>
      </c>
      <c r="E27" s="1542">
        <f t="shared" si="2"/>
        <v>3360</v>
      </c>
      <c r="F27" s="1793">
        <f t="shared" si="3"/>
        <v>3360</v>
      </c>
      <c r="G27" s="1794">
        <f t="shared" si="4"/>
        <v>0</v>
      </c>
    </row>
    <row r="28" spans="1:8" x14ac:dyDescent="0.25">
      <c r="A28" s="1990" t="s">
        <v>4006</v>
      </c>
      <c r="B28" s="1989" t="s">
        <v>4005</v>
      </c>
      <c r="C28" s="1991" t="s">
        <v>4017</v>
      </c>
      <c r="D28" s="1845">
        <v>4718</v>
      </c>
      <c r="E28" s="1542">
        <f t="shared" si="2"/>
        <v>4718</v>
      </c>
      <c r="F28" s="1793">
        <f t="shared" si="3"/>
        <v>4718</v>
      </c>
      <c r="G28" s="1794">
        <f t="shared" si="4"/>
        <v>0</v>
      </c>
    </row>
    <row r="29" spans="1:8" x14ac:dyDescent="0.25">
      <c r="A29" s="1990" t="s">
        <v>4006</v>
      </c>
      <c r="B29" s="1989" t="s">
        <v>4005</v>
      </c>
      <c r="C29" s="1991" t="s">
        <v>4018</v>
      </c>
      <c r="D29" s="1845">
        <v>3000</v>
      </c>
      <c r="E29" s="1542">
        <f t="shared" si="2"/>
        <v>3000</v>
      </c>
      <c r="F29" s="1793">
        <f t="shared" si="3"/>
        <v>3000</v>
      </c>
      <c r="G29" s="1794">
        <f t="shared" si="4"/>
        <v>0</v>
      </c>
    </row>
    <row r="30" spans="1:8" x14ac:dyDescent="0.25">
      <c r="A30" s="1990" t="s">
        <v>4006</v>
      </c>
      <c r="B30" s="1989" t="s">
        <v>4005</v>
      </c>
      <c r="C30" s="1991" t="s">
        <v>4019</v>
      </c>
      <c r="D30" s="1845">
        <v>6000</v>
      </c>
      <c r="E30" s="1542">
        <f t="shared" si="2"/>
        <v>6000</v>
      </c>
      <c r="F30" s="1793">
        <f t="shared" si="3"/>
        <v>6000</v>
      </c>
      <c r="G30" s="1794">
        <f t="shared" si="4"/>
        <v>0</v>
      </c>
    </row>
    <row r="31" spans="1:8" x14ac:dyDescent="0.25">
      <c r="A31" s="1990" t="s">
        <v>4006</v>
      </c>
      <c r="B31" s="1989" t="s">
        <v>4005</v>
      </c>
      <c r="C31" s="1991" t="s">
        <v>4020</v>
      </c>
      <c r="D31" s="1845">
        <v>7800</v>
      </c>
      <c r="E31" s="1542">
        <f t="shared" si="2"/>
        <v>7800</v>
      </c>
      <c r="F31" s="1793">
        <f t="shared" si="3"/>
        <v>7800</v>
      </c>
      <c r="G31" s="1794">
        <f t="shared" si="4"/>
        <v>0</v>
      </c>
    </row>
    <row r="32" spans="1:8" x14ac:dyDescent="0.25">
      <c r="A32" s="1990" t="s">
        <v>4006</v>
      </c>
      <c r="B32" s="1989" t="s">
        <v>4005</v>
      </c>
      <c r="C32" s="1991" t="s">
        <v>4021</v>
      </c>
      <c r="D32" s="1845">
        <v>24000</v>
      </c>
      <c r="E32" s="1542">
        <f t="shared" si="2"/>
        <v>24000</v>
      </c>
      <c r="F32" s="1793">
        <f t="shared" si="3"/>
        <v>24000</v>
      </c>
      <c r="G32" s="1794">
        <f t="shared" si="4"/>
        <v>0</v>
      </c>
    </row>
    <row r="33" spans="1:7" x14ac:dyDescent="0.25">
      <c r="A33" s="1990" t="s">
        <v>4006</v>
      </c>
      <c r="B33" s="1989" t="s">
        <v>4005</v>
      </c>
      <c r="C33" s="1991" t="s">
        <v>4022</v>
      </c>
      <c r="D33" s="1845">
        <v>7200</v>
      </c>
      <c r="E33" s="1542">
        <f t="shared" si="2"/>
        <v>7200</v>
      </c>
      <c r="F33" s="1793">
        <f t="shared" si="3"/>
        <v>7200</v>
      </c>
      <c r="G33" s="1794">
        <f t="shared" si="4"/>
        <v>0</v>
      </c>
    </row>
    <row r="34" spans="1:7" x14ac:dyDescent="0.25">
      <c r="A34" s="1990" t="s">
        <v>4006</v>
      </c>
      <c r="B34" s="1989" t="s">
        <v>4005</v>
      </c>
      <c r="C34" s="1991" t="s">
        <v>4023</v>
      </c>
      <c r="D34" s="1845">
        <v>111683</v>
      </c>
      <c r="E34" s="1542">
        <f t="shared" si="2"/>
        <v>25000</v>
      </c>
      <c r="F34" s="1793">
        <f t="shared" si="3"/>
        <v>25000</v>
      </c>
      <c r="G34" s="1794">
        <f t="shared" si="4"/>
        <v>86683</v>
      </c>
    </row>
    <row r="35" spans="1:7" x14ac:dyDescent="0.25">
      <c r="A35" s="1990" t="s">
        <v>4006</v>
      </c>
      <c r="B35" s="1989" t="s">
        <v>4005</v>
      </c>
      <c r="C35" s="1991" t="s">
        <v>4024</v>
      </c>
      <c r="D35" s="1845">
        <v>23940</v>
      </c>
      <c r="E35" s="1542">
        <f t="shared" si="2"/>
        <v>23940</v>
      </c>
      <c r="F35" s="1793">
        <f t="shared" si="3"/>
        <v>23940</v>
      </c>
      <c r="G35" s="1794">
        <f t="shared" si="4"/>
        <v>0</v>
      </c>
    </row>
    <row r="36" spans="1:7" x14ac:dyDescent="0.25">
      <c r="A36" s="1990" t="s">
        <v>4027</v>
      </c>
      <c r="B36" s="1993" t="s">
        <v>4025</v>
      </c>
      <c r="C36" s="1991" t="s">
        <v>4026</v>
      </c>
      <c r="D36" s="1845">
        <v>12400</v>
      </c>
      <c r="E36" s="1542">
        <f t="shared" si="2"/>
        <v>12400</v>
      </c>
      <c r="F36" s="1793">
        <f t="shared" si="3"/>
        <v>12400</v>
      </c>
      <c r="G36" s="1794">
        <f t="shared" si="4"/>
        <v>0</v>
      </c>
    </row>
    <row r="37" spans="1:7" x14ac:dyDescent="0.25">
      <c r="A37" s="1990" t="s">
        <v>4027</v>
      </c>
      <c r="B37" s="1993" t="s">
        <v>4025</v>
      </c>
      <c r="C37" s="1991" t="s">
        <v>4028</v>
      </c>
      <c r="D37" s="1845">
        <v>1010</v>
      </c>
      <c r="E37" s="1542">
        <f t="shared" si="2"/>
        <v>1010</v>
      </c>
      <c r="F37" s="1793">
        <f t="shared" si="3"/>
        <v>1010</v>
      </c>
      <c r="G37" s="1794">
        <f t="shared" si="4"/>
        <v>0</v>
      </c>
    </row>
    <row r="38" spans="1:7" x14ac:dyDescent="0.25">
      <c r="A38" s="1992" t="s">
        <v>4009</v>
      </c>
      <c r="B38" s="1989" t="s">
        <v>4007</v>
      </c>
      <c r="C38" s="1991" t="s">
        <v>4033</v>
      </c>
      <c r="D38" s="1845">
        <v>14400</v>
      </c>
      <c r="E38" s="1542">
        <f t="shared" si="2"/>
        <v>14400</v>
      </c>
      <c r="F38" s="1793">
        <f t="shared" si="3"/>
        <v>14400</v>
      </c>
      <c r="G38" s="1794">
        <f t="shared" si="4"/>
        <v>0</v>
      </c>
    </row>
    <row r="39" spans="1:7" x14ac:dyDescent="0.25">
      <c r="A39" s="1990" t="s">
        <v>4009</v>
      </c>
      <c r="B39" s="1989" t="s">
        <v>4007</v>
      </c>
      <c r="C39" s="1991" t="s">
        <v>4034</v>
      </c>
      <c r="D39" s="1845">
        <v>10264</v>
      </c>
      <c r="E39" s="1542">
        <f t="shared" si="2"/>
        <v>10264</v>
      </c>
      <c r="F39" s="1793">
        <f t="shared" si="3"/>
        <v>10264</v>
      </c>
      <c r="G39" s="1794">
        <f t="shared" si="4"/>
        <v>0</v>
      </c>
    </row>
    <row r="40" spans="1:7" x14ac:dyDescent="0.25">
      <c r="A40" s="1990" t="s">
        <v>4031</v>
      </c>
      <c r="B40" s="1989" t="s">
        <v>4029</v>
      </c>
      <c r="C40" s="1991" t="s">
        <v>4035</v>
      </c>
      <c r="D40" s="1845">
        <v>1180</v>
      </c>
      <c r="E40" s="1542">
        <f t="shared" si="2"/>
        <v>1180</v>
      </c>
      <c r="F40" s="1793">
        <f t="shared" si="3"/>
        <v>1180</v>
      </c>
      <c r="G40" s="1794">
        <f t="shared" si="4"/>
        <v>0</v>
      </c>
    </row>
    <row r="41" spans="1:7" x14ac:dyDescent="0.25">
      <c r="A41" s="1990" t="s">
        <v>4032</v>
      </c>
      <c r="B41" s="1989" t="s">
        <v>4030</v>
      </c>
      <c r="C41" s="1991" t="s">
        <v>4036</v>
      </c>
      <c r="D41" s="1845">
        <v>19493</v>
      </c>
      <c r="E41" s="1542">
        <f t="shared" si="2"/>
        <v>19493</v>
      </c>
      <c r="F41" s="1793">
        <f t="shared" si="3"/>
        <v>19493</v>
      </c>
      <c r="G41" s="1794">
        <f t="shared" si="4"/>
        <v>0</v>
      </c>
    </row>
    <row r="42" spans="1:7" x14ac:dyDescent="0.25">
      <c r="A42" s="1990" t="s">
        <v>4032</v>
      </c>
      <c r="B42" s="1989" t="s">
        <v>4030</v>
      </c>
      <c r="C42" s="1991" t="s">
        <v>4037</v>
      </c>
      <c r="D42" s="1845">
        <v>14424</v>
      </c>
      <c r="E42" s="1542">
        <f t="shared" si="2"/>
        <v>14424</v>
      </c>
      <c r="F42" s="1793">
        <f t="shared" si="3"/>
        <v>14424</v>
      </c>
      <c r="G42" s="1794">
        <f t="shared" si="4"/>
        <v>0</v>
      </c>
    </row>
    <row r="43" spans="1:7" x14ac:dyDescent="0.25">
      <c r="A43" s="1990" t="s">
        <v>4032</v>
      </c>
      <c r="B43" s="1989" t="s">
        <v>4030</v>
      </c>
      <c r="C43" s="1991" t="s">
        <v>4038</v>
      </c>
      <c r="D43" s="1845">
        <v>1200</v>
      </c>
      <c r="E43" s="1542">
        <f t="shared" si="2"/>
        <v>1200</v>
      </c>
      <c r="F43" s="1793">
        <f t="shared" si="3"/>
        <v>1200</v>
      </c>
      <c r="G43" s="1794">
        <f t="shared" si="4"/>
        <v>0</v>
      </c>
    </row>
    <row r="44" spans="1:7" x14ac:dyDescent="0.25">
      <c r="A44" s="1990" t="s">
        <v>4032</v>
      </c>
      <c r="B44" s="1989" t="s">
        <v>4030</v>
      </c>
      <c r="C44" s="1991" t="s">
        <v>4039</v>
      </c>
      <c r="D44" s="1845">
        <v>1848</v>
      </c>
      <c r="E44" s="1542">
        <f t="shared" si="2"/>
        <v>1848</v>
      </c>
      <c r="F44" s="1793">
        <f t="shared" si="3"/>
        <v>1848</v>
      </c>
      <c r="G44" s="1794">
        <f t="shared" si="4"/>
        <v>0</v>
      </c>
    </row>
    <row r="45" spans="1:7" x14ac:dyDescent="0.25">
      <c r="A45" s="1990" t="s">
        <v>4032</v>
      </c>
      <c r="B45" s="1989" t="s">
        <v>4030</v>
      </c>
      <c r="C45" s="1991" t="s">
        <v>4040</v>
      </c>
      <c r="D45" s="1845">
        <v>1007</v>
      </c>
      <c r="E45" s="1542">
        <f t="shared" si="2"/>
        <v>1007</v>
      </c>
      <c r="F45" s="1793">
        <f t="shared" si="3"/>
        <v>1007</v>
      </c>
      <c r="G45" s="1794">
        <f t="shared" si="4"/>
        <v>0</v>
      </c>
    </row>
    <row r="46" spans="1:7" x14ac:dyDescent="0.25">
      <c r="A46" s="1990" t="s">
        <v>4032</v>
      </c>
      <c r="B46" s="1989" t="s">
        <v>4030</v>
      </c>
      <c r="C46" s="1991" t="s">
        <v>4041</v>
      </c>
      <c r="D46" s="1845">
        <v>8995</v>
      </c>
      <c r="E46" s="1542">
        <f t="shared" si="2"/>
        <v>8995</v>
      </c>
      <c r="F46" s="1793">
        <f t="shared" si="3"/>
        <v>8995</v>
      </c>
      <c r="G46" s="1794">
        <f t="shared" si="4"/>
        <v>0</v>
      </c>
    </row>
    <row r="47" spans="1:7" x14ac:dyDescent="0.25">
      <c r="A47" s="1990" t="s">
        <v>4032</v>
      </c>
      <c r="B47" s="1989" t="s">
        <v>4030</v>
      </c>
      <c r="C47" s="1991" t="s">
        <v>4042</v>
      </c>
      <c r="D47" s="1845">
        <v>550</v>
      </c>
      <c r="E47" s="1542">
        <f t="shared" si="2"/>
        <v>550</v>
      </c>
      <c r="F47" s="1793">
        <f t="shared" si="3"/>
        <v>550</v>
      </c>
      <c r="G47" s="1794">
        <f t="shared" si="4"/>
        <v>0</v>
      </c>
    </row>
    <row r="48" spans="1:7" x14ac:dyDescent="0.25">
      <c r="A48" s="1990" t="s">
        <v>4032</v>
      </c>
      <c r="B48" s="1989" t="s">
        <v>4030</v>
      </c>
      <c r="C48" s="1991" t="s">
        <v>4043</v>
      </c>
      <c r="D48" s="1845">
        <v>2125</v>
      </c>
      <c r="E48" s="1542">
        <f t="shared" si="2"/>
        <v>2125</v>
      </c>
      <c r="F48" s="1793">
        <f t="shared" si="3"/>
        <v>2125</v>
      </c>
      <c r="G48" s="1794">
        <f t="shared" si="4"/>
        <v>0</v>
      </c>
    </row>
    <row r="49" spans="1:7" x14ac:dyDescent="0.25">
      <c r="A49" s="1655"/>
      <c r="B49" s="1667"/>
      <c r="C49" s="1656"/>
      <c r="D49" s="1845"/>
      <c r="E49" s="1542">
        <f t="shared" si="2"/>
        <v>0</v>
      </c>
      <c r="F49" s="1793">
        <f t="shared" si="3"/>
        <v>0</v>
      </c>
      <c r="G49" s="1794">
        <f t="shared" si="4"/>
        <v>0</v>
      </c>
    </row>
    <row r="50" spans="1:7" x14ac:dyDescent="0.25">
      <c r="A50" s="1655"/>
      <c r="B50" s="1667"/>
      <c r="C50" s="1656"/>
      <c r="D50" s="1845"/>
      <c r="E50" s="1542">
        <f t="shared" si="2"/>
        <v>0</v>
      </c>
      <c r="F50" s="1793">
        <f t="shared" si="3"/>
        <v>0</v>
      </c>
      <c r="G50" s="1794">
        <f t="shared" si="4"/>
        <v>0</v>
      </c>
    </row>
    <row r="51" spans="1:7" x14ac:dyDescent="0.25">
      <c r="A51" s="1655"/>
      <c r="B51" s="1667"/>
      <c r="C51" s="1656"/>
      <c r="D51" s="1845"/>
      <c r="E51" s="1542">
        <f t="shared" si="2"/>
        <v>0</v>
      </c>
      <c r="F51" s="1793">
        <f t="shared" si="3"/>
        <v>0</v>
      </c>
      <c r="G51" s="1794">
        <f t="shared" si="4"/>
        <v>0</v>
      </c>
    </row>
    <row r="52" spans="1:7" x14ac:dyDescent="0.25">
      <c r="A52" s="1655"/>
      <c r="B52" s="1667"/>
      <c r="C52" s="1656"/>
      <c r="D52" s="1845"/>
      <c r="E52" s="1542">
        <f t="shared" si="2"/>
        <v>0</v>
      </c>
      <c r="F52" s="1793">
        <f t="shared" si="3"/>
        <v>0</v>
      </c>
      <c r="G52" s="1794">
        <f t="shared" si="4"/>
        <v>0</v>
      </c>
    </row>
    <row r="53" spans="1:7" x14ac:dyDescent="0.25">
      <c r="A53" s="1655"/>
      <c r="B53" s="1667"/>
      <c r="C53" s="1656"/>
      <c r="D53" s="1845"/>
      <c r="E53" s="1542">
        <f t="shared" si="2"/>
        <v>0</v>
      </c>
      <c r="F53" s="1793">
        <f t="shared" si="3"/>
        <v>0</v>
      </c>
      <c r="G53" s="1794">
        <f t="shared" si="4"/>
        <v>0</v>
      </c>
    </row>
    <row r="54" spans="1:7" x14ac:dyDescent="0.25">
      <c r="A54" s="1655"/>
      <c r="B54" s="1667"/>
      <c r="C54" s="1656"/>
      <c r="D54" s="1845"/>
      <c r="E54" s="1542">
        <f t="shared" si="2"/>
        <v>0</v>
      </c>
      <c r="F54" s="1793">
        <f t="shared" si="3"/>
        <v>0</v>
      </c>
      <c r="G54" s="1794">
        <f t="shared" si="4"/>
        <v>0</v>
      </c>
    </row>
    <row r="55" spans="1:7" x14ac:dyDescent="0.25">
      <c r="A55" s="1655"/>
      <c r="B55" s="1667"/>
      <c r="C55" s="1656"/>
      <c r="D55" s="1845"/>
      <c r="E55" s="1542">
        <f t="shared" si="2"/>
        <v>0</v>
      </c>
      <c r="F55" s="1793">
        <f t="shared" si="3"/>
        <v>0</v>
      </c>
      <c r="G55" s="1794">
        <f t="shared" si="4"/>
        <v>0</v>
      </c>
    </row>
    <row r="56" spans="1:7" x14ac:dyDescent="0.25">
      <c r="A56" s="1655"/>
      <c r="B56" s="1667"/>
      <c r="C56" s="1656"/>
      <c r="D56" s="1845"/>
      <c r="E56" s="1542">
        <f t="shared" si="2"/>
        <v>0</v>
      </c>
      <c r="F56" s="1793">
        <f t="shared" si="3"/>
        <v>0</v>
      </c>
      <c r="G56" s="1794">
        <f t="shared" si="4"/>
        <v>0</v>
      </c>
    </row>
    <row r="57" spans="1:7" x14ac:dyDescent="0.25">
      <c r="A57" s="1655"/>
      <c r="B57" s="1667"/>
      <c r="C57" s="1656"/>
      <c r="D57" s="1845"/>
      <c r="E57" s="1542">
        <f t="shared" si="2"/>
        <v>0</v>
      </c>
      <c r="F57" s="1793">
        <f t="shared" si="3"/>
        <v>0</v>
      </c>
      <c r="G57" s="1794">
        <f t="shared" si="4"/>
        <v>0</v>
      </c>
    </row>
    <row r="58" spans="1:7" x14ac:dyDescent="0.25">
      <c r="A58" s="1655"/>
      <c r="B58" s="1667"/>
      <c r="C58" s="1656"/>
      <c r="D58" s="1845"/>
      <c r="E58" s="1542">
        <f t="shared" si="2"/>
        <v>0</v>
      </c>
      <c r="F58" s="1793">
        <f t="shared" si="3"/>
        <v>0</v>
      </c>
      <c r="G58" s="1794">
        <f t="shared" si="4"/>
        <v>0</v>
      </c>
    </row>
    <row r="59" spans="1:7" x14ac:dyDescent="0.25">
      <c r="A59" s="1655"/>
      <c r="B59" s="1667"/>
      <c r="C59" s="1656"/>
      <c r="D59" s="1845"/>
      <c r="E59" s="1542">
        <f t="shared" si="2"/>
        <v>0</v>
      </c>
      <c r="F59" s="1793">
        <f t="shared" si="3"/>
        <v>0</v>
      </c>
      <c r="G59" s="1794">
        <f t="shared" si="4"/>
        <v>0</v>
      </c>
    </row>
    <row r="60" spans="1:7" x14ac:dyDescent="0.25">
      <c r="A60" s="1655"/>
      <c r="B60" s="1667"/>
      <c r="C60" s="1656"/>
      <c r="D60" s="1845"/>
      <c r="E60" s="1542">
        <f t="shared" si="2"/>
        <v>0</v>
      </c>
      <c r="F60" s="1793">
        <f t="shared" si="3"/>
        <v>0</v>
      </c>
      <c r="G60" s="1794">
        <f t="shared" si="4"/>
        <v>0</v>
      </c>
    </row>
    <row r="61" spans="1:7" x14ac:dyDescent="0.25">
      <c r="A61" s="1655"/>
      <c r="B61" s="1667"/>
      <c r="C61" s="1656"/>
      <c r="D61" s="1845"/>
      <c r="E61" s="1542">
        <f t="shared" si="2"/>
        <v>0</v>
      </c>
      <c r="F61" s="1793">
        <f t="shared" si="3"/>
        <v>0</v>
      </c>
      <c r="G61" s="1794">
        <f t="shared" si="4"/>
        <v>0</v>
      </c>
    </row>
    <row r="62" spans="1:7" x14ac:dyDescent="0.25">
      <c r="A62" s="1990"/>
      <c r="B62" s="1989"/>
      <c r="C62" s="1991"/>
      <c r="D62" s="1845"/>
      <c r="E62" s="1542">
        <f t="shared" si="2"/>
        <v>0</v>
      </c>
      <c r="F62" s="1793">
        <f t="shared" si="3"/>
        <v>0</v>
      </c>
      <c r="G62" s="1794">
        <f t="shared" si="4"/>
        <v>0</v>
      </c>
    </row>
    <row r="63" spans="1:7" x14ac:dyDescent="0.25">
      <c r="A63" s="1990"/>
      <c r="B63" s="1989"/>
      <c r="C63" s="1991"/>
      <c r="D63" s="1845"/>
      <c r="E63" s="1542">
        <f t="shared" si="2"/>
        <v>0</v>
      </c>
      <c r="F63" s="1793">
        <f t="shared" si="3"/>
        <v>0</v>
      </c>
      <c r="G63" s="1794">
        <f t="shared" si="4"/>
        <v>0</v>
      </c>
    </row>
    <row r="64" spans="1:7" x14ac:dyDescent="0.25">
      <c r="A64" s="1990"/>
      <c r="B64" s="1989"/>
      <c r="C64" s="1991"/>
      <c r="D64" s="1845"/>
      <c r="E64" s="1542">
        <f t="shared" si="2"/>
        <v>0</v>
      </c>
      <c r="F64" s="1793">
        <f t="shared" si="3"/>
        <v>0</v>
      </c>
      <c r="G64" s="1794">
        <f t="shared" si="4"/>
        <v>0</v>
      </c>
    </row>
    <row r="65" spans="1:7" x14ac:dyDescent="0.25">
      <c r="A65" s="1655"/>
      <c r="B65" s="1989"/>
      <c r="C65" s="1656"/>
      <c r="D65" s="1845"/>
      <c r="E65" s="1542">
        <f t="shared" si="2"/>
        <v>0</v>
      </c>
      <c r="F65" s="1793">
        <f t="shared" si="3"/>
        <v>0</v>
      </c>
      <c r="G65" s="1794">
        <f t="shared" si="4"/>
        <v>0</v>
      </c>
    </row>
    <row r="66" spans="1:7" x14ac:dyDescent="0.25">
      <c r="A66" s="1655"/>
      <c r="B66" s="1667"/>
      <c r="C66" s="1656"/>
      <c r="D66" s="1845"/>
      <c r="E66" s="1542">
        <f t="shared" si="2"/>
        <v>0</v>
      </c>
      <c r="F66" s="1793">
        <f t="shared" si="3"/>
        <v>0</v>
      </c>
      <c r="G66" s="1794">
        <f t="shared" si="4"/>
        <v>0</v>
      </c>
    </row>
    <row r="67" spans="1:7" x14ac:dyDescent="0.25">
      <c r="A67" s="1655"/>
      <c r="B67" s="1667"/>
      <c r="C67" s="1656"/>
      <c r="D67" s="1845"/>
      <c r="E67" s="1542">
        <f t="shared" si="2"/>
        <v>0</v>
      </c>
      <c r="F67" s="1793">
        <f t="shared" si="3"/>
        <v>0</v>
      </c>
      <c r="G67" s="1794">
        <f t="shared" si="4"/>
        <v>0</v>
      </c>
    </row>
    <row r="68" spans="1:7" x14ac:dyDescent="0.25">
      <c r="A68" s="1655"/>
      <c r="B68" s="1667"/>
      <c r="C68" s="1656"/>
      <c r="D68" s="1845"/>
      <c r="E68" s="1542">
        <f t="shared" si="2"/>
        <v>0</v>
      </c>
      <c r="F68" s="1793">
        <f t="shared" si="3"/>
        <v>0</v>
      </c>
      <c r="G68" s="1794">
        <f t="shared" si="4"/>
        <v>0</v>
      </c>
    </row>
    <row r="69" spans="1:7" x14ac:dyDescent="0.25">
      <c r="A69" s="1655"/>
      <c r="B69" s="1667"/>
      <c r="C69" s="1656"/>
      <c r="D69" s="1845"/>
      <c r="E69" s="1542">
        <f t="shared" si="2"/>
        <v>0</v>
      </c>
      <c r="F69" s="1793">
        <f t="shared" si="3"/>
        <v>0</v>
      </c>
      <c r="G69" s="1794">
        <f t="shared" si="4"/>
        <v>0</v>
      </c>
    </row>
    <row r="70" spans="1:7" x14ac:dyDescent="0.25">
      <c r="A70" s="1655"/>
      <c r="B70" s="1667"/>
      <c r="C70" s="1656"/>
      <c r="D70" s="1845"/>
      <c r="E70" s="1542">
        <f t="shared" si="2"/>
        <v>0</v>
      </c>
      <c r="F70" s="1793">
        <f t="shared" si="3"/>
        <v>0</v>
      </c>
      <c r="G70" s="1794">
        <f t="shared" si="4"/>
        <v>0</v>
      </c>
    </row>
    <row r="71" spans="1:7" x14ac:dyDescent="0.25">
      <c r="A71" s="1655"/>
      <c r="B71" s="1667"/>
      <c r="C71" s="1656"/>
      <c r="D71" s="1845"/>
      <c r="E71" s="1542">
        <f t="shared" si="2"/>
        <v>0</v>
      </c>
      <c r="F71" s="1793">
        <f t="shared" si="3"/>
        <v>0</v>
      </c>
      <c r="G71" s="1794">
        <f t="shared" si="4"/>
        <v>0</v>
      </c>
    </row>
    <row r="72" spans="1:7" x14ac:dyDescent="0.25">
      <c r="A72" s="1655"/>
      <c r="B72" s="1667"/>
      <c r="C72" s="1656"/>
      <c r="D72" s="1845"/>
      <c r="E72" s="1542">
        <f t="shared" si="2"/>
        <v>0</v>
      </c>
      <c r="F72" s="1793">
        <f t="shared" si="3"/>
        <v>0</v>
      </c>
      <c r="G72" s="1794">
        <f t="shared" si="4"/>
        <v>0</v>
      </c>
    </row>
    <row r="73" spans="1:7" x14ac:dyDescent="0.25">
      <c r="A73" s="1655"/>
      <c r="B73" s="1667"/>
      <c r="C73" s="1656"/>
      <c r="D73" s="1845"/>
      <c r="E73" s="1542">
        <f t="shared" ref="E73:E84" si="5">IF(D73&lt;=25000,D73,IF(D73&gt;25000,25000,0))</f>
        <v>0</v>
      </c>
      <c r="F73" s="179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4">
        <f t="shared" ref="G73:G84" si="7">IF(F73=0,0,D73-F73)</f>
        <v>0</v>
      </c>
    </row>
    <row r="74" spans="1:7" x14ac:dyDescent="0.25">
      <c r="A74" s="1655"/>
      <c r="B74" s="1667"/>
      <c r="C74" s="1656"/>
      <c r="D74" s="1845"/>
      <c r="E74" s="1542">
        <f t="shared" si="5"/>
        <v>0</v>
      </c>
      <c r="F74" s="1793">
        <f t="shared" si="6"/>
        <v>0</v>
      </c>
      <c r="G74" s="1794">
        <f t="shared" si="7"/>
        <v>0</v>
      </c>
    </row>
    <row r="75" spans="1:7" x14ac:dyDescent="0.25">
      <c r="A75" s="1655"/>
      <c r="B75" s="1667"/>
      <c r="C75" s="1656"/>
      <c r="D75" s="1845"/>
      <c r="E75" s="1542">
        <f t="shared" si="5"/>
        <v>0</v>
      </c>
      <c r="F75" s="1793">
        <f t="shared" si="6"/>
        <v>0</v>
      </c>
      <c r="G75" s="1794">
        <f t="shared" si="7"/>
        <v>0</v>
      </c>
    </row>
    <row r="76" spans="1:7" x14ac:dyDescent="0.25">
      <c r="A76" s="1655"/>
      <c r="B76" s="1667"/>
      <c r="C76" s="1656"/>
      <c r="D76" s="1845"/>
      <c r="E76" s="1542">
        <f t="shared" si="5"/>
        <v>0</v>
      </c>
      <c r="F76" s="1793">
        <f t="shared" si="6"/>
        <v>0</v>
      </c>
      <c r="G76" s="1794">
        <f t="shared" si="7"/>
        <v>0</v>
      </c>
    </row>
    <row r="77" spans="1:7" x14ac:dyDescent="0.25">
      <c r="A77" s="1655"/>
      <c r="B77" s="1667"/>
      <c r="C77" s="1656"/>
      <c r="D77" s="1845"/>
      <c r="E77" s="1542">
        <f t="shared" si="5"/>
        <v>0</v>
      </c>
      <c r="F77" s="1793">
        <f t="shared" si="6"/>
        <v>0</v>
      </c>
      <c r="G77" s="1794">
        <f t="shared" si="7"/>
        <v>0</v>
      </c>
    </row>
    <row r="78" spans="1:7" x14ac:dyDescent="0.25">
      <c r="A78" s="1655"/>
      <c r="B78" s="1667"/>
      <c r="C78" s="1656"/>
      <c r="D78" s="1845"/>
      <c r="E78" s="1542">
        <f t="shared" si="5"/>
        <v>0</v>
      </c>
      <c r="F78" s="1793">
        <f t="shared" si="6"/>
        <v>0</v>
      </c>
      <c r="G78" s="1794">
        <f t="shared" si="7"/>
        <v>0</v>
      </c>
    </row>
    <row r="79" spans="1:7" x14ac:dyDescent="0.25">
      <c r="A79" s="1655"/>
      <c r="B79" s="1667"/>
      <c r="C79" s="1656"/>
      <c r="D79" s="1845"/>
      <c r="E79" s="1542">
        <f t="shared" si="5"/>
        <v>0</v>
      </c>
      <c r="F79" s="1793">
        <f t="shared" si="6"/>
        <v>0</v>
      </c>
      <c r="G79" s="1794">
        <f t="shared" si="7"/>
        <v>0</v>
      </c>
    </row>
    <row r="80" spans="1:7" x14ac:dyDescent="0.25">
      <c r="A80" s="1655"/>
      <c r="B80" s="1667"/>
      <c r="C80" s="1656"/>
      <c r="D80" s="1845"/>
      <c r="E80" s="1542">
        <f t="shared" si="5"/>
        <v>0</v>
      </c>
      <c r="F80" s="1793">
        <f t="shared" si="6"/>
        <v>0</v>
      </c>
      <c r="G80" s="1794">
        <f t="shared" si="7"/>
        <v>0</v>
      </c>
    </row>
    <row r="81" spans="1:7" x14ac:dyDescent="0.25">
      <c r="A81" s="1655"/>
      <c r="B81" s="1667"/>
      <c r="C81" s="1656"/>
      <c r="D81" s="1845"/>
      <c r="E81" s="1542">
        <f t="shared" si="5"/>
        <v>0</v>
      </c>
      <c r="F81" s="1793">
        <f t="shared" si="6"/>
        <v>0</v>
      </c>
      <c r="G81" s="1794">
        <f t="shared" si="7"/>
        <v>0</v>
      </c>
    </row>
    <row r="82" spans="1:7" x14ac:dyDescent="0.25">
      <c r="A82" s="1655"/>
      <c r="B82" s="1667"/>
      <c r="C82" s="1656"/>
      <c r="D82" s="1845"/>
      <c r="E82" s="1542">
        <f t="shared" si="5"/>
        <v>0</v>
      </c>
      <c r="F82" s="1793">
        <f t="shared" si="6"/>
        <v>0</v>
      </c>
      <c r="G82" s="1794">
        <f t="shared" si="7"/>
        <v>0</v>
      </c>
    </row>
    <row r="83" spans="1:7" x14ac:dyDescent="0.25">
      <c r="A83" s="1655"/>
      <c r="B83" s="1667"/>
      <c r="C83" s="1656"/>
      <c r="D83" s="1845"/>
      <c r="E83" s="1542">
        <f t="shared" si="5"/>
        <v>0</v>
      </c>
      <c r="F83" s="1793">
        <f t="shared" si="6"/>
        <v>0</v>
      </c>
      <c r="G83" s="1794">
        <f t="shared" si="7"/>
        <v>0</v>
      </c>
    </row>
    <row r="84" spans="1:7" x14ac:dyDescent="0.25">
      <c r="A84" s="1655"/>
      <c r="B84" s="1667"/>
      <c r="C84" s="1656"/>
      <c r="D84" s="1845"/>
      <c r="E84" s="1542">
        <f t="shared" si="5"/>
        <v>0</v>
      </c>
      <c r="F84" s="1793">
        <f t="shared" si="6"/>
        <v>0</v>
      </c>
      <c r="G84" s="1794">
        <f t="shared" si="7"/>
        <v>0</v>
      </c>
    </row>
    <row r="85" spans="1:7" x14ac:dyDescent="0.25">
      <c r="A85" s="1655"/>
      <c r="B85" s="1667"/>
      <c r="C85" s="1656"/>
      <c r="D85" s="1845"/>
      <c r="E85" s="1542">
        <f t="shared" si="2"/>
        <v>0</v>
      </c>
      <c r="F85" s="1793">
        <f t="shared" si="3"/>
        <v>0</v>
      </c>
      <c r="G85" s="1794">
        <f t="shared" si="4"/>
        <v>0</v>
      </c>
    </row>
    <row r="86" spans="1:7" x14ac:dyDescent="0.25">
      <c r="A86" s="1655"/>
      <c r="B86" s="1667"/>
      <c r="C86" s="1656"/>
      <c r="D86" s="1845"/>
      <c r="E86" s="1542">
        <f t="shared" si="2"/>
        <v>0</v>
      </c>
      <c r="F86" s="1793">
        <f t="shared" si="3"/>
        <v>0</v>
      </c>
      <c r="G86" s="1794">
        <f t="shared" si="4"/>
        <v>0</v>
      </c>
    </row>
    <row r="87" spans="1:7" x14ac:dyDescent="0.25">
      <c r="A87" s="1655"/>
      <c r="B87" s="1667"/>
      <c r="C87" s="1656"/>
      <c r="D87" s="1845"/>
      <c r="E87" s="1542">
        <f t="shared" si="2"/>
        <v>0</v>
      </c>
      <c r="F87" s="1793">
        <f t="shared" si="3"/>
        <v>0</v>
      </c>
      <c r="G87" s="1794">
        <f t="shared" si="4"/>
        <v>0</v>
      </c>
    </row>
    <row r="88" spans="1:7" x14ac:dyDescent="0.25">
      <c r="A88" s="1655"/>
      <c r="B88" s="1667"/>
      <c r="C88" s="1656"/>
      <c r="D88" s="1845"/>
      <c r="E88" s="1542">
        <f t="shared" si="2"/>
        <v>0</v>
      </c>
      <c r="F88" s="1793">
        <f t="shared" si="3"/>
        <v>0</v>
      </c>
      <c r="G88" s="1794">
        <f t="shared" si="4"/>
        <v>0</v>
      </c>
    </row>
    <row r="89" spans="1:7" x14ac:dyDescent="0.25">
      <c r="A89" s="1655"/>
      <c r="B89" s="1667"/>
      <c r="C89" s="1656"/>
      <c r="D89" s="1845"/>
      <c r="E89" s="1542">
        <f t="shared" si="2"/>
        <v>0</v>
      </c>
      <c r="F89" s="1793">
        <f t="shared" si="3"/>
        <v>0</v>
      </c>
      <c r="G89" s="1794">
        <f t="shared" si="4"/>
        <v>0</v>
      </c>
    </row>
    <row r="90" spans="1:7" x14ac:dyDescent="0.25">
      <c r="A90" s="1655"/>
      <c r="B90" s="1667"/>
      <c r="C90" s="1656"/>
      <c r="D90" s="1845"/>
      <c r="E90" s="1542">
        <f t="shared" si="2"/>
        <v>0</v>
      </c>
      <c r="F90" s="1793">
        <f t="shared" si="3"/>
        <v>0</v>
      </c>
      <c r="G90" s="1794">
        <f t="shared" si="4"/>
        <v>0</v>
      </c>
    </row>
    <row r="91" spans="1:7" x14ac:dyDescent="0.25">
      <c r="A91" s="1655"/>
      <c r="B91" s="1667"/>
      <c r="C91" s="1656"/>
      <c r="D91" s="1845"/>
      <c r="E91" s="1542">
        <f t="shared" si="2"/>
        <v>0</v>
      </c>
      <c r="F91" s="1793">
        <f t="shared" si="3"/>
        <v>0</v>
      </c>
      <c r="G91" s="1794">
        <f t="shared" si="4"/>
        <v>0</v>
      </c>
    </row>
    <row r="92" spans="1:7" x14ac:dyDescent="0.25">
      <c r="A92" s="1655"/>
      <c r="B92" s="1667"/>
      <c r="C92" s="1656"/>
      <c r="D92" s="1845"/>
      <c r="E92" s="1542">
        <f t="shared" si="2"/>
        <v>0</v>
      </c>
      <c r="F92" s="1793">
        <f t="shared" si="3"/>
        <v>0</v>
      </c>
      <c r="G92" s="1794">
        <f t="shared" si="4"/>
        <v>0</v>
      </c>
    </row>
    <row r="93" spans="1:7" x14ac:dyDescent="0.25">
      <c r="A93" s="1655"/>
      <c r="B93" s="1667"/>
      <c r="C93" s="1656"/>
      <c r="D93" s="1845"/>
      <c r="E93" s="1542">
        <f t="shared" ref="E93" si="8">IF(D93&lt;=25000,D93,IF(D93&gt;25000,25000,0))</f>
        <v>0</v>
      </c>
      <c r="F93" s="179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4">
        <f t="shared" ref="G93" si="10">IF(F93=0,0,D93-F93)</f>
        <v>0</v>
      </c>
    </row>
    <row r="94" spans="1:7" x14ac:dyDescent="0.25">
      <c r="A94" s="1655"/>
      <c r="B94" s="1667"/>
      <c r="C94" s="1656"/>
      <c r="D94" s="1845"/>
      <c r="E94" s="1542">
        <f t="shared" si="2"/>
        <v>0</v>
      </c>
      <c r="F94" s="1793">
        <f t="shared" si="3"/>
        <v>0</v>
      </c>
      <c r="G94" s="1794">
        <f t="shared" si="4"/>
        <v>0</v>
      </c>
    </row>
    <row r="95" spans="1:7" x14ac:dyDescent="0.25">
      <c r="A95" s="1655"/>
      <c r="B95" s="1667"/>
      <c r="C95" s="1656"/>
      <c r="D95" s="1845"/>
      <c r="E95" s="1542">
        <f t="shared" ref="E95:E98" si="11">IF(D95&lt;=25000,D95,IF(D95&gt;25000,25000,0))</f>
        <v>0</v>
      </c>
      <c r="F95" s="179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4">
        <f t="shared" ref="G95:G98" si="13">IF(F95=0,0,D95-F95)</f>
        <v>0</v>
      </c>
    </row>
    <row r="96" spans="1:7" x14ac:dyDescent="0.25">
      <c r="A96" s="1655"/>
      <c r="B96" s="1667"/>
      <c r="C96" s="1656"/>
      <c r="D96" s="1845"/>
      <c r="E96" s="1542">
        <f t="shared" si="11"/>
        <v>0</v>
      </c>
      <c r="F96" s="1793">
        <f t="shared" si="12"/>
        <v>0</v>
      </c>
      <c r="G96" s="1794">
        <f t="shared" si="13"/>
        <v>0</v>
      </c>
    </row>
    <row r="97" spans="1:7" x14ac:dyDescent="0.25">
      <c r="A97" s="1655"/>
      <c r="B97" s="1667"/>
      <c r="C97" s="1656"/>
      <c r="D97" s="1845"/>
      <c r="E97" s="1542">
        <f t="shared" si="11"/>
        <v>0</v>
      </c>
      <c r="F97" s="1793">
        <f t="shared" si="12"/>
        <v>0</v>
      </c>
      <c r="G97" s="1794">
        <f t="shared" si="13"/>
        <v>0</v>
      </c>
    </row>
    <row r="98" spans="1:7" x14ac:dyDescent="0.25">
      <c r="A98" s="1655"/>
      <c r="B98" s="1667"/>
      <c r="C98" s="1656"/>
      <c r="D98" s="1845"/>
      <c r="E98" s="1542">
        <f t="shared" si="11"/>
        <v>0</v>
      </c>
      <c r="F98" s="1793">
        <f t="shared" si="12"/>
        <v>0</v>
      </c>
      <c r="G98" s="1794">
        <f t="shared" si="13"/>
        <v>0</v>
      </c>
    </row>
    <row r="99" spans="1:7" x14ac:dyDescent="0.25">
      <c r="A99" s="1655"/>
      <c r="B99" s="1667"/>
      <c r="C99" s="1656"/>
      <c r="D99" s="1845"/>
      <c r="E99" s="1542">
        <f t="shared" ref="E99" si="14">IF(D99&lt;=25000,D99,IF(D99&gt;25000,25000,0))</f>
        <v>0</v>
      </c>
      <c r="F99" s="179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4">
        <f t="shared" ref="G99" si="16">IF(F99=0,0,D99-F99)</f>
        <v>0</v>
      </c>
    </row>
    <row r="100" spans="1:7" x14ac:dyDescent="0.25">
      <c r="A100" s="1655"/>
      <c r="B100" s="1667"/>
      <c r="C100" s="1656"/>
      <c r="D100" s="1845"/>
      <c r="E100" s="1542">
        <f t="shared" ref="E100:E112" si="17">IF(D100&lt;=25000,D100,IF(D100&gt;25000,25000,0))</f>
        <v>0</v>
      </c>
      <c r="F100" s="179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4">
        <f t="shared" ref="G100:G112" si="19">IF(F100=0,0,D100-F100)</f>
        <v>0</v>
      </c>
    </row>
    <row r="101" spans="1:7" x14ac:dyDescent="0.25">
      <c r="A101" s="1655"/>
      <c r="B101" s="1667"/>
      <c r="C101" s="1656"/>
      <c r="D101" s="1845"/>
      <c r="E101" s="1542">
        <f t="shared" si="17"/>
        <v>0</v>
      </c>
      <c r="F101" s="1793">
        <f t="shared" si="18"/>
        <v>0</v>
      </c>
      <c r="G101" s="1794">
        <f t="shared" si="19"/>
        <v>0</v>
      </c>
    </row>
    <row r="102" spans="1:7" x14ac:dyDescent="0.25">
      <c r="A102" s="1655"/>
      <c r="B102" s="1667"/>
      <c r="C102" s="1656"/>
      <c r="D102" s="1845"/>
      <c r="E102" s="1542">
        <f t="shared" si="17"/>
        <v>0</v>
      </c>
      <c r="F102" s="1793">
        <f t="shared" si="18"/>
        <v>0</v>
      </c>
      <c r="G102" s="1794">
        <f t="shared" si="19"/>
        <v>0</v>
      </c>
    </row>
    <row r="103" spans="1:7" x14ac:dyDescent="0.25">
      <c r="A103" s="1655"/>
      <c r="B103" s="1667"/>
      <c r="C103" s="1656"/>
      <c r="D103" s="1845"/>
      <c r="E103" s="1542">
        <f t="shared" si="17"/>
        <v>0</v>
      </c>
      <c r="F103" s="1793">
        <f t="shared" si="18"/>
        <v>0</v>
      </c>
      <c r="G103" s="1794">
        <f t="shared" si="19"/>
        <v>0</v>
      </c>
    </row>
    <row r="104" spans="1:7" x14ac:dyDescent="0.25">
      <c r="A104" s="1655"/>
      <c r="B104" s="1667"/>
      <c r="C104" s="1656"/>
      <c r="D104" s="1845"/>
      <c r="E104" s="1542">
        <f t="shared" si="17"/>
        <v>0</v>
      </c>
      <c r="F104" s="1793">
        <f t="shared" si="18"/>
        <v>0</v>
      </c>
      <c r="G104" s="1794">
        <f t="shared" si="19"/>
        <v>0</v>
      </c>
    </row>
    <row r="105" spans="1:7" x14ac:dyDescent="0.25">
      <c r="A105" s="1655"/>
      <c r="B105" s="1667"/>
      <c r="C105" s="1656"/>
      <c r="D105" s="1845"/>
      <c r="E105" s="1542">
        <f t="shared" si="17"/>
        <v>0</v>
      </c>
      <c r="F105" s="1793">
        <f t="shared" si="18"/>
        <v>0</v>
      </c>
      <c r="G105" s="1794">
        <f t="shared" si="19"/>
        <v>0</v>
      </c>
    </row>
    <row r="106" spans="1:7" x14ac:dyDescent="0.25">
      <c r="A106" s="1655"/>
      <c r="B106" s="1667"/>
      <c r="C106" s="1656"/>
      <c r="D106" s="1845"/>
      <c r="E106" s="1542">
        <f t="shared" si="17"/>
        <v>0</v>
      </c>
      <c r="F106" s="1793">
        <f t="shared" si="18"/>
        <v>0</v>
      </c>
      <c r="G106" s="1794">
        <f t="shared" si="19"/>
        <v>0</v>
      </c>
    </row>
    <row r="107" spans="1:7" x14ac:dyDescent="0.25">
      <c r="A107" s="1655"/>
      <c r="B107" s="1667"/>
      <c r="C107" s="1656"/>
      <c r="D107" s="1845"/>
      <c r="E107" s="1542">
        <f t="shared" si="17"/>
        <v>0</v>
      </c>
      <c r="F107" s="1793">
        <f t="shared" si="18"/>
        <v>0</v>
      </c>
      <c r="G107" s="1794">
        <f t="shared" si="19"/>
        <v>0</v>
      </c>
    </row>
    <row r="108" spans="1:7" x14ac:dyDescent="0.25">
      <c r="A108" s="1655"/>
      <c r="B108" s="1667"/>
      <c r="C108" s="1656"/>
      <c r="D108" s="1845"/>
      <c r="E108" s="1542">
        <f t="shared" si="17"/>
        <v>0</v>
      </c>
      <c r="F108" s="1793">
        <f t="shared" si="18"/>
        <v>0</v>
      </c>
      <c r="G108" s="1794">
        <f t="shared" si="19"/>
        <v>0</v>
      </c>
    </row>
    <row r="109" spans="1:7" x14ac:dyDescent="0.25">
      <c r="A109" s="1655"/>
      <c r="B109" s="1667"/>
      <c r="C109" s="1656"/>
      <c r="D109" s="1845"/>
      <c r="E109" s="1542">
        <f t="shared" si="17"/>
        <v>0</v>
      </c>
      <c r="F109" s="1793">
        <f t="shared" si="18"/>
        <v>0</v>
      </c>
      <c r="G109" s="1794">
        <f t="shared" si="19"/>
        <v>0</v>
      </c>
    </row>
    <row r="110" spans="1:7" x14ac:dyDescent="0.25">
      <c r="A110" s="1655"/>
      <c r="B110" s="1667"/>
      <c r="C110" s="1656"/>
      <c r="D110" s="1845"/>
      <c r="E110" s="1542">
        <f t="shared" si="17"/>
        <v>0</v>
      </c>
      <c r="F110" s="1793">
        <f t="shared" si="18"/>
        <v>0</v>
      </c>
      <c r="G110" s="1794">
        <f t="shared" si="19"/>
        <v>0</v>
      </c>
    </row>
    <row r="111" spans="1:7" x14ac:dyDescent="0.25">
      <c r="A111" s="1655"/>
      <c r="B111" s="1667"/>
      <c r="C111" s="1656"/>
      <c r="D111" s="1845"/>
      <c r="E111" s="1542">
        <f t="shared" si="17"/>
        <v>0</v>
      </c>
      <c r="F111" s="1793">
        <f t="shared" si="18"/>
        <v>0</v>
      </c>
      <c r="G111" s="1794">
        <f t="shared" si="19"/>
        <v>0</v>
      </c>
    </row>
    <row r="112" spans="1:7" x14ac:dyDescent="0.25">
      <c r="A112" s="1655"/>
      <c r="B112" s="1667"/>
      <c r="C112" s="1656"/>
      <c r="D112" s="1845"/>
      <c r="E112" s="1542">
        <f t="shared" si="17"/>
        <v>0</v>
      </c>
      <c r="F112" s="1793">
        <f t="shared" si="18"/>
        <v>0</v>
      </c>
      <c r="G112" s="1794">
        <f t="shared" si="19"/>
        <v>0</v>
      </c>
    </row>
    <row r="113" spans="1:7" x14ac:dyDescent="0.25">
      <c r="A113" s="1655"/>
      <c r="B113" s="1667"/>
      <c r="C113" s="1656"/>
      <c r="D113" s="1845"/>
      <c r="E113" s="1542">
        <f t="shared" ref="E113:E125" si="20">IF(D113&lt;=25000,D113,IF(D113&gt;25000,25000,0))</f>
        <v>0</v>
      </c>
      <c r="F113" s="179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4">
        <f t="shared" ref="G113:G125" si="22">IF(F113=0,0,D113-F113)</f>
        <v>0</v>
      </c>
    </row>
    <row r="114" spans="1:7" x14ac:dyDescent="0.25">
      <c r="A114" s="1655"/>
      <c r="B114" s="1667"/>
      <c r="C114" s="1656"/>
      <c r="D114" s="1845"/>
      <c r="E114" s="1542">
        <f t="shared" si="20"/>
        <v>0</v>
      </c>
      <c r="F114" s="1793">
        <f t="shared" si="21"/>
        <v>0</v>
      </c>
      <c r="G114" s="1794">
        <f t="shared" si="22"/>
        <v>0</v>
      </c>
    </row>
    <row r="115" spans="1:7" x14ac:dyDescent="0.25">
      <c r="A115" s="1655"/>
      <c r="B115" s="1667"/>
      <c r="C115" s="1656"/>
      <c r="D115" s="1845"/>
      <c r="E115" s="1542">
        <f t="shared" si="20"/>
        <v>0</v>
      </c>
      <c r="F115" s="1793">
        <f t="shared" si="21"/>
        <v>0</v>
      </c>
      <c r="G115" s="1794">
        <f t="shared" si="22"/>
        <v>0</v>
      </c>
    </row>
    <row r="116" spans="1:7" x14ac:dyDescent="0.25">
      <c r="A116" s="1655"/>
      <c r="B116" s="1667"/>
      <c r="C116" s="1656"/>
      <c r="D116" s="1845"/>
      <c r="E116" s="1542">
        <f t="shared" si="20"/>
        <v>0</v>
      </c>
      <c r="F116" s="1793">
        <f t="shared" si="21"/>
        <v>0</v>
      </c>
      <c r="G116" s="1794">
        <f t="shared" si="22"/>
        <v>0</v>
      </c>
    </row>
    <row r="117" spans="1:7" x14ac:dyDescent="0.25">
      <c r="A117" s="1655"/>
      <c r="B117" s="1667"/>
      <c r="C117" s="1656"/>
      <c r="D117" s="1845"/>
      <c r="E117" s="1542">
        <f t="shared" si="20"/>
        <v>0</v>
      </c>
      <c r="F117" s="1793">
        <f t="shared" si="21"/>
        <v>0</v>
      </c>
      <c r="G117" s="1794">
        <f t="shared" si="22"/>
        <v>0</v>
      </c>
    </row>
    <row r="118" spans="1:7" x14ac:dyDescent="0.25">
      <c r="A118" s="1655"/>
      <c r="B118" s="1667"/>
      <c r="C118" s="1656"/>
      <c r="D118" s="1845"/>
      <c r="E118" s="1542">
        <f t="shared" si="20"/>
        <v>0</v>
      </c>
      <c r="F118" s="1793">
        <f t="shared" si="21"/>
        <v>0</v>
      </c>
      <c r="G118" s="1794">
        <f t="shared" si="22"/>
        <v>0</v>
      </c>
    </row>
    <row r="119" spans="1:7" x14ac:dyDescent="0.25">
      <c r="A119" s="1655"/>
      <c r="B119" s="1667"/>
      <c r="C119" s="1656"/>
      <c r="D119" s="1845"/>
      <c r="E119" s="1542">
        <f t="shared" si="20"/>
        <v>0</v>
      </c>
      <c r="F119" s="1793">
        <f t="shared" si="21"/>
        <v>0</v>
      </c>
      <c r="G119" s="1794">
        <f t="shared" si="22"/>
        <v>0</v>
      </c>
    </row>
    <row r="120" spans="1:7" x14ac:dyDescent="0.25">
      <c r="A120" s="1655"/>
      <c r="B120" s="1667"/>
      <c r="C120" s="1656"/>
      <c r="D120" s="1845"/>
      <c r="E120" s="1542">
        <f t="shared" si="20"/>
        <v>0</v>
      </c>
      <c r="F120" s="1793">
        <f t="shared" si="21"/>
        <v>0</v>
      </c>
      <c r="G120" s="1794">
        <f t="shared" si="22"/>
        <v>0</v>
      </c>
    </row>
    <row r="121" spans="1:7" x14ac:dyDescent="0.25">
      <c r="A121" s="1655"/>
      <c r="B121" s="1667"/>
      <c r="C121" s="1656"/>
      <c r="D121" s="1845"/>
      <c r="E121" s="1542">
        <f t="shared" si="20"/>
        <v>0</v>
      </c>
      <c r="F121" s="1793">
        <f t="shared" si="21"/>
        <v>0</v>
      </c>
      <c r="G121" s="1794">
        <f t="shared" si="22"/>
        <v>0</v>
      </c>
    </row>
    <row r="122" spans="1:7" x14ac:dyDescent="0.25">
      <c r="A122" s="1655"/>
      <c r="B122" s="1667"/>
      <c r="C122" s="1656"/>
      <c r="D122" s="1845"/>
      <c r="E122" s="1542">
        <f t="shared" si="20"/>
        <v>0</v>
      </c>
      <c r="F122" s="1793">
        <f t="shared" si="21"/>
        <v>0</v>
      </c>
      <c r="G122" s="1794">
        <f t="shared" si="22"/>
        <v>0</v>
      </c>
    </row>
    <row r="123" spans="1:7" x14ac:dyDescent="0.25">
      <c r="A123" s="1655"/>
      <c r="B123" s="1667"/>
      <c r="C123" s="1656"/>
      <c r="D123" s="1845"/>
      <c r="E123" s="1542">
        <f t="shared" si="20"/>
        <v>0</v>
      </c>
      <c r="F123" s="1793">
        <f t="shared" si="21"/>
        <v>0</v>
      </c>
      <c r="G123" s="1794">
        <f t="shared" si="22"/>
        <v>0</v>
      </c>
    </row>
    <row r="124" spans="1:7" x14ac:dyDescent="0.25">
      <c r="A124" s="1655"/>
      <c r="B124" s="1667"/>
      <c r="C124" s="1656"/>
      <c r="D124" s="1845"/>
      <c r="E124" s="1542">
        <f t="shared" si="20"/>
        <v>0</v>
      </c>
      <c r="F124" s="1793">
        <f t="shared" si="21"/>
        <v>0</v>
      </c>
      <c r="G124" s="1794">
        <f t="shared" si="22"/>
        <v>0</v>
      </c>
    </row>
    <row r="125" spans="1:7" x14ac:dyDescent="0.25">
      <c r="A125" s="1655"/>
      <c r="B125" s="1667"/>
      <c r="C125" s="1656"/>
      <c r="D125" s="1845"/>
      <c r="E125" s="1542">
        <f t="shared" si="20"/>
        <v>0</v>
      </c>
      <c r="F125" s="1793">
        <f t="shared" si="21"/>
        <v>0</v>
      </c>
      <c r="G125" s="1794">
        <f t="shared" si="22"/>
        <v>0</v>
      </c>
    </row>
    <row r="126" spans="1:7" x14ac:dyDescent="0.25">
      <c r="A126" s="1655"/>
      <c r="B126" s="1667"/>
      <c r="C126" s="1656"/>
      <c r="D126" s="1845"/>
      <c r="E126" s="1542">
        <f t="shared" ref="E126:E134" si="23">IF(D126&lt;=25000,D126,IF(D126&gt;25000,25000,0))</f>
        <v>0</v>
      </c>
      <c r="F126" s="179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4">
        <f t="shared" ref="G126:G134" si="25">IF(F126=0,0,D126-F126)</f>
        <v>0</v>
      </c>
    </row>
    <row r="127" spans="1:7" x14ac:dyDescent="0.25">
      <c r="A127" s="1655"/>
      <c r="B127" s="1667"/>
      <c r="C127" s="1656"/>
      <c r="D127" s="1845"/>
      <c r="E127" s="1542">
        <f t="shared" si="23"/>
        <v>0</v>
      </c>
      <c r="F127" s="1793">
        <f t="shared" si="24"/>
        <v>0</v>
      </c>
      <c r="G127" s="1794">
        <f t="shared" si="25"/>
        <v>0</v>
      </c>
    </row>
    <row r="128" spans="1:7" x14ac:dyDescent="0.25">
      <c r="A128" s="1655"/>
      <c r="B128" s="1667"/>
      <c r="C128" s="1656"/>
      <c r="D128" s="1845"/>
      <c r="E128" s="1542">
        <f t="shared" si="23"/>
        <v>0</v>
      </c>
      <c r="F128" s="1793">
        <f t="shared" si="24"/>
        <v>0</v>
      </c>
      <c r="G128" s="1794">
        <f t="shared" si="25"/>
        <v>0</v>
      </c>
    </row>
    <row r="129" spans="1:7" x14ac:dyDescent="0.25">
      <c r="A129" s="1655"/>
      <c r="B129" s="1667"/>
      <c r="C129" s="1656"/>
      <c r="D129" s="1845"/>
      <c r="E129" s="1542">
        <f t="shared" si="23"/>
        <v>0</v>
      </c>
      <c r="F129" s="1793">
        <f t="shared" si="24"/>
        <v>0</v>
      </c>
      <c r="G129" s="1794">
        <f t="shared" si="25"/>
        <v>0</v>
      </c>
    </row>
    <row r="130" spans="1:7" x14ac:dyDescent="0.25">
      <c r="A130" s="1655"/>
      <c r="B130" s="1667"/>
      <c r="C130" s="1656"/>
      <c r="D130" s="1845"/>
      <c r="E130" s="1542">
        <f t="shared" si="23"/>
        <v>0</v>
      </c>
      <c r="F130" s="1793">
        <f t="shared" si="24"/>
        <v>0</v>
      </c>
      <c r="G130" s="1794">
        <f t="shared" si="25"/>
        <v>0</v>
      </c>
    </row>
    <row r="131" spans="1:7" x14ac:dyDescent="0.25">
      <c r="A131" s="1655"/>
      <c r="B131" s="1838"/>
      <c r="C131" s="1656"/>
      <c r="D131" s="1845"/>
      <c r="E131" s="1542">
        <f t="shared" si="23"/>
        <v>0</v>
      </c>
      <c r="F131" s="1793">
        <f t="shared" si="24"/>
        <v>0</v>
      </c>
      <c r="G131" s="1794">
        <f t="shared" si="25"/>
        <v>0</v>
      </c>
    </row>
    <row r="132" spans="1:7" x14ac:dyDescent="0.25">
      <c r="A132" s="1655"/>
      <c r="B132" s="1838"/>
      <c r="C132" s="1656"/>
      <c r="D132" s="1845"/>
      <c r="E132" s="1542">
        <f t="shared" si="23"/>
        <v>0</v>
      </c>
      <c r="F132" s="1793">
        <f t="shared" si="24"/>
        <v>0</v>
      </c>
      <c r="G132" s="1794">
        <f t="shared" si="25"/>
        <v>0</v>
      </c>
    </row>
    <row r="133" spans="1:7" x14ac:dyDescent="0.25">
      <c r="A133" s="1655"/>
      <c r="B133" s="1667"/>
      <c r="C133" s="1656"/>
      <c r="D133" s="1845"/>
      <c r="E133" s="1542">
        <f t="shared" si="23"/>
        <v>0</v>
      </c>
      <c r="F133" s="1793">
        <f t="shared" si="24"/>
        <v>0</v>
      </c>
      <c r="G133" s="1794">
        <f t="shared" si="25"/>
        <v>0</v>
      </c>
    </row>
    <row r="134" spans="1:7" x14ac:dyDescent="0.25">
      <c r="A134" s="1655"/>
      <c r="B134" s="1667"/>
      <c r="C134" s="1656"/>
      <c r="D134" s="1845"/>
      <c r="E134" s="1542">
        <f t="shared" si="23"/>
        <v>0</v>
      </c>
      <c r="F134" s="1793">
        <f t="shared" si="24"/>
        <v>0</v>
      </c>
      <c r="G134" s="1794">
        <f t="shared" si="25"/>
        <v>0</v>
      </c>
    </row>
    <row r="135" spans="1:7" x14ac:dyDescent="0.25">
      <c r="A135" s="1655"/>
      <c r="B135" s="1667"/>
      <c r="C135" s="1656"/>
      <c r="D135" s="1845"/>
      <c r="E135" s="1542">
        <f t="shared" ref="E135:E139" si="26">IF(D135&lt;=25000,D135,IF(D135&gt;25000,25000,0))</f>
        <v>0</v>
      </c>
      <c r="F135" s="179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4">
        <f t="shared" ref="G135:G139" si="28">IF(F135=0,0,D135-F135)</f>
        <v>0</v>
      </c>
    </row>
    <row r="136" spans="1:7" x14ac:dyDescent="0.25">
      <c r="A136" s="1655"/>
      <c r="B136" s="1667"/>
      <c r="C136" s="1656"/>
      <c r="D136" s="1845"/>
      <c r="E136" s="1542">
        <f t="shared" si="26"/>
        <v>0</v>
      </c>
      <c r="F136" s="1793">
        <f t="shared" si="27"/>
        <v>0</v>
      </c>
      <c r="G136" s="1794">
        <f t="shared" si="28"/>
        <v>0</v>
      </c>
    </row>
    <row r="137" spans="1:7" x14ac:dyDescent="0.25">
      <c r="A137" s="1655"/>
      <c r="B137" s="1667"/>
      <c r="C137" s="1656"/>
      <c r="D137" s="1845"/>
      <c r="E137" s="1542">
        <f t="shared" si="26"/>
        <v>0</v>
      </c>
      <c r="F137" s="1793">
        <f t="shared" si="27"/>
        <v>0</v>
      </c>
      <c r="G137" s="1794">
        <f t="shared" si="28"/>
        <v>0</v>
      </c>
    </row>
    <row r="138" spans="1:7" x14ac:dyDescent="0.25">
      <c r="A138" s="1655"/>
      <c r="B138" s="1667"/>
      <c r="C138" s="1656"/>
      <c r="D138" s="1845"/>
      <c r="E138" s="1542">
        <f t="shared" si="26"/>
        <v>0</v>
      </c>
      <c r="F138" s="1793">
        <f t="shared" si="27"/>
        <v>0</v>
      </c>
      <c r="G138" s="1794">
        <f t="shared" si="28"/>
        <v>0</v>
      </c>
    </row>
    <row r="139" spans="1:7" x14ac:dyDescent="0.25">
      <c r="A139" s="1655"/>
      <c r="B139" s="1667"/>
      <c r="C139" s="1656"/>
      <c r="D139" s="1845"/>
      <c r="E139" s="1542">
        <f t="shared" si="26"/>
        <v>0</v>
      </c>
      <c r="F139" s="1793">
        <f t="shared" si="27"/>
        <v>0</v>
      </c>
      <c r="G139" s="1794">
        <f t="shared" si="28"/>
        <v>0</v>
      </c>
    </row>
    <row r="140" spans="1:7" x14ac:dyDescent="0.25">
      <c r="A140" s="1655"/>
      <c r="B140" s="1666"/>
      <c r="C140" s="1656"/>
      <c r="D140" s="1845"/>
      <c r="E140" s="1542">
        <f t="shared" si="2"/>
        <v>0</v>
      </c>
      <c r="F140" s="1793">
        <f t="shared" si="3"/>
        <v>0</v>
      </c>
      <c r="G140" s="1794">
        <f t="shared" si="4"/>
        <v>0</v>
      </c>
    </row>
    <row r="141" spans="1:7" x14ac:dyDescent="0.25">
      <c r="A141" s="1797" t="s">
        <v>158</v>
      </c>
      <c r="B141" s="1798"/>
      <c r="C141" s="1799"/>
      <c r="D141" s="1795">
        <f>SUM(D17:D140)</f>
        <v>396261.63</v>
      </c>
      <c r="E141" s="1543">
        <f t="shared" si="1"/>
        <v>25000</v>
      </c>
      <c r="F141" s="1795">
        <f>SUM(F17:F140)</f>
        <v>281831.63</v>
      </c>
      <c r="G141" s="1796">
        <f>SUM(G17:G140)</f>
        <v>114430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6" t="s">
        <v>1177</v>
      </c>
      <c r="B1" s="1637"/>
      <c r="C1" s="1638"/>
    </row>
    <row r="2" spans="1:9" x14ac:dyDescent="0.2">
      <c r="A2" s="933" t="s">
        <v>1178</v>
      </c>
      <c r="B2" s="934"/>
      <c r="C2" s="934"/>
      <c r="D2" s="934"/>
      <c r="E2" s="935"/>
      <c r="F2" s="935"/>
      <c r="G2" s="936"/>
    </row>
    <row r="3" spans="1:9" ht="12" customHeight="1" x14ac:dyDescent="0.2">
      <c r="A3" s="937" t="s">
        <v>1423</v>
      </c>
      <c r="B3" s="938"/>
      <c r="C3" s="938"/>
      <c r="D3" s="938"/>
      <c r="E3" s="939"/>
      <c r="F3" s="939"/>
      <c r="G3" s="940"/>
    </row>
    <row r="4" spans="1:9" x14ac:dyDescent="0.2">
      <c r="A4" s="941" t="s">
        <v>779</v>
      </c>
      <c r="B4" s="942"/>
      <c r="C4" s="942"/>
      <c r="D4" s="942"/>
      <c r="E4" s="943"/>
      <c r="F4" s="944"/>
      <c r="G4" s="945"/>
      <c r="H4" s="252"/>
      <c r="I4" s="252"/>
    </row>
    <row r="5" spans="1:9" s="343" customFormat="1" ht="57" customHeight="1" x14ac:dyDescent="0.2">
      <c r="A5" s="2335" t="s">
        <v>1778</v>
      </c>
      <c r="B5" s="2336"/>
      <c r="C5" s="2336"/>
      <c r="D5" s="2336"/>
      <c r="E5" s="2336"/>
      <c r="F5" s="2336"/>
      <c r="G5" s="2337"/>
      <c r="H5" s="252"/>
      <c r="I5" s="595"/>
    </row>
    <row r="6" spans="1:9" s="652" customFormat="1" x14ac:dyDescent="0.2">
      <c r="A6" s="1639" t="s">
        <v>214</v>
      </c>
      <c r="B6" s="947"/>
      <c r="C6" s="947"/>
      <c r="D6" s="948"/>
      <c r="E6" s="948"/>
      <c r="F6" s="949"/>
      <c r="G6" s="950"/>
      <c r="H6" s="162"/>
      <c r="I6" s="162"/>
    </row>
    <row r="7" spans="1:9" s="652" customFormat="1" ht="12" customHeight="1" x14ac:dyDescent="0.2">
      <c r="A7" s="951" t="s">
        <v>964</v>
      </c>
      <c r="B7" s="952"/>
      <c r="C7" s="952"/>
      <c r="D7" s="953"/>
      <c r="E7" s="954"/>
      <c r="F7" s="955"/>
      <c r="G7" s="956"/>
      <c r="H7" s="162"/>
      <c r="I7" s="162"/>
    </row>
    <row r="8" spans="1:9" s="652" customFormat="1" ht="12" customHeight="1" x14ac:dyDescent="0.2">
      <c r="A8" s="951" t="s">
        <v>131</v>
      </c>
      <c r="B8" s="952"/>
      <c r="C8" s="952"/>
      <c r="D8" s="953"/>
      <c r="E8" s="954"/>
      <c r="F8" s="955"/>
      <c r="G8" s="956"/>
      <c r="H8" s="162"/>
      <c r="I8" s="162"/>
    </row>
    <row r="9" spans="1:9" s="652" customFormat="1" ht="12" customHeight="1" x14ac:dyDescent="0.2">
      <c r="A9" s="951" t="s">
        <v>132</v>
      </c>
      <c r="B9" s="952"/>
      <c r="C9" s="952"/>
      <c r="D9" s="953"/>
      <c r="E9" s="954"/>
      <c r="F9" s="955"/>
      <c r="G9" s="956"/>
      <c r="H9" s="162"/>
      <c r="I9" s="162"/>
    </row>
    <row r="10" spans="1:9" s="652" customFormat="1" ht="12" customHeight="1" x14ac:dyDescent="0.2">
      <c r="A10" s="951" t="s">
        <v>2072</v>
      </c>
      <c r="B10" s="952"/>
      <c r="C10" s="957"/>
      <c r="D10" s="953"/>
      <c r="E10" s="954">
        <v>265868</v>
      </c>
      <c r="F10" s="955"/>
      <c r="G10" s="956"/>
      <c r="H10" s="162"/>
      <c r="I10" s="162"/>
    </row>
    <row r="11" spans="1:9" s="652" customFormat="1" ht="22.5" customHeight="1" x14ac:dyDescent="0.2">
      <c r="A11" s="2340" t="s">
        <v>1941</v>
      </c>
      <c r="B11" s="2341"/>
      <c r="C11" s="2341"/>
      <c r="D11" s="2342"/>
      <c r="E11" s="958">
        <v>85970</v>
      </c>
      <c r="F11" s="955"/>
      <c r="G11" s="959"/>
      <c r="H11" s="162"/>
      <c r="I11" s="162"/>
    </row>
    <row r="12" spans="1:9" s="652" customFormat="1" ht="12" customHeight="1" x14ac:dyDescent="0.2">
      <c r="A12" s="951" t="s">
        <v>133</v>
      </c>
      <c r="B12" s="952"/>
      <c r="C12" s="952"/>
      <c r="D12" s="953"/>
      <c r="E12" s="954"/>
      <c r="F12" s="955"/>
      <c r="G12" s="956"/>
      <c r="H12" s="162"/>
      <c r="I12" s="162"/>
    </row>
    <row r="13" spans="1:9" s="652" customFormat="1" ht="12" customHeight="1" x14ac:dyDescent="0.2">
      <c r="A13" s="951" t="s">
        <v>212</v>
      </c>
      <c r="B13" s="952"/>
      <c r="C13" s="952"/>
      <c r="D13" s="953"/>
      <c r="E13" s="954"/>
      <c r="F13" s="955"/>
      <c r="G13" s="956"/>
      <c r="H13" s="162"/>
      <c r="I13" s="162"/>
    </row>
    <row r="14" spans="1:9" s="652" customFormat="1" ht="12" customHeight="1" x14ac:dyDescent="0.2">
      <c r="A14" s="951" t="s">
        <v>213</v>
      </c>
      <c r="B14" s="952"/>
      <c r="C14" s="952"/>
      <c r="D14" s="953"/>
      <c r="E14" s="954"/>
      <c r="F14" s="960"/>
      <c r="G14" s="961"/>
      <c r="H14" s="162"/>
      <c r="I14" s="162"/>
    </row>
    <row r="15" spans="1:9" s="652" customFormat="1" ht="12" customHeight="1" x14ac:dyDescent="0.2">
      <c r="A15" s="946" t="s">
        <v>389</v>
      </c>
      <c r="B15" s="948"/>
      <c r="C15" s="948"/>
      <c r="D15" s="948"/>
      <c r="E15" s="948"/>
      <c r="F15" s="948"/>
      <c r="G15" s="962"/>
      <c r="H15" s="162"/>
      <c r="I15" s="162"/>
    </row>
    <row r="16" spans="1:9" s="652" customFormat="1" x14ac:dyDescent="0.2">
      <c r="A16" s="963" t="s">
        <v>1443</v>
      </c>
      <c r="B16" s="964"/>
      <c r="C16" s="965"/>
      <c r="D16" s="944"/>
      <c r="E16" s="939"/>
      <c r="F16" s="939"/>
      <c r="G16" s="940"/>
      <c r="H16" s="162"/>
      <c r="I16" s="162"/>
    </row>
    <row r="17" spans="1:9" s="652" customFormat="1" ht="12" customHeight="1" x14ac:dyDescent="0.2">
      <c r="A17" s="966"/>
      <c r="B17" s="967"/>
      <c r="C17" s="329"/>
      <c r="D17" s="1640" t="s">
        <v>553</v>
      </c>
      <c r="E17" s="1641"/>
      <c r="F17" s="1640" t="s">
        <v>453</v>
      </c>
      <c r="G17" s="1642"/>
      <c r="H17" s="162"/>
      <c r="I17" s="162"/>
    </row>
    <row r="18" spans="1:9" s="259" customFormat="1" ht="11.25" x14ac:dyDescent="0.2">
      <c r="A18" s="969"/>
      <c r="C18" s="970" t="s">
        <v>454</v>
      </c>
      <c r="D18" s="1643" t="s">
        <v>455</v>
      </c>
      <c r="E18" s="1643" t="s">
        <v>55</v>
      </c>
      <c r="F18" s="1643" t="s">
        <v>455</v>
      </c>
      <c r="G18" s="1643" t="s">
        <v>55</v>
      </c>
      <c r="H18" s="178"/>
      <c r="I18" s="178"/>
    </row>
    <row r="19" spans="1:9" s="652" customFormat="1" ht="12" customHeight="1" x14ac:dyDescent="0.2">
      <c r="A19" s="971" t="s">
        <v>476</v>
      </c>
      <c r="B19" s="972"/>
      <c r="C19" s="973" t="s">
        <v>591</v>
      </c>
      <c r="D19" s="1800"/>
      <c r="E19" s="1801">
        <f>'Expenditures 15-22'!K33-SUM('Expenditures 15-22'!G33,'Expenditures 15-22'!I33)+'Expenditures 15-22'!D229</f>
        <v>11926624</v>
      </c>
      <c r="F19" s="1800"/>
      <c r="G19" s="1802">
        <f>'Expenditures 15-22'!K33-SUM('Expenditures 15-22'!G33,'Expenditures 15-22'!I33)+'Expenditures 15-22'!D229</f>
        <v>11926624</v>
      </c>
      <c r="H19" s="968"/>
      <c r="I19" s="162"/>
    </row>
    <row r="20" spans="1:9" s="652" customFormat="1" ht="12" customHeight="1" x14ac:dyDescent="0.2">
      <c r="A20" s="971" t="s">
        <v>56</v>
      </c>
      <c r="B20" s="972"/>
      <c r="C20" s="974"/>
      <c r="D20" s="1803"/>
      <c r="E20" s="1803"/>
      <c r="F20" s="1803"/>
      <c r="G20" s="1804"/>
      <c r="H20" s="968"/>
      <c r="I20" s="162"/>
    </row>
    <row r="21" spans="1:9" s="652" customFormat="1" ht="12" customHeight="1" x14ac:dyDescent="0.2">
      <c r="A21" s="975" t="s">
        <v>421</v>
      </c>
      <c r="B21" s="976"/>
      <c r="C21" s="974">
        <v>2100</v>
      </c>
      <c r="D21" s="1803"/>
      <c r="E21" s="1805">
        <f>'Expenditures 15-22'!K42-SUM('Expenditures 15-22'!G42,'Expenditures 15-22'!I42)+'Expenditures 15-22'!K120-SUM('Expenditures 15-22'!G120,'Expenditures 15-22'!I120)+'Expenditures 15-22'!K180-SUM('Expenditures 15-22'!G180,'Expenditures 15-22'!I180)+'Expenditures 15-22'!D238</f>
        <v>1557296</v>
      </c>
      <c r="F21" s="1803"/>
      <c r="G21" s="1806">
        <f>'Expenditures 15-22'!K42-SUM('Expenditures 15-22'!G42,'Expenditures 15-22'!I42)+'Expenditures 15-22'!K120-SUM('Expenditures 15-22'!G120,'Expenditures 15-22'!I120)+'Expenditures 15-22'!K180-SUM('Expenditures 15-22'!G180,'Expenditures 15-22'!I180)+'Expenditures 15-22'!D238</f>
        <v>1557296</v>
      </c>
      <c r="H21" s="968"/>
      <c r="I21" s="162"/>
    </row>
    <row r="22" spans="1:9" s="652" customFormat="1" ht="12" customHeight="1" x14ac:dyDescent="0.2">
      <c r="A22" s="975" t="s">
        <v>585</v>
      </c>
      <c r="B22" s="976"/>
      <c r="C22" s="974">
        <v>2200</v>
      </c>
      <c r="D22" s="1803"/>
      <c r="E22" s="1805">
        <f>'Expenditures 15-22'!K47-SUM('Expenditures 15-22'!G47,'Expenditures 15-22'!I47)+'Expenditures 15-22'!D243</f>
        <v>840242</v>
      </c>
      <c r="F22" s="1803"/>
      <c r="G22" s="1806">
        <f>'Expenditures 15-22'!K47-SUM('Expenditures 15-22'!G47,'Expenditures 15-22'!I47)+'Expenditures 15-22'!D243</f>
        <v>840242</v>
      </c>
      <c r="H22" s="968"/>
      <c r="I22" s="162"/>
    </row>
    <row r="23" spans="1:9" s="652" customFormat="1" ht="12" customHeight="1" x14ac:dyDescent="0.2">
      <c r="A23" s="975" t="s">
        <v>586</v>
      </c>
      <c r="B23" s="976"/>
      <c r="C23" s="974">
        <v>2300</v>
      </c>
      <c r="D23" s="1803"/>
      <c r="E23" s="1805">
        <f>'Expenditures 15-22'!K53-SUM('Expenditures 15-22'!G53,'Expenditures 15-22'!I53)+'Expenditures 15-22'!D257+'Expenditures 15-22'!K330-SUM('Expenditures 15-22'!G330,'Expenditures 15-22'!I330)</f>
        <v>1075350.6299999999</v>
      </c>
      <c r="F23" s="1803"/>
      <c r="G23" s="1805">
        <f>'Expenditures 15-22'!K53-SUM('Expenditures 15-22'!G53,'Expenditures 15-22'!I53)+'Expenditures 15-22'!D257+'Expenditures 15-22'!K330-SUM('Expenditures 15-22'!G330,'Expenditures 15-22'!I330)</f>
        <v>1075350.6299999999</v>
      </c>
      <c r="H23" s="968"/>
      <c r="I23" s="162"/>
    </row>
    <row r="24" spans="1:9" s="652" customFormat="1" ht="12" customHeight="1" x14ac:dyDescent="0.2">
      <c r="A24" s="975" t="s">
        <v>587</v>
      </c>
      <c r="B24" s="976"/>
      <c r="C24" s="974">
        <v>2400</v>
      </c>
      <c r="D24" s="1803"/>
      <c r="E24" s="1805">
        <f>'Expenditures 15-22'!K57-SUM('Expenditures 15-22'!G57,'Expenditures 15-22'!I57)+'Expenditures 15-22'!D261</f>
        <v>965101</v>
      </c>
      <c r="F24" s="1803"/>
      <c r="G24" s="1806">
        <f>'Expenditures 15-22'!K57-SUM('Expenditures 15-22'!G57,'Expenditures 15-22'!I57)+'Expenditures 15-22'!D261</f>
        <v>965101</v>
      </c>
      <c r="H24" s="968"/>
      <c r="I24" s="162"/>
    </row>
    <row r="25" spans="1:9" s="652" customFormat="1" ht="12" customHeight="1" x14ac:dyDescent="0.2">
      <c r="A25" s="971" t="s">
        <v>588</v>
      </c>
      <c r="B25" s="977"/>
      <c r="C25" s="974"/>
      <c r="D25" s="1803"/>
      <c r="E25" s="1805"/>
      <c r="F25" s="1803"/>
      <c r="G25" s="1806"/>
      <c r="H25" s="968"/>
      <c r="I25" s="162"/>
    </row>
    <row r="26" spans="1:9" s="652" customFormat="1" ht="12" customHeight="1" x14ac:dyDescent="0.2">
      <c r="A26" s="975" t="s">
        <v>536</v>
      </c>
      <c r="B26" s="978"/>
      <c r="C26" s="974">
        <v>2510</v>
      </c>
      <c r="D26" s="1805">
        <f>'Expenditures 15-22'!K59-SUM('Expenditures 15-22'!G59,'Expenditures 15-22'!I59)+'Expenditures 15-22'!D263-E7</f>
        <v>0</v>
      </c>
      <c r="E26" s="1805">
        <f>'Expenditures 15-22'!K122-SUM('Expenditures 15-22'!G122,'Expenditures 15-22'!I122)+E7</f>
        <v>0</v>
      </c>
      <c r="F26" s="1805">
        <f>'Expenditures 15-22'!K59-SUM('Expenditures 15-22'!G59,'Expenditures 15-22'!I59)+'Expenditures 15-22'!D263-E7</f>
        <v>0</v>
      </c>
      <c r="G26" s="1806">
        <f>'Expenditures 15-22'!K122-SUM('Expenditures 15-22'!G122,'Expenditures 15-22'!I122)+E7</f>
        <v>0</v>
      </c>
      <c r="H26" s="968"/>
      <c r="I26" s="162"/>
    </row>
    <row r="27" spans="1:9" s="652" customFormat="1" ht="12" customHeight="1" x14ac:dyDescent="0.2">
      <c r="A27" s="975" t="s">
        <v>483</v>
      </c>
      <c r="B27" s="978"/>
      <c r="C27" s="974">
        <v>2520</v>
      </c>
      <c r="D27" s="1805">
        <f>'Expenditures 15-22'!K60-SUM('Expenditures 15-22'!G60,'Expenditures 15-22'!I60)+'Expenditures 15-22'!D264-E8</f>
        <v>181470</v>
      </c>
      <c r="E27" s="1805">
        <f>E8</f>
        <v>0</v>
      </c>
      <c r="F27" s="1805">
        <f>'Expenditures 15-22'!K60-SUM('Expenditures 15-22'!G60,'Expenditures 15-22'!I60)+'Expenditures 15-22'!D264-E8</f>
        <v>181470</v>
      </c>
      <c r="G27" s="1806">
        <f>E8</f>
        <v>0</v>
      </c>
      <c r="H27" s="968"/>
      <c r="I27" s="162"/>
    </row>
    <row r="28" spans="1:9" s="652" customFormat="1" ht="12" customHeight="1" x14ac:dyDescent="0.2">
      <c r="A28" s="975" t="s">
        <v>537</v>
      </c>
      <c r="B28" s="978"/>
      <c r="C28" s="974">
        <v>2540</v>
      </c>
      <c r="D28" s="1807"/>
      <c r="E28" s="1805">
        <f>'Expenditures 15-22'!K61-SUM('Expenditures 15-22'!G61,'Expenditures 15-22'!I61)+'Expenditures 15-22'!K124-SUM('Expenditures 15-22'!G124,'Expenditures 15-22'!I124)+'Expenditures 15-22'!D266</f>
        <v>1748121.53</v>
      </c>
      <c r="F28" s="1807">
        <f>'Expenditures 15-22'!K61-SUM('Expenditures 15-22'!G61,'Expenditures 15-22'!I61)+'Expenditures 15-22'!K124-SUM('Expenditures 15-22'!G124,'Expenditures 15-22'!I124)+'Expenditures 15-22'!D266-E9</f>
        <v>1748121.53</v>
      </c>
      <c r="G28" s="1806">
        <f>E9</f>
        <v>0</v>
      </c>
      <c r="H28" s="968"/>
      <c r="I28" s="162"/>
    </row>
    <row r="29" spans="1:9" ht="12" customHeight="1" x14ac:dyDescent="0.2">
      <c r="A29" s="975" t="s">
        <v>538</v>
      </c>
      <c r="B29" s="978"/>
      <c r="C29" s="974">
        <v>2550</v>
      </c>
      <c r="D29" s="1803"/>
      <c r="E29" s="1805">
        <f>'Expenditures 15-22'!K62-SUM('Expenditures 15-22'!G62,'Expenditures 15-22'!I62)+'Expenditures 15-22'!K125-SUM('Expenditures 15-22'!G125,'Expenditures 15-22'!I125)+'Expenditures 15-22'!K182-SUM('Expenditures 15-22'!G182,'Expenditures 15-22'!I182)+'Expenditures 15-22'!D267</f>
        <v>1315925</v>
      </c>
      <c r="F29" s="1803"/>
      <c r="G29" s="1806">
        <f>'Expenditures 15-22'!K62-SUM('Expenditures 15-22'!G62,'Expenditures 15-22'!I62)+'Expenditures 15-22'!K125-SUM('Expenditures 15-22'!G125,'Expenditures 15-22'!I125)+'Expenditures 15-22'!K182-SUM('Expenditures 15-22'!G182,'Expenditures 15-22'!I182)+'Expenditures 15-22'!D267</f>
        <v>1315925</v>
      </c>
      <c r="H29" s="966"/>
    </row>
    <row r="30" spans="1:9" ht="12" customHeight="1" x14ac:dyDescent="0.2">
      <c r="A30" s="975" t="s">
        <v>102</v>
      </c>
      <c r="B30" s="978"/>
      <c r="C30" s="974">
        <v>2560</v>
      </c>
      <c r="D30" s="1803"/>
      <c r="E30" s="1805">
        <f>'Expenditures 15-22'!K63-SUM('Expenditures 15-22'!G63,'Expenditures 15-22'!I63)+'Expenditures 15-22'!D268-E10</f>
        <v>283962</v>
      </c>
      <c r="F30" s="1803"/>
      <c r="G30" s="1805">
        <f>'Expenditures 15-22'!K63-SUM('Expenditures 15-22'!G63,'Expenditures 15-22'!I63)+'Expenditures 15-22'!D268-E10</f>
        <v>283962</v>
      </c>
    </row>
    <row r="31" spans="1:9" ht="12" customHeight="1" x14ac:dyDescent="0.2">
      <c r="A31" s="975" t="s">
        <v>103</v>
      </c>
      <c r="B31" s="978"/>
      <c r="C31" s="974">
        <v>2570</v>
      </c>
      <c r="D31" s="1805">
        <f>'Expenditures 15-22'!K64-SUM('Expenditures 15-22'!G64,'Expenditures 15-22'!I64)+'Expenditures 15-22'!D269-E12</f>
        <v>12849</v>
      </c>
      <c r="E31" s="1805">
        <f>E12</f>
        <v>0</v>
      </c>
      <c r="F31" s="1805">
        <f>'Expenditures 15-22'!K64-SUM('Expenditures 15-22'!G64,'Expenditures 15-22'!I64)+'Expenditures 15-22'!D269-E12</f>
        <v>12849</v>
      </c>
      <c r="G31" s="1805">
        <f>E12</f>
        <v>0</v>
      </c>
    </row>
    <row r="32" spans="1:9" ht="12" customHeight="1" x14ac:dyDescent="0.2">
      <c r="A32" s="971" t="s">
        <v>539</v>
      </c>
      <c r="B32" s="977"/>
      <c r="C32" s="974"/>
      <c r="D32" s="1803"/>
      <c r="E32" s="1803"/>
      <c r="F32" s="1803"/>
      <c r="G32" s="1803"/>
    </row>
    <row r="33" spans="1:7" ht="12" customHeight="1" x14ac:dyDescent="0.2">
      <c r="A33" s="975" t="s">
        <v>540</v>
      </c>
      <c r="B33" s="978"/>
      <c r="C33" s="974">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975" t="s">
        <v>541</v>
      </c>
      <c r="B34" s="978"/>
      <c r="C34" s="974">
        <v>2620</v>
      </c>
      <c r="D34" s="1803"/>
      <c r="E34" s="1805">
        <f>'Expenditures 15-22'!K68-SUM('Expenditures 15-22'!G68,'Expenditures 15-22'!I68)+'Expenditures 15-22'!D273</f>
        <v>23500</v>
      </c>
      <c r="F34" s="1803"/>
      <c r="G34" s="1805">
        <f>'Expenditures 15-22'!K68-SUM('Expenditures 15-22'!G68,'Expenditures 15-22'!I68)+'Expenditures 15-22'!D273</f>
        <v>23500</v>
      </c>
    </row>
    <row r="35" spans="1:7" ht="12" customHeight="1" x14ac:dyDescent="0.2">
      <c r="A35" s="975" t="s">
        <v>1121</v>
      </c>
      <c r="B35" s="978"/>
      <c r="C35" s="974">
        <v>2630</v>
      </c>
      <c r="D35" s="1803"/>
      <c r="E35" s="1805">
        <f>'Expenditures 15-22'!K69-SUM('Expenditures 15-22'!G69,'Expenditures 15-22'!I69)+'Expenditures 15-22'!D274</f>
        <v>8710</v>
      </c>
      <c r="F35" s="1803"/>
      <c r="G35" s="1805">
        <f>'Expenditures 15-22'!K69-SUM('Expenditures 15-22'!G69,'Expenditures 15-22'!I69)+'Expenditures 15-22'!D274</f>
        <v>8710</v>
      </c>
    </row>
    <row r="36" spans="1:7" ht="12" customHeight="1" x14ac:dyDescent="0.2">
      <c r="A36" s="975" t="s">
        <v>423</v>
      </c>
      <c r="B36" s="978"/>
      <c r="C36" s="974">
        <v>2640</v>
      </c>
      <c r="D36" s="1805">
        <f>'Expenditures 15-22'!K70-SUM('Expenditures 15-22'!G70,'Expenditures 15-22'!I70)+'Expenditures 15-22'!D275-E13</f>
        <v>7498</v>
      </c>
      <c r="E36" s="1805">
        <f>E13</f>
        <v>0</v>
      </c>
      <c r="F36" s="1805">
        <f>'Expenditures 15-22'!K70-SUM('Expenditures 15-22'!G70,'Expenditures 15-22'!I70)+'Expenditures 15-22'!D275-E13</f>
        <v>7498</v>
      </c>
      <c r="G36" s="1805">
        <f>E13</f>
        <v>0</v>
      </c>
    </row>
    <row r="37" spans="1:7" ht="12" customHeight="1" x14ac:dyDescent="0.2">
      <c r="A37" s="975" t="s">
        <v>424</v>
      </c>
      <c r="B37" s="978"/>
      <c r="C37" s="974">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971" t="s">
        <v>542</v>
      </c>
      <c r="B38" s="972"/>
      <c r="C38" s="974">
        <v>2900</v>
      </c>
      <c r="D38" s="1803"/>
      <c r="E38" s="1805">
        <f>'Expenditures 15-22'!K73-SUM('Expenditures 15-22'!G73,'Expenditures 15-22'!I73)+'Expenditures 15-22'!K128-SUM('Expenditures 15-22'!G128,'Expenditures 15-22'!I128)+'Expenditures 15-22'!K183-SUM('Expenditures 15-22'!G183,'Expenditures 15-22'!I183)+'Expenditures 15-22'!D278</f>
        <v>0</v>
      </c>
      <c r="F38" s="1803"/>
      <c r="G38" s="180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1" t="s">
        <v>469</v>
      </c>
      <c r="B39" s="972"/>
      <c r="C39" s="974">
        <v>3000</v>
      </c>
      <c r="D39" s="1803"/>
      <c r="E39" s="1805">
        <f>'Expenditures 15-22'!K75-SUM('Expenditures 15-22'!G75,'Expenditures 15-22'!I75)+'Expenditures 15-22'!K130-SUM('Expenditures 15-22'!G130,'Expenditures 15-22'!I130)+'Expenditures 15-22'!K185-SUM('Expenditures 15-22'!G185,'Expenditures 15-22'!I185)+'Expenditures 15-22'!D280</f>
        <v>0</v>
      </c>
      <c r="F39" s="1803"/>
      <c r="G39" s="180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1" t="s">
        <v>1926</v>
      </c>
      <c r="B40" s="972"/>
      <c r="C40" s="974"/>
      <c r="D40" s="1803"/>
      <c r="E40" s="1807">
        <f>-'Contracts Paid in CY 29'!G141</f>
        <v>-114430</v>
      </c>
      <c r="F40" s="1803"/>
      <c r="G40" s="1807">
        <f>-'Contracts Paid in CY 29'!G141</f>
        <v>-114430</v>
      </c>
    </row>
    <row r="41" spans="1:7" ht="12" customHeight="1" x14ac:dyDescent="0.2">
      <c r="A41" s="979" t="s">
        <v>158</v>
      </c>
      <c r="B41" s="980"/>
      <c r="C41" s="981"/>
      <c r="D41" s="1807">
        <f>SUM(D19:D39)</f>
        <v>201817</v>
      </c>
      <c r="E41" s="1807">
        <f>SUM(E19:E40)</f>
        <v>19630402.16</v>
      </c>
      <c r="F41" s="1807">
        <f>SUM(F19:F39)</f>
        <v>1949938.53</v>
      </c>
      <c r="G41" s="1807">
        <f>SUM(G19:G40)</f>
        <v>17882280.629999999</v>
      </c>
    </row>
    <row r="42" spans="1:7" x14ac:dyDescent="0.2">
      <c r="A42" s="968"/>
      <c r="B42" s="162"/>
      <c r="C42" s="982"/>
      <c r="D42" s="2338" t="s">
        <v>543</v>
      </c>
      <c r="E42" s="2339"/>
      <c r="F42" s="983" t="s">
        <v>544</v>
      </c>
      <c r="G42" s="984"/>
    </row>
    <row r="43" spans="1:7" ht="12" customHeight="1" x14ac:dyDescent="0.2">
      <c r="A43" s="968"/>
      <c r="B43" s="162"/>
      <c r="C43" s="982"/>
      <c r="D43" s="1808" t="s">
        <v>493</v>
      </c>
      <c r="E43" s="1809">
        <f>D41</f>
        <v>201817</v>
      </c>
      <c r="F43" s="1808" t="s">
        <v>495</v>
      </c>
      <c r="G43" s="1809">
        <f>F41</f>
        <v>1949938.53</v>
      </c>
    </row>
    <row r="44" spans="1:7" ht="12" customHeight="1" x14ac:dyDescent="0.2">
      <c r="A44" s="968"/>
      <c r="B44" s="162"/>
      <c r="C44" s="982"/>
      <c r="D44" s="1808" t="s">
        <v>494</v>
      </c>
      <c r="E44" s="1809">
        <f>E41</f>
        <v>19630402.16</v>
      </c>
      <c r="F44" s="1808" t="s">
        <v>494</v>
      </c>
      <c r="G44" s="1809">
        <f>G41</f>
        <v>17882280.629999999</v>
      </c>
    </row>
    <row r="45" spans="1:7" ht="12" customHeight="1" x14ac:dyDescent="0.2">
      <c r="A45" s="968"/>
      <c r="B45" s="162"/>
      <c r="C45" s="162"/>
      <c r="D45" s="1810" t="s">
        <v>1063</v>
      </c>
      <c r="E45" s="1811">
        <f>(E43/E44)</f>
        <v>1.0280838790518186E-2</v>
      </c>
      <c r="F45" s="1810" t="s">
        <v>1063</v>
      </c>
      <c r="G45" s="1811">
        <f>(G43/G44)</f>
        <v>0.10904305610374487</v>
      </c>
    </row>
    <row r="46" spans="1:7" x14ac:dyDescent="0.2">
      <c r="A46" s="985"/>
      <c r="B46" s="986"/>
      <c r="C46" s="986"/>
      <c r="D46" s="987"/>
      <c r="E46" s="988"/>
      <c r="F46" s="987"/>
      <c r="G46" s="98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pane="bottomLeft" activeCell="A5" sqref="A5:F5"/>
    </sheetView>
  </sheetViews>
  <sheetFormatPr defaultColWidth="9.140625" defaultRowHeight="12.75" x14ac:dyDescent="0.2"/>
  <cols>
    <col min="1" max="1" width="54.5703125" style="1877" customWidth="1"/>
    <col min="2" max="2" width="4.140625" style="1877" customWidth="1"/>
    <col min="3" max="4" width="9.85546875" style="1848" customWidth="1"/>
    <col min="5" max="5" width="12.5703125" style="1878" customWidth="1"/>
    <col min="6" max="6" width="67.5703125" style="1848" customWidth="1"/>
    <col min="7" max="7" width="9.140625" style="1848" customWidth="1"/>
    <col min="8" max="8" width="5.5703125" style="1879" bestFit="1" customWidth="1"/>
    <col min="9" max="10" width="2" style="1879" bestFit="1" customWidth="1"/>
    <col min="11" max="11" width="9" style="1879" customWidth="1"/>
    <col min="12" max="16384" width="9.140625" style="1848"/>
  </cols>
  <sheetData>
    <row r="1" spans="1:10" x14ac:dyDescent="0.2">
      <c r="A1" s="2346" t="s">
        <v>1446</v>
      </c>
      <c r="B1" s="2346"/>
      <c r="C1" s="2346"/>
      <c r="D1" s="2346"/>
      <c r="E1" s="2346"/>
      <c r="F1" s="2346"/>
    </row>
    <row r="2" spans="1:10" x14ac:dyDescent="0.2">
      <c r="A2" s="1888" t="s">
        <v>2044</v>
      </c>
      <c r="B2" s="1849"/>
      <c r="C2" s="1888"/>
      <c r="D2" s="1849"/>
      <c r="E2" s="1849"/>
      <c r="F2" s="1850"/>
    </row>
    <row r="3" spans="1:10" x14ac:dyDescent="0.2">
      <c r="A3" s="1888" t="s">
        <v>1700</v>
      </c>
      <c r="B3" s="1849"/>
      <c r="C3" s="1888"/>
      <c r="D3" s="1849"/>
      <c r="E3" s="1849"/>
      <c r="F3" s="1850"/>
    </row>
    <row r="4" spans="1:10" ht="3.75" customHeight="1" x14ac:dyDescent="0.2">
      <c r="A4" s="1849"/>
      <c r="B4" s="1849"/>
      <c r="C4" s="1849"/>
      <c r="D4" s="1849"/>
      <c r="E4" s="1849"/>
      <c r="F4" s="1850"/>
    </row>
    <row r="5" spans="1:10" ht="15" x14ac:dyDescent="0.25">
      <c r="A5" s="2347" t="s">
        <v>1627</v>
      </c>
      <c r="B5" s="2348"/>
      <c r="C5" s="2349"/>
      <c r="D5" s="2349"/>
      <c r="E5" s="2349"/>
      <c r="F5" s="2349"/>
    </row>
    <row r="6" spans="1:10" ht="12" customHeight="1" x14ac:dyDescent="0.25">
      <c r="A6" s="1851"/>
      <c r="B6" s="1852"/>
      <c r="C6" s="2350" t="str">
        <f>COVER!A17</f>
        <v>Ottawa ESD 141</v>
      </c>
      <c r="D6" s="2350"/>
      <c r="E6" s="2350"/>
      <c r="F6" s="1853"/>
    </row>
    <row r="7" spans="1:10" ht="11.25" customHeight="1" thickBot="1" x14ac:dyDescent="0.3">
      <c r="A7" s="1851"/>
      <c r="B7" s="1852"/>
      <c r="C7" s="2351">
        <f>COVER!A13</f>
        <v>35050141002</v>
      </c>
      <c r="D7" s="2351"/>
      <c r="E7" s="2351"/>
      <c r="F7" s="1853"/>
    </row>
    <row r="8" spans="1:10" ht="25.5" customHeight="1" thickBot="1" x14ac:dyDescent="0.25">
      <c r="A8" s="1894" t="s">
        <v>2021</v>
      </c>
      <c r="B8" s="1854"/>
      <c r="C8" s="1890" t="s">
        <v>1780</v>
      </c>
      <c r="D8" s="1889" t="s">
        <v>1781</v>
      </c>
      <c r="E8" s="1891" t="s">
        <v>1447</v>
      </c>
      <c r="F8" s="1889" t="s">
        <v>1782</v>
      </c>
      <c r="H8" s="1855" t="b">
        <v>0</v>
      </c>
    </row>
    <row r="9" spans="1:10" ht="15.75" customHeight="1" x14ac:dyDescent="0.2">
      <c r="A9" s="1856" t="s">
        <v>1623</v>
      </c>
      <c r="B9" s="1857"/>
      <c r="C9" s="1858"/>
      <c r="D9" s="1858"/>
      <c r="E9" s="1859"/>
      <c r="F9" s="1860"/>
    </row>
    <row r="10" spans="1:10" ht="27.75" customHeight="1" x14ac:dyDescent="0.2">
      <c r="A10" s="1861" t="s">
        <v>1779</v>
      </c>
      <c r="B10" s="1862"/>
      <c r="C10" s="1863"/>
      <c r="D10" s="1863"/>
      <c r="E10" s="1892" t="s">
        <v>1448</v>
      </c>
      <c r="F10" s="1893" t="s">
        <v>1449</v>
      </c>
    </row>
    <row r="11" spans="1:10" ht="12" customHeight="1" x14ac:dyDescent="0.2">
      <c r="A11" s="1864" t="s">
        <v>1450</v>
      </c>
      <c r="B11" s="1865"/>
      <c r="C11" s="1866"/>
      <c r="D11" s="1866"/>
      <c r="E11" s="1867"/>
      <c r="F11" s="1868"/>
      <c r="H11" s="1879">
        <f>IF(C11="X",5,0)</f>
        <v>0</v>
      </c>
      <c r="I11" s="1879">
        <f>IF(D11="X",5,0)</f>
        <v>0</v>
      </c>
      <c r="J11" s="1879">
        <f>IF(E11="X",5,0)</f>
        <v>0</v>
      </c>
    </row>
    <row r="12" spans="1:10" ht="12" customHeight="1" x14ac:dyDescent="0.2">
      <c r="A12" s="1864" t="s">
        <v>1451</v>
      </c>
      <c r="B12" s="1865"/>
      <c r="C12" s="1866"/>
      <c r="D12" s="1866"/>
      <c r="E12" s="1869"/>
      <c r="F12" s="1868"/>
      <c r="H12" s="1879">
        <f t="shared" ref="H12:H33" si="0">IF(C12="X",5,0)</f>
        <v>0</v>
      </c>
      <c r="I12" s="1879">
        <f t="shared" ref="I12:I33" si="1">IF(D12="X",5,0)</f>
        <v>0</v>
      </c>
      <c r="J12" s="1879">
        <f t="shared" ref="J12:J33" si="2">IF(E12="X",5,0)</f>
        <v>0</v>
      </c>
    </row>
    <row r="13" spans="1:10" ht="12" customHeight="1" x14ac:dyDescent="0.2">
      <c r="A13" s="1864" t="s">
        <v>1452</v>
      </c>
      <c r="B13" s="1865"/>
      <c r="C13" s="1866"/>
      <c r="D13" s="1866"/>
      <c r="E13" s="1869"/>
      <c r="F13" s="1868"/>
      <c r="H13" s="1879">
        <f t="shared" si="0"/>
        <v>0</v>
      </c>
      <c r="I13" s="1879">
        <f t="shared" si="1"/>
        <v>0</v>
      </c>
      <c r="J13" s="1879">
        <f t="shared" si="2"/>
        <v>0</v>
      </c>
    </row>
    <row r="14" spans="1:10" ht="12" customHeight="1" x14ac:dyDescent="0.2">
      <c r="A14" s="1864" t="s">
        <v>1453</v>
      </c>
      <c r="B14" s="1865"/>
      <c r="C14" s="1866"/>
      <c r="D14" s="1866"/>
      <c r="E14" s="1869"/>
      <c r="F14" s="1868"/>
      <c r="H14" s="1879">
        <f t="shared" si="0"/>
        <v>0</v>
      </c>
      <c r="I14" s="1879">
        <f t="shared" si="1"/>
        <v>0</v>
      </c>
      <c r="J14" s="1879">
        <f t="shared" si="2"/>
        <v>0</v>
      </c>
    </row>
    <row r="15" spans="1:10" ht="12" customHeight="1" x14ac:dyDescent="0.2">
      <c r="A15" s="1864" t="s">
        <v>1454</v>
      </c>
      <c r="B15" s="1865"/>
      <c r="C15" s="1866"/>
      <c r="D15" s="1866"/>
      <c r="E15" s="1869"/>
      <c r="F15" s="1868"/>
      <c r="H15" s="1879">
        <f t="shared" si="0"/>
        <v>0</v>
      </c>
      <c r="I15" s="1879">
        <f t="shared" si="1"/>
        <v>0</v>
      </c>
      <c r="J15" s="1879">
        <f t="shared" si="2"/>
        <v>0</v>
      </c>
    </row>
    <row r="16" spans="1:10" ht="12" customHeight="1" x14ac:dyDescent="0.2">
      <c r="A16" s="1864" t="s">
        <v>1455</v>
      </c>
      <c r="B16" s="1865"/>
      <c r="C16" s="1952" t="s">
        <v>2084</v>
      </c>
      <c r="D16" s="1952" t="s">
        <v>2084</v>
      </c>
      <c r="E16" s="1954" t="s">
        <v>2084</v>
      </c>
      <c r="F16" s="1953" t="s">
        <v>3843</v>
      </c>
      <c r="H16" s="1879">
        <f t="shared" si="0"/>
        <v>5</v>
      </c>
      <c r="I16" s="1879">
        <f t="shared" si="1"/>
        <v>5</v>
      </c>
      <c r="J16" s="1879">
        <f t="shared" si="2"/>
        <v>5</v>
      </c>
    </row>
    <row r="17" spans="1:12" ht="12" customHeight="1" x14ac:dyDescent="0.2">
      <c r="A17" s="1864" t="s">
        <v>1456</v>
      </c>
      <c r="B17" s="1865"/>
      <c r="C17" s="1866"/>
      <c r="D17" s="1866"/>
      <c r="E17" s="1869"/>
      <c r="F17" s="1868"/>
      <c r="H17" s="1879">
        <f t="shared" si="0"/>
        <v>0</v>
      </c>
      <c r="I17" s="1879">
        <f t="shared" si="1"/>
        <v>0</v>
      </c>
      <c r="J17" s="1879">
        <f t="shared" si="2"/>
        <v>0</v>
      </c>
    </row>
    <row r="18" spans="1:12" ht="12" customHeight="1" x14ac:dyDescent="0.2">
      <c r="A18" s="1864" t="s">
        <v>1457</v>
      </c>
      <c r="B18" s="1865"/>
      <c r="C18" s="1866"/>
      <c r="D18" s="1866"/>
      <c r="E18" s="1869"/>
      <c r="F18" s="1868"/>
      <c r="H18" s="1879">
        <f t="shared" si="0"/>
        <v>0</v>
      </c>
      <c r="I18" s="1879">
        <f t="shared" si="1"/>
        <v>0</v>
      </c>
      <c r="J18" s="1879">
        <f t="shared" si="2"/>
        <v>0</v>
      </c>
    </row>
    <row r="19" spans="1:12" ht="12" customHeight="1" x14ac:dyDescent="0.2">
      <c r="A19" s="1864" t="s">
        <v>1608</v>
      </c>
      <c r="B19" s="1865"/>
      <c r="C19" s="1866"/>
      <c r="D19" s="1866"/>
      <c r="E19" s="1869"/>
      <c r="F19" s="1868"/>
      <c r="H19" s="1879">
        <f t="shared" si="0"/>
        <v>0</v>
      </c>
      <c r="I19" s="1879">
        <f t="shared" si="1"/>
        <v>0</v>
      </c>
      <c r="J19" s="1879">
        <f t="shared" si="2"/>
        <v>0</v>
      </c>
    </row>
    <row r="20" spans="1:12" ht="12" customHeight="1" x14ac:dyDescent="0.2">
      <c r="A20" s="1864" t="s">
        <v>1609</v>
      </c>
      <c r="B20" s="1865"/>
      <c r="C20" s="1866"/>
      <c r="D20" s="1866"/>
      <c r="E20" s="1869"/>
      <c r="F20" s="1868"/>
      <c r="H20" s="1879">
        <f t="shared" si="0"/>
        <v>0</v>
      </c>
      <c r="I20" s="1879">
        <f t="shared" si="1"/>
        <v>0</v>
      </c>
      <c r="J20" s="1879">
        <f t="shared" si="2"/>
        <v>0</v>
      </c>
    </row>
    <row r="21" spans="1:12" ht="12" customHeight="1" x14ac:dyDescent="0.2">
      <c r="A21" s="1864" t="s">
        <v>1610</v>
      </c>
      <c r="B21" s="1865"/>
      <c r="C21" s="1866"/>
      <c r="D21" s="1866"/>
      <c r="E21" s="1869"/>
      <c r="F21" s="1868"/>
      <c r="H21" s="1879">
        <f t="shared" si="0"/>
        <v>0</v>
      </c>
      <c r="I21" s="1879">
        <f t="shared" si="1"/>
        <v>0</v>
      </c>
      <c r="J21" s="1879">
        <f t="shared" si="2"/>
        <v>0</v>
      </c>
    </row>
    <row r="22" spans="1:12" ht="12" customHeight="1" x14ac:dyDescent="0.2">
      <c r="A22" s="1864" t="s">
        <v>1611</v>
      </c>
      <c r="B22" s="1865"/>
      <c r="C22" s="1866"/>
      <c r="D22" s="1866"/>
      <c r="E22" s="1869"/>
      <c r="F22" s="1868"/>
      <c r="H22" s="1879">
        <f t="shared" si="0"/>
        <v>0</v>
      </c>
      <c r="I22" s="1879">
        <f t="shared" si="1"/>
        <v>0</v>
      </c>
      <c r="J22" s="1879">
        <f t="shared" si="2"/>
        <v>0</v>
      </c>
    </row>
    <row r="23" spans="1:12" ht="12" customHeight="1" x14ac:dyDescent="0.2">
      <c r="A23" s="1864" t="s">
        <v>1612</v>
      </c>
      <c r="B23" s="1865"/>
      <c r="C23" s="1866"/>
      <c r="D23" s="1866"/>
      <c r="E23" s="1869"/>
      <c r="F23" s="1868"/>
      <c r="H23" s="1879">
        <f t="shared" si="0"/>
        <v>0</v>
      </c>
      <c r="I23" s="1879">
        <f t="shared" si="1"/>
        <v>0</v>
      </c>
      <c r="J23" s="1879">
        <f t="shared" si="2"/>
        <v>0</v>
      </c>
    </row>
    <row r="24" spans="1:12" ht="12" customHeight="1" x14ac:dyDescent="0.2">
      <c r="A24" s="1864" t="s">
        <v>1613</v>
      </c>
      <c r="B24" s="1865"/>
      <c r="C24" s="1866"/>
      <c r="D24" s="1866"/>
      <c r="E24" s="1869"/>
      <c r="F24" s="1868"/>
      <c r="H24" s="1879">
        <f t="shared" si="0"/>
        <v>0</v>
      </c>
      <c r="I24" s="1879">
        <f t="shared" si="1"/>
        <v>0</v>
      </c>
      <c r="J24" s="1879">
        <f t="shared" si="2"/>
        <v>0</v>
      </c>
    </row>
    <row r="25" spans="1:12" ht="12" customHeight="1" x14ac:dyDescent="0.2">
      <c r="A25" s="1864" t="s">
        <v>1614</v>
      </c>
      <c r="B25" s="1865"/>
      <c r="C25" s="1866"/>
      <c r="D25" s="1866"/>
      <c r="E25" s="1869"/>
      <c r="F25" s="1868"/>
      <c r="H25" s="1879">
        <f t="shared" si="0"/>
        <v>0</v>
      </c>
      <c r="I25" s="1879">
        <f t="shared" si="1"/>
        <v>0</v>
      </c>
      <c r="J25" s="1879">
        <f t="shared" si="2"/>
        <v>0</v>
      </c>
    </row>
    <row r="26" spans="1:12" ht="12" customHeight="1" x14ac:dyDescent="0.2">
      <c r="A26" s="1864" t="s">
        <v>1615</v>
      </c>
      <c r="B26" s="1865"/>
      <c r="C26" s="1955" t="s">
        <v>2084</v>
      </c>
      <c r="D26" s="1955" t="s">
        <v>2084</v>
      </c>
      <c r="E26" s="1957" t="s">
        <v>2084</v>
      </c>
      <c r="F26" s="1956" t="s">
        <v>3844</v>
      </c>
      <c r="H26" s="1879">
        <f t="shared" si="0"/>
        <v>5</v>
      </c>
      <c r="I26" s="1879">
        <f t="shared" si="1"/>
        <v>5</v>
      </c>
      <c r="J26" s="1879">
        <f t="shared" si="2"/>
        <v>5</v>
      </c>
    </row>
    <row r="27" spans="1:12" ht="18.75" x14ac:dyDescent="0.2">
      <c r="A27" s="1864" t="s">
        <v>1616</v>
      </c>
      <c r="B27" s="1865"/>
      <c r="C27" s="1866"/>
      <c r="D27" s="1866"/>
      <c r="E27" s="1869"/>
      <c r="F27" s="1868"/>
      <c r="H27" s="1879">
        <f t="shared" si="0"/>
        <v>0</v>
      </c>
      <c r="I27" s="1879">
        <f t="shared" si="1"/>
        <v>0</v>
      </c>
      <c r="J27" s="1879">
        <f t="shared" si="2"/>
        <v>0</v>
      </c>
    </row>
    <row r="28" spans="1:12" ht="12" customHeight="1" x14ac:dyDescent="0.2">
      <c r="A28" s="1864" t="s">
        <v>1617</v>
      </c>
      <c r="B28" s="1865"/>
      <c r="C28" s="1866"/>
      <c r="D28" s="1866"/>
      <c r="E28" s="1869"/>
      <c r="F28" s="1868"/>
      <c r="H28" s="1879">
        <f t="shared" si="0"/>
        <v>0</v>
      </c>
      <c r="I28" s="1879">
        <f t="shared" si="1"/>
        <v>0</v>
      </c>
      <c r="J28" s="1879">
        <f t="shared" si="2"/>
        <v>0</v>
      </c>
    </row>
    <row r="29" spans="1:12" ht="12" customHeight="1" x14ac:dyDescent="0.2">
      <c r="A29" s="1864" t="s">
        <v>1618</v>
      </c>
      <c r="B29" s="1865"/>
      <c r="C29" s="1866"/>
      <c r="D29" s="1866"/>
      <c r="E29" s="1869"/>
      <c r="F29" s="1868"/>
      <c r="H29" s="1879">
        <f t="shared" si="0"/>
        <v>0</v>
      </c>
      <c r="I29" s="1879">
        <f t="shared" si="1"/>
        <v>0</v>
      </c>
      <c r="J29" s="1879">
        <f t="shared" si="2"/>
        <v>0</v>
      </c>
    </row>
    <row r="30" spans="1:12" ht="12" customHeight="1" x14ac:dyDescent="0.2">
      <c r="A30" s="1864" t="s">
        <v>1619</v>
      </c>
      <c r="B30" s="1865"/>
      <c r="C30" s="1866"/>
      <c r="D30" s="1866"/>
      <c r="E30" s="1869"/>
      <c r="F30" s="1868"/>
      <c r="H30" s="1879">
        <f t="shared" si="0"/>
        <v>0</v>
      </c>
      <c r="I30" s="1879">
        <f t="shared" si="1"/>
        <v>0</v>
      </c>
      <c r="J30" s="1879">
        <f t="shared" si="2"/>
        <v>0</v>
      </c>
    </row>
    <row r="31" spans="1:12" ht="12" customHeight="1" x14ac:dyDescent="0.2">
      <c r="A31" s="1864" t="s">
        <v>1620</v>
      </c>
      <c r="B31" s="1865"/>
      <c r="C31" s="1866"/>
      <c r="D31" s="1866"/>
      <c r="E31" s="1869"/>
      <c r="F31" s="1868"/>
      <c r="H31" s="1879">
        <f t="shared" si="0"/>
        <v>0</v>
      </c>
      <c r="I31" s="1879">
        <f t="shared" si="1"/>
        <v>0</v>
      </c>
      <c r="J31" s="1879">
        <f t="shared" si="2"/>
        <v>0</v>
      </c>
      <c r="L31" s="1870"/>
    </row>
    <row r="32" spans="1:12" ht="12" customHeight="1" x14ac:dyDescent="0.2">
      <c r="A32" s="1864" t="s">
        <v>1621</v>
      </c>
      <c r="B32" s="1865"/>
      <c r="C32" s="1866"/>
      <c r="D32" s="1866"/>
      <c r="E32" s="1869"/>
      <c r="F32" s="1868"/>
      <c r="H32" s="1879">
        <f t="shared" si="0"/>
        <v>0</v>
      </c>
      <c r="I32" s="1879">
        <f t="shared" si="1"/>
        <v>0</v>
      </c>
      <c r="J32" s="1879">
        <f t="shared" si="2"/>
        <v>0</v>
      </c>
    </row>
    <row r="33" spans="1:11" ht="12" customHeight="1" x14ac:dyDescent="0.2">
      <c r="A33" s="1864" t="s">
        <v>1622</v>
      </c>
      <c r="B33" s="1865"/>
      <c r="C33" s="1866"/>
      <c r="D33" s="1866"/>
      <c r="E33" s="1869"/>
      <c r="F33" s="1868"/>
      <c r="H33" s="1879">
        <f t="shared" si="0"/>
        <v>0</v>
      </c>
      <c r="I33" s="1879">
        <f t="shared" si="1"/>
        <v>0</v>
      </c>
      <c r="J33" s="1879">
        <f t="shared" si="2"/>
        <v>0</v>
      </c>
    </row>
    <row r="34" spans="1:11" ht="12" customHeight="1" x14ac:dyDescent="0.25">
      <c r="A34" s="1871"/>
      <c r="B34" s="1871"/>
      <c r="C34" s="1871"/>
      <c r="D34" s="1871"/>
      <c r="E34" s="1871"/>
      <c r="F34" s="1871"/>
      <c r="H34" s="1879">
        <f>SUM(H11:H32)</f>
        <v>10</v>
      </c>
      <c r="I34" s="1879">
        <f>SUM(I11:I32)</f>
        <v>10</v>
      </c>
      <c r="J34" s="1879">
        <f>SUM(J11:J32)</f>
        <v>10</v>
      </c>
      <c r="K34" s="1879">
        <f>SUM(H34:J34)</f>
        <v>30</v>
      </c>
    </row>
    <row r="35" spans="1:11" ht="12" customHeight="1" x14ac:dyDescent="0.2">
      <c r="A35" s="1872" t="s">
        <v>1459</v>
      </c>
      <c r="B35" s="1873"/>
      <c r="C35" s="2352"/>
      <c r="D35" s="2352"/>
      <c r="E35" s="2352"/>
      <c r="F35" s="2353"/>
    </row>
    <row r="36" spans="1:11" ht="12" customHeight="1" x14ac:dyDescent="0.2">
      <c r="A36" s="2343"/>
      <c r="B36" s="2344"/>
      <c r="C36" s="2344"/>
      <c r="D36" s="2344"/>
      <c r="E36" s="2344"/>
      <c r="F36" s="2345"/>
    </row>
    <row r="37" spans="1:11" ht="12" customHeight="1" x14ac:dyDescent="0.2">
      <c r="A37" s="2343"/>
      <c r="B37" s="2344"/>
      <c r="C37" s="2344"/>
      <c r="D37" s="2344"/>
      <c r="E37" s="2344"/>
      <c r="F37" s="2345"/>
    </row>
    <row r="38" spans="1:11" ht="12" customHeight="1" x14ac:dyDescent="0.2">
      <c r="A38" s="2357"/>
      <c r="B38" s="2358"/>
      <c r="C38" s="2358"/>
      <c r="D38" s="2358"/>
      <c r="E38" s="2358"/>
      <c r="F38" s="2359"/>
    </row>
    <row r="39" spans="1:11" ht="4.5" hidden="1" customHeight="1" x14ac:dyDescent="0.2">
      <c r="A39" s="1874"/>
      <c r="B39" s="1874"/>
      <c r="C39" s="1874"/>
      <c r="D39" s="1874"/>
      <c r="E39" s="1874"/>
      <c r="F39" s="1874"/>
    </row>
    <row r="40" spans="1:11" s="1871" customFormat="1" ht="12" customHeight="1" x14ac:dyDescent="0.25">
      <c r="A40" s="1875" t="s">
        <v>1458</v>
      </c>
      <c r="B40" s="1876"/>
      <c r="C40" s="2360"/>
      <c r="D40" s="2360"/>
      <c r="E40" s="2360"/>
      <c r="F40" s="2361"/>
      <c r="H40" s="1880"/>
      <c r="I40" s="1880"/>
      <c r="J40" s="1880"/>
      <c r="K40" s="1880"/>
    </row>
    <row r="41" spans="1:11" s="1871" customFormat="1" ht="12" customHeight="1" x14ac:dyDescent="0.25">
      <c r="A41" s="2362"/>
      <c r="B41" s="2363"/>
      <c r="C41" s="2363"/>
      <c r="D41" s="2363"/>
      <c r="E41" s="2363"/>
      <c r="F41" s="2364"/>
      <c r="H41" s="1880"/>
      <c r="I41" s="1880"/>
      <c r="J41" s="1880"/>
      <c r="K41" s="1880"/>
    </row>
    <row r="42" spans="1:11" s="1871" customFormat="1" ht="12" customHeight="1" x14ac:dyDescent="0.25">
      <c r="A42" s="2362"/>
      <c r="B42" s="2363"/>
      <c r="C42" s="2363"/>
      <c r="D42" s="2363"/>
      <c r="E42" s="2363"/>
      <c r="F42" s="2364"/>
      <c r="H42" s="1880"/>
      <c r="I42" s="1880"/>
      <c r="J42" s="1880"/>
      <c r="K42" s="1880"/>
    </row>
    <row r="43" spans="1:11" s="1871" customFormat="1" ht="15" x14ac:dyDescent="0.25">
      <c r="A43" s="2354"/>
      <c r="B43" s="2355"/>
      <c r="C43" s="2355"/>
      <c r="D43" s="2355"/>
      <c r="E43" s="2355"/>
      <c r="F43" s="2356"/>
      <c r="H43" s="1880"/>
      <c r="I43" s="1880"/>
      <c r="J43" s="1880"/>
      <c r="K43" s="1880"/>
    </row>
    <row r="44" spans="1:11" s="1871" customFormat="1" ht="12" hidden="1" customHeight="1" x14ac:dyDescent="0.25">
      <c r="A44" s="2354"/>
      <c r="B44" s="2355"/>
      <c r="C44" s="2355"/>
      <c r="D44" s="2355"/>
      <c r="E44" s="2355"/>
      <c r="F44" s="2356"/>
      <c r="H44" s="1880"/>
      <c r="I44" s="1880"/>
      <c r="J44" s="1880"/>
      <c r="K44" s="1880"/>
    </row>
    <row r="45" spans="1:11" s="1871" customFormat="1" ht="12" customHeight="1" x14ac:dyDescent="0.25">
      <c r="H45" s="1880"/>
      <c r="I45" s="1880"/>
      <c r="J45" s="1880"/>
      <c r="K45" s="1880"/>
    </row>
    <row r="46" spans="1:11" s="1871" customFormat="1" ht="9.75" customHeight="1" x14ac:dyDescent="0.25">
      <c r="H46" s="1880"/>
      <c r="I46" s="1880"/>
      <c r="J46" s="1880"/>
      <c r="K46" s="1880"/>
    </row>
    <row r="47" spans="1:11" s="1871" customFormat="1" ht="13.5" customHeight="1" x14ac:dyDescent="0.25">
      <c r="H47" s="1880"/>
      <c r="I47" s="1880"/>
      <c r="J47" s="1880"/>
      <c r="K47" s="1880"/>
    </row>
    <row r="48" spans="1:11" s="1871" customFormat="1" ht="15" x14ac:dyDescent="0.25">
      <c r="H48" s="1880"/>
      <c r="I48" s="1880"/>
      <c r="J48" s="1880"/>
      <c r="K48" s="1880"/>
    </row>
    <row r="49" spans="1:11" s="1871" customFormat="1" ht="15" hidden="1" x14ac:dyDescent="0.25">
      <c r="A49" s="1871" t="b">
        <v>0</v>
      </c>
      <c r="H49" s="1880"/>
      <c r="I49" s="1880"/>
      <c r="J49" s="1880"/>
      <c r="K49" s="1880"/>
    </row>
    <row r="50" spans="1:11" s="1871" customFormat="1" ht="15" x14ac:dyDescent="0.25">
      <c r="H50" s="1880"/>
      <c r="I50" s="1880"/>
      <c r="J50" s="1880"/>
      <c r="K50" s="1880"/>
    </row>
    <row r="51" spans="1:11" s="1871" customFormat="1" ht="15" x14ac:dyDescent="0.25">
      <c r="H51" s="1880"/>
      <c r="I51" s="1880"/>
      <c r="J51" s="1880"/>
      <c r="K51" s="1880"/>
    </row>
    <row r="52" spans="1:11" s="1871" customFormat="1" ht="15" x14ac:dyDescent="0.25">
      <c r="H52" s="1880"/>
      <c r="I52" s="1880"/>
      <c r="J52" s="1880"/>
      <c r="K52" s="1880"/>
    </row>
    <row r="53" spans="1:11" s="1871" customFormat="1" ht="15" x14ac:dyDescent="0.25">
      <c r="H53" s="1880"/>
      <c r="I53" s="1880"/>
      <c r="J53" s="1880"/>
      <c r="K53" s="1880"/>
    </row>
    <row r="54" spans="1:11" s="1871" customFormat="1" ht="15" x14ac:dyDescent="0.25">
      <c r="H54" s="1880"/>
      <c r="I54" s="1880"/>
      <c r="J54" s="1880"/>
      <c r="K54" s="1880"/>
    </row>
    <row r="55" spans="1:11" s="1871" customFormat="1" ht="15" x14ac:dyDescent="0.25">
      <c r="H55" s="1880"/>
      <c r="I55" s="1880"/>
      <c r="J55" s="1880"/>
      <c r="K55" s="1880"/>
    </row>
    <row r="56" spans="1:11" s="1871" customFormat="1" ht="15" x14ac:dyDescent="0.25">
      <c r="H56" s="1880"/>
      <c r="I56" s="1880"/>
      <c r="J56" s="1880"/>
      <c r="K56" s="1880"/>
    </row>
    <row r="57" spans="1:11" s="1871" customFormat="1" ht="15" x14ac:dyDescent="0.25">
      <c r="H57" s="1880"/>
      <c r="I57" s="1880"/>
      <c r="J57" s="1880"/>
      <c r="K57" s="1880"/>
    </row>
    <row r="58" spans="1:11" s="1871" customFormat="1" ht="15" x14ac:dyDescent="0.25">
      <c r="H58" s="1880"/>
      <c r="I58" s="1880"/>
      <c r="J58" s="1880"/>
      <c r="K58" s="1880"/>
    </row>
    <row r="59" spans="1:11" s="1871" customFormat="1" ht="15" x14ac:dyDescent="0.25">
      <c r="H59" s="1880"/>
      <c r="I59" s="1880"/>
      <c r="J59" s="1880"/>
      <c r="K59" s="1880"/>
    </row>
    <row r="60" spans="1:11" s="1871" customFormat="1" ht="15" x14ac:dyDescent="0.25">
      <c r="H60" s="1880"/>
      <c r="I60" s="1880"/>
      <c r="J60" s="1880"/>
      <c r="K60" s="1880"/>
    </row>
    <row r="61" spans="1:11" s="1871" customFormat="1" ht="15" x14ac:dyDescent="0.25">
      <c r="H61" s="1880"/>
      <c r="I61" s="1880"/>
      <c r="J61" s="1880"/>
      <c r="K61" s="1880"/>
    </row>
    <row r="62" spans="1:11" s="1871" customFormat="1" ht="15" x14ac:dyDescent="0.25">
      <c r="H62" s="1880"/>
      <c r="I62" s="1880"/>
      <c r="J62" s="1880"/>
      <c r="K62" s="1880"/>
    </row>
    <row r="63" spans="1:11" s="1871" customFormat="1" ht="15" x14ac:dyDescent="0.25">
      <c r="H63" s="1880"/>
      <c r="I63" s="1880"/>
      <c r="J63" s="1880"/>
      <c r="K63" s="1880"/>
    </row>
    <row r="64" spans="1:11" s="1871" customFormat="1" ht="15" x14ac:dyDescent="0.25">
      <c r="H64" s="1880"/>
      <c r="I64" s="1880"/>
      <c r="J64" s="1880"/>
      <c r="K64" s="1880"/>
    </row>
    <row r="65" spans="8:11" s="1871" customFormat="1" ht="15" x14ac:dyDescent="0.25">
      <c r="H65" s="1880"/>
      <c r="I65" s="1880"/>
      <c r="J65" s="1880"/>
      <c r="K65" s="1880"/>
    </row>
    <row r="66" spans="8:11" s="1871" customFormat="1" ht="15" x14ac:dyDescent="0.25">
      <c r="H66" s="1880"/>
      <c r="I66" s="1880"/>
      <c r="J66" s="1880"/>
      <c r="K66" s="1880"/>
    </row>
    <row r="67" spans="8:11" s="1871" customFormat="1" ht="15" x14ac:dyDescent="0.25">
      <c r="H67" s="1880"/>
      <c r="I67" s="1880"/>
      <c r="J67" s="1880"/>
      <c r="K67" s="1880"/>
    </row>
    <row r="68" spans="8:11" s="1871" customFormat="1" ht="15" x14ac:dyDescent="0.25">
      <c r="H68" s="1880"/>
      <c r="I68" s="1880"/>
      <c r="J68" s="1880"/>
      <c r="K68" s="1880"/>
    </row>
    <row r="69" spans="8:11" s="1871" customFormat="1" ht="15" x14ac:dyDescent="0.25">
      <c r="H69" s="1880"/>
      <c r="I69" s="1880"/>
      <c r="J69" s="1880"/>
      <c r="K69" s="1880"/>
    </row>
    <row r="70" spans="8:11" s="1871" customFormat="1" ht="15" x14ac:dyDescent="0.25">
      <c r="H70" s="1880"/>
      <c r="I70" s="1880"/>
      <c r="J70" s="1880"/>
      <c r="K70" s="1880"/>
    </row>
    <row r="71" spans="8:11" s="1871" customFormat="1" ht="15" x14ac:dyDescent="0.25">
      <c r="H71" s="1880"/>
      <c r="I71" s="1880"/>
      <c r="J71" s="1880"/>
      <c r="K71" s="1880"/>
    </row>
    <row r="72" spans="8:11" s="1871" customFormat="1" ht="15" x14ac:dyDescent="0.25">
      <c r="H72" s="1880"/>
      <c r="I72" s="1880"/>
      <c r="J72" s="1880"/>
      <c r="K72" s="1880"/>
    </row>
    <row r="73" spans="8:11" s="1871" customFormat="1" ht="15" x14ac:dyDescent="0.25">
      <c r="H73" s="1880"/>
      <c r="I73" s="1880"/>
      <c r="J73" s="1880"/>
      <c r="K73" s="1880"/>
    </row>
    <row r="74" spans="8:11" s="1871" customFormat="1" ht="15" x14ac:dyDescent="0.25">
      <c r="H74" s="1880"/>
      <c r="I74" s="1880"/>
      <c r="J74" s="1880"/>
      <c r="K74" s="1880"/>
    </row>
    <row r="75" spans="8:11" s="1871" customFormat="1" ht="15" x14ac:dyDescent="0.25">
      <c r="H75" s="1880"/>
      <c r="I75" s="1880"/>
      <c r="J75" s="1880"/>
      <c r="K75" s="1880"/>
    </row>
    <row r="76" spans="8:11" s="1871" customFormat="1" ht="15" x14ac:dyDescent="0.25">
      <c r="H76" s="1880"/>
      <c r="I76" s="1880"/>
      <c r="J76" s="1880"/>
      <c r="K76" s="1880"/>
    </row>
    <row r="77" spans="8:11" s="1871" customFormat="1" ht="15" x14ac:dyDescent="0.25">
      <c r="H77" s="1880"/>
      <c r="I77" s="1880"/>
      <c r="J77" s="1880"/>
      <c r="K77" s="1880"/>
    </row>
    <row r="78" spans="8:11" s="1871" customFormat="1" ht="15" x14ac:dyDescent="0.25">
      <c r="H78" s="1880"/>
      <c r="I78" s="1880"/>
      <c r="J78" s="1880"/>
      <c r="K78" s="1880"/>
    </row>
    <row r="79" spans="8:11" s="1871" customFormat="1" ht="15" x14ac:dyDescent="0.25">
      <c r="H79" s="1880"/>
      <c r="I79" s="1880"/>
      <c r="J79" s="1880"/>
      <c r="K79" s="1880"/>
    </row>
    <row r="80" spans="8:11" s="1871" customFormat="1" ht="15" x14ac:dyDescent="0.25">
      <c r="H80" s="1880"/>
      <c r="I80" s="1880"/>
      <c r="J80" s="1880"/>
      <c r="K80" s="1880"/>
    </row>
    <row r="81" spans="8:11" s="1871" customFormat="1" ht="15" x14ac:dyDescent="0.25">
      <c r="H81" s="1880"/>
      <c r="I81" s="1880"/>
      <c r="J81" s="1880"/>
      <c r="K81" s="1880"/>
    </row>
    <row r="82" spans="8:11" s="1871" customFormat="1" ht="15" x14ac:dyDescent="0.25">
      <c r="H82" s="1880"/>
      <c r="I82" s="1880"/>
      <c r="J82" s="1880"/>
      <c r="K82" s="1880"/>
    </row>
    <row r="83" spans="8:11" s="1871" customFormat="1" ht="15" x14ac:dyDescent="0.25">
      <c r="H83" s="1880"/>
      <c r="I83" s="1880"/>
      <c r="J83" s="1880"/>
      <c r="K83" s="1880"/>
    </row>
    <row r="84" spans="8:11" s="1871" customFormat="1" ht="15" x14ac:dyDescent="0.25">
      <c r="H84" s="1880"/>
      <c r="I84" s="1880"/>
      <c r="J84" s="1880"/>
      <c r="K84" s="1880"/>
    </row>
    <row r="85" spans="8:11" s="1871" customFormat="1" ht="15" x14ac:dyDescent="0.25">
      <c r="H85" s="1880"/>
      <c r="I85" s="1880"/>
      <c r="J85" s="1880"/>
      <c r="K85" s="1880"/>
    </row>
    <row r="86" spans="8:11" s="1871" customFormat="1" ht="15" x14ac:dyDescent="0.25">
      <c r="H86" s="1880"/>
      <c r="I86" s="1880"/>
      <c r="J86" s="1880"/>
      <c r="K86" s="1880"/>
    </row>
    <row r="87" spans="8:11" s="1871" customFormat="1" ht="15" x14ac:dyDescent="0.25">
      <c r="H87" s="1880"/>
      <c r="I87" s="1880"/>
      <c r="J87" s="1880"/>
      <c r="K87" s="1880"/>
    </row>
    <row r="88" spans="8:11" s="1871" customFormat="1" ht="15" x14ac:dyDescent="0.25">
      <c r="H88" s="1880"/>
      <c r="I88" s="1880"/>
      <c r="J88" s="1880"/>
      <c r="K88" s="1880"/>
    </row>
    <row r="89" spans="8:11" s="1871" customFormat="1" ht="15" x14ac:dyDescent="0.25">
      <c r="H89" s="1880"/>
      <c r="I89" s="1880"/>
      <c r="J89" s="1880"/>
      <c r="K89" s="1880"/>
    </row>
    <row r="90" spans="8:11" s="1871" customFormat="1" ht="15" x14ac:dyDescent="0.25">
      <c r="H90" s="1880"/>
      <c r="I90" s="1880"/>
      <c r="J90" s="1880"/>
      <c r="K90" s="1880"/>
    </row>
    <row r="91" spans="8:11" s="1871" customFormat="1" ht="15" x14ac:dyDescent="0.25">
      <c r="H91" s="1880"/>
      <c r="I91" s="1880"/>
      <c r="J91" s="1880"/>
      <c r="K91" s="1880"/>
    </row>
    <row r="92" spans="8:11" s="1871" customFormat="1" ht="15" x14ac:dyDescent="0.25">
      <c r="H92" s="1880"/>
      <c r="I92" s="1880"/>
      <c r="J92" s="1880"/>
      <c r="K92" s="1880"/>
    </row>
    <row r="93" spans="8:11" s="1871" customFormat="1" ht="15" x14ac:dyDescent="0.25">
      <c r="H93" s="1880"/>
      <c r="I93" s="1880"/>
      <c r="J93" s="1880"/>
      <c r="K93" s="1880"/>
    </row>
    <row r="94" spans="8:11" s="1871" customFormat="1" ht="15" x14ac:dyDescent="0.25">
      <c r="H94" s="1880"/>
      <c r="I94" s="1880"/>
      <c r="J94" s="1880"/>
      <c r="K94" s="1880"/>
    </row>
    <row r="95" spans="8:11" s="1871" customFormat="1" ht="15" x14ac:dyDescent="0.25">
      <c r="H95" s="1880"/>
      <c r="I95" s="1880"/>
      <c r="J95" s="1880"/>
      <c r="K95" s="1880"/>
    </row>
    <row r="96" spans="8:11" s="1871" customFormat="1" ht="15" x14ac:dyDescent="0.25">
      <c r="H96" s="1880"/>
      <c r="I96" s="1880"/>
      <c r="J96" s="1880"/>
      <c r="K96" s="1880"/>
    </row>
    <row r="97" spans="8:11" s="1871" customFormat="1" ht="15" x14ac:dyDescent="0.25">
      <c r="H97" s="1880"/>
      <c r="I97" s="1880"/>
      <c r="J97" s="1880"/>
      <c r="K97" s="188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heetViews>
  <sheetFormatPr defaultColWidth="9.140625" defaultRowHeight="12.75" x14ac:dyDescent="0.2"/>
  <cols>
    <col min="1" max="1" width="3" style="991" customWidth="1"/>
    <col min="2" max="2" width="2.7109375" style="991" customWidth="1"/>
    <col min="3" max="3" width="38.5703125" style="991" customWidth="1"/>
    <col min="4" max="4" width="6.42578125" style="991" customWidth="1"/>
    <col min="5" max="10" width="15.7109375" style="991" customWidth="1"/>
    <col min="11" max="14" width="4.7109375" style="991" customWidth="1"/>
    <col min="15" max="16384" width="9.140625" style="991"/>
  </cols>
  <sheetData>
    <row r="1" spans="1:17" ht="11.85" customHeight="1" x14ac:dyDescent="0.2">
      <c r="A1" s="989"/>
      <c r="B1" s="990"/>
      <c r="E1" s="992"/>
      <c r="F1" s="993" t="s">
        <v>425</v>
      </c>
      <c r="G1" s="994"/>
    </row>
    <row r="2" spans="1:17" ht="11.85" customHeight="1" x14ac:dyDescent="0.2">
      <c r="A2" s="989"/>
      <c r="B2" s="990"/>
      <c r="E2" s="992"/>
      <c r="F2" s="995" t="s">
        <v>308</v>
      </c>
      <c r="G2" s="994"/>
    </row>
    <row r="3" spans="1:17" ht="11.85" customHeight="1" x14ac:dyDescent="0.2">
      <c r="E3" s="992"/>
      <c r="F3" s="995" t="s">
        <v>426</v>
      </c>
      <c r="G3" s="992"/>
    </row>
    <row r="4" spans="1:17" ht="11.85" customHeight="1" x14ac:dyDescent="0.2">
      <c r="E4" s="992"/>
      <c r="F4" s="995" t="s">
        <v>923</v>
      </c>
      <c r="G4" s="992"/>
    </row>
    <row r="5" spans="1:17" ht="12.2" customHeight="1" x14ac:dyDescent="0.2">
      <c r="F5" s="995"/>
    </row>
    <row r="6" spans="1:17" x14ac:dyDescent="0.2">
      <c r="A6" s="1895" t="s">
        <v>693</v>
      </c>
      <c r="B6" s="1644"/>
      <c r="C6" s="1644"/>
      <c r="D6" s="1644"/>
      <c r="E6" s="1645"/>
      <c r="F6" s="996"/>
      <c r="G6" s="990"/>
      <c r="H6" s="997" t="s">
        <v>1086</v>
      </c>
      <c r="I6" s="2370" t="str">
        <f>COVER!A17</f>
        <v>Ottawa ESD 141</v>
      </c>
      <c r="J6" s="2371"/>
      <c r="Q6" s="1664"/>
    </row>
    <row r="7" spans="1:17" x14ac:dyDescent="0.2">
      <c r="A7" s="2372" t="s">
        <v>924</v>
      </c>
      <c r="B7" s="2373"/>
      <c r="C7" s="2373"/>
      <c r="D7" s="2373"/>
      <c r="E7" s="2374"/>
      <c r="F7" s="998"/>
      <c r="G7" s="990"/>
      <c r="H7" s="997" t="s">
        <v>390</v>
      </c>
      <c r="I7" s="2375">
        <f>COVER!A13</f>
        <v>35050141002</v>
      </c>
      <c r="J7" s="2375"/>
    </row>
    <row r="8" spans="1:17" ht="8.25" customHeight="1" x14ac:dyDescent="0.2">
      <c r="A8" s="1646"/>
      <c r="B8" s="1647"/>
      <c r="C8" s="1647"/>
      <c r="D8" s="1647"/>
      <c r="E8" s="1648"/>
      <c r="F8" s="999"/>
      <c r="G8" s="1000"/>
      <c r="H8" s="1000"/>
      <c r="I8" s="1000"/>
      <c r="J8" s="1000"/>
    </row>
    <row r="9" spans="1:17" ht="13.5" customHeight="1" x14ac:dyDescent="0.2">
      <c r="A9" s="1001"/>
      <c r="B9" s="1002"/>
      <c r="C9" s="1002"/>
      <c r="D9" s="1003"/>
      <c r="E9" s="1896" t="s">
        <v>1701</v>
      </c>
      <c r="F9" s="1004"/>
      <c r="G9" s="1004"/>
      <c r="H9" s="1897" t="s">
        <v>1702</v>
      </c>
      <c r="I9" s="1004"/>
      <c r="J9" s="1005"/>
    </row>
    <row r="10" spans="1:17" s="1013" customFormat="1" ht="13.5" customHeight="1" x14ac:dyDescent="0.2">
      <c r="A10" s="1006"/>
      <c r="B10" s="1007"/>
      <c r="C10" s="1008"/>
      <c r="D10" s="1009"/>
      <c r="E10" s="1010" t="s">
        <v>445</v>
      </c>
      <c r="F10" s="1011" t="s">
        <v>446</v>
      </c>
      <c r="G10" s="1012"/>
      <c r="H10" s="1011" t="s">
        <v>445</v>
      </c>
      <c r="I10" s="1011" t="s">
        <v>446</v>
      </c>
      <c r="J10" s="1011"/>
    </row>
    <row r="11" spans="1:17" s="1013" customFormat="1" ht="22.5" x14ac:dyDescent="0.2">
      <c r="A11" s="2376" t="s">
        <v>502</v>
      </c>
      <c r="B11" s="2377"/>
      <c r="C11" s="2378"/>
      <c r="D11" s="1014" t="s">
        <v>926</v>
      </c>
      <c r="E11" s="1014" t="s">
        <v>66</v>
      </c>
      <c r="F11" s="1014" t="s">
        <v>6</v>
      </c>
      <c r="G11" s="1015" t="s">
        <v>158</v>
      </c>
      <c r="H11" s="1015" t="s">
        <v>66</v>
      </c>
      <c r="I11" s="1014" t="s">
        <v>6</v>
      </c>
      <c r="J11" s="1015" t="s">
        <v>158</v>
      </c>
    </row>
    <row r="12" spans="1:17" ht="15" customHeight="1" x14ac:dyDescent="0.2">
      <c r="A12" s="1016">
        <v>1</v>
      </c>
      <c r="B12" s="1017" t="s">
        <v>872</v>
      </c>
      <c r="C12" s="1018"/>
      <c r="D12" s="1019">
        <v>2320</v>
      </c>
      <c r="E12" s="1812">
        <f>'Expenditures 15-22'!K50</f>
        <v>289127</v>
      </c>
      <c r="F12" s="1020"/>
      <c r="G12" s="1812">
        <f t="shared" ref="G12:G18" si="0">SUM(E12:F12)</f>
        <v>289127</v>
      </c>
      <c r="H12" s="1021">
        <v>303996</v>
      </c>
      <c r="I12" s="1020"/>
      <c r="J12" s="1812">
        <f t="shared" ref="J12:J18" si="1">SUM(H12:I12)</f>
        <v>303996</v>
      </c>
    </row>
    <row r="13" spans="1:17" ht="15" customHeight="1" x14ac:dyDescent="0.2">
      <c r="A13" s="1016">
        <v>2</v>
      </c>
      <c r="B13" s="1017" t="s">
        <v>44</v>
      </c>
      <c r="C13" s="1018"/>
      <c r="D13" s="1019">
        <v>2330</v>
      </c>
      <c r="E13" s="1812">
        <f>'Expenditures 15-22'!K51</f>
        <v>0</v>
      </c>
      <c r="F13" s="1020"/>
      <c r="G13" s="1812">
        <f t="shared" si="0"/>
        <v>0</v>
      </c>
      <c r="H13" s="1021"/>
      <c r="I13" s="1020"/>
      <c r="J13" s="1812">
        <f t="shared" si="1"/>
        <v>0</v>
      </c>
    </row>
    <row r="14" spans="1:17" ht="15" customHeight="1" x14ac:dyDescent="0.2">
      <c r="A14" s="1016">
        <v>3</v>
      </c>
      <c r="B14" s="1017" t="s">
        <v>45</v>
      </c>
      <c r="C14" s="1018"/>
      <c r="D14" s="1022">
        <v>2490</v>
      </c>
      <c r="E14" s="1812">
        <f>'Expenditures 15-22'!K56</f>
        <v>0</v>
      </c>
      <c r="F14" s="1020"/>
      <c r="G14" s="1812">
        <f t="shared" si="0"/>
        <v>0</v>
      </c>
      <c r="H14" s="1021"/>
      <c r="I14" s="1020"/>
      <c r="J14" s="1812">
        <f t="shared" si="1"/>
        <v>0</v>
      </c>
    </row>
    <row r="15" spans="1:17" ht="15" customHeight="1" x14ac:dyDescent="0.2">
      <c r="A15" s="1016">
        <v>4</v>
      </c>
      <c r="B15" s="1017" t="s">
        <v>1128</v>
      </c>
      <c r="C15" s="1018"/>
      <c r="D15" s="1019">
        <v>2510</v>
      </c>
      <c r="E15" s="1812">
        <f>'Expenditures 15-22'!K59</f>
        <v>0</v>
      </c>
      <c r="F15" s="1812">
        <f>'Expenditures 15-22'!K122</f>
        <v>0</v>
      </c>
      <c r="G15" s="1812">
        <f t="shared" si="0"/>
        <v>0</v>
      </c>
      <c r="H15" s="1021"/>
      <c r="I15" s="1021"/>
      <c r="J15" s="1812">
        <f t="shared" si="1"/>
        <v>0</v>
      </c>
    </row>
    <row r="16" spans="1:17" ht="15" customHeight="1" x14ac:dyDescent="0.2">
      <c r="A16" s="1016">
        <v>5</v>
      </c>
      <c r="B16" s="1017" t="s">
        <v>103</v>
      </c>
      <c r="C16" s="1018"/>
      <c r="D16" s="1019">
        <v>2570</v>
      </c>
      <c r="E16" s="1812">
        <f>'Expenditures 15-22'!K64</f>
        <v>12849</v>
      </c>
      <c r="F16" s="1020"/>
      <c r="G16" s="1812">
        <f t="shared" si="0"/>
        <v>12849</v>
      </c>
      <c r="H16" s="1021">
        <v>23903</v>
      </c>
      <c r="I16" s="1020"/>
      <c r="J16" s="1812">
        <f t="shared" si="1"/>
        <v>23903</v>
      </c>
    </row>
    <row r="17" spans="1:10" ht="15" customHeight="1" x14ac:dyDescent="0.2">
      <c r="A17" s="1016">
        <v>6</v>
      </c>
      <c r="B17" s="1017" t="s">
        <v>1120</v>
      </c>
      <c r="C17" s="1018"/>
      <c r="D17" s="1019">
        <v>2610</v>
      </c>
      <c r="E17" s="1812">
        <f>'Expenditures 15-22'!K67</f>
        <v>0</v>
      </c>
      <c r="F17" s="1020"/>
      <c r="G17" s="1812">
        <f t="shared" si="0"/>
        <v>0</v>
      </c>
      <c r="H17" s="1021"/>
      <c r="I17" s="1020"/>
      <c r="J17" s="1812">
        <f t="shared" si="1"/>
        <v>0</v>
      </c>
    </row>
    <row r="18" spans="1:10" ht="22.5" customHeight="1" x14ac:dyDescent="0.2">
      <c r="A18" s="1023">
        <v>7</v>
      </c>
      <c r="B18" s="2379" t="s">
        <v>7</v>
      </c>
      <c r="C18" s="2380"/>
      <c r="D18" s="2381"/>
      <c r="E18" s="1024"/>
      <c r="F18" s="1024"/>
      <c r="G18" s="1813">
        <f t="shared" si="0"/>
        <v>0</v>
      </c>
      <c r="H18" s="1021"/>
      <c r="I18" s="1021"/>
      <c r="J18" s="1812">
        <f t="shared" si="1"/>
        <v>0</v>
      </c>
    </row>
    <row r="19" spans="1:10" ht="12.75" customHeight="1" thickBot="1" x14ac:dyDescent="0.25">
      <c r="A19" s="1016">
        <v>8</v>
      </c>
      <c r="B19" s="1025" t="s">
        <v>1223</v>
      </c>
      <c r="D19" s="1026"/>
      <c r="E19" s="1814">
        <f t="shared" ref="E19:J19" si="2">SUM(E12:E17)-E18</f>
        <v>301976</v>
      </c>
      <c r="F19" s="1814">
        <f t="shared" si="2"/>
        <v>0</v>
      </c>
      <c r="G19" s="1814">
        <f t="shared" si="2"/>
        <v>301976</v>
      </c>
      <c r="H19" s="1814">
        <f t="shared" si="2"/>
        <v>327899</v>
      </c>
      <c r="I19" s="1814">
        <f t="shared" si="2"/>
        <v>0</v>
      </c>
      <c r="J19" s="1814">
        <f t="shared" si="2"/>
        <v>327899</v>
      </c>
    </row>
    <row r="20" spans="1:10" ht="13.5" thickTop="1" x14ac:dyDescent="0.2">
      <c r="A20" s="1016">
        <v>9</v>
      </c>
      <c r="B20" s="2382" t="s">
        <v>1703</v>
      </c>
      <c r="C20" s="2382"/>
      <c r="D20" s="2383"/>
      <c r="E20" s="1027"/>
      <c r="F20" s="1027"/>
      <c r="G20" s="1027"/>
      <c r="H20" s="1027"/>
      <c r="I20" s="1027"/>
      <c r="J20" s="1815">
        <f>IF(AND(G19&gt;0,J19&gt;0),(((J19-G19)/G19)),"Enter Budget Data")</f>
        <v>8.5844570429438105E-2</v>
      </c>
    </row>
    <row r="21" spans="1:10" ht="9" customHeight="1" x14ac:dyDescent="0.2">
      <c r="B21" s="1028"/>
    </row>
    <row r="22" spans="1:10" x14ac:dyDescent="0.2">
      <c r="A22" s="1029" t="s">
        <v>135</v>
      </c>
      <c r="B22" s="1028"/>
    </row>
    <row r="23" spans="1:10" x14ac:dyDescent="0.2">
      <c r="A23" s="992" t="s">
        <v>1704</v>
      </c>
      <c r="B23" s="1028"/>
    </row>
    <row r="24" spans="1:10" x14ac:dyDescent="0.2">
      <c r="A24" s="992" t="s">
        <v>1705</v>
      </c>
      <c r="B24" s="1028"/>
    </row>
    <row r="25" spans="1:10" x14ac:dyDescent="0.2">
      <c r="A25" s="1030"/>
      <c r="B25" s="1028"/>
    </row>
    <row r="26" spans="1:10" ht="20.100000000000001" customHeight="1" x14ac:dyDescent="0.2">
      <c r="B26" s="1028"/>
      <c r="C26" s="2388"/>
      <c r="D26" s="2388"/>
      <c r="E26" s="1031"/>
      <c r="F26" s="2387"/>
      <c r="G26" s="2387"/>
    </row>
    <row r="27" spans="1:10" x14ac:dyDescent="0.2">
      <c r="B27" s="1028"/>
      <c r="C27" s="1032" t="s">
        <v>1093</v>
      </c>
      <c r="D27" s="1033"/>
      <c r="E27" s="1034"/>
      <c r="F27" s="2384" t="s">
        <v>1589</v>
      </c>
      <c r="G27" s="2384"/>
    </row>
    <row r="28" spans="1:10" ht="28.5" customHeight="1" x14ac:dyDescent="0.2">
      <c r="B28" s="1028"/>
      <c r="C28" s="2386"/>
      <c r="D28" s="2386"/>
      <c r="E28" s="1035"/>
      <c r="F28" s="2386"/>
      <c r="G28" s="2386"/>
    </row>
    <row r="29" spans="1:10" x14ac:dyDescent="0.2">
      <c r="B29" s="1028"/>
      <c r="C29" s="1036" t="s">
        <v>1642</v>
      </c>
      <c r="E29" s="1037"/>
      <c r="F29" s="2385" t="s">
        <v>1590</v>
      </c>
      <c r="G29" s="2385"/>
    </row>
    <row r="30" spans="1:10" ht="9" customHeight="1" x14ac:dyDescent="0.2">
      <c r="B30" s="1028"/>
      <c r="C30" s="1038"/>
      <c r="E30" s="1039"/>
      <c r="F30" s="1040"/>
      <c r="G30" s="1040"/>
    </row>
    <row r="31" spans="1:10" ht="15" customHeight="1" x14ac:dyDescent="0.2">
      <c r="A31" s="992"/>
      <c r="B31" s="1041" t="s">
        <v>1094</v>
      </c>
    </row>
    <row r="32" spans="1:10" ht="9" customHeight="1" x14ac:dyDescent="0.2">
      <c r="A32" s="992"/>
      <c r="B32" s="1029"/>
    </row>
    <row r="33" spans="1:10" ht="12.75" customHeight="1" x14ac:dyDescent="0.2">
      <c r="A33" s="992"/>
      <c r="B33" s="1042"/>
      <c r="C33" s="2367" t="s">
        <v>134</v>
      </c>
      <c r="D33" s="2368"/>
      <c r="E33" s="2368"/>
      <c r="F33" s="2368"/>
      <c r="G33" s="2368"/>
      <c r="H33" s="2368"/>
      <c r="I33" s="2368"/>
    </row>
    <row r="34" spans="1:10" ht="10.35" customHeight="1" x14ac:dyDescent="0.2">
      <c r="C34" s="2368"/>
      <c r="D34" s="2368"/>
      <c r="E34" s="2368"/>
      <c r="F34" s="2368"/>
      <c r="G34" s="2368"/>
      <c r="H34" s="2368"/>
      <c r="I34" s="2368"/>
    </row>
    <row r="35" spans="1:10" ht="7.5" customHeight="1" x14ac:dyDescent="0.2">
      <c r="C35" s="1043"/>
    </row>
    <row r="36" spans="1:10" ht="13.5" customHeight="1" x14ac:dyDescent="0.2">
      <c r="B36" s="1042"/>
      <c r="C36" s="2369" t="s">
        <v>1940</v>
      </c>
      <c r="D36" s="2368"/>
      <c r="E36" s="2368"/>
      <c r="F36" s="2368"/>
      <c r="G36" s="2368"/>
      <c r="H36" s="2368"/>
      <c r="I36" s="2368"/>
      <c r="J36" s="1044"/>
    </row>
    <row r="37" spans="1:10" ht="22.5" customHeight="1" x14ac:dyDescent="0.2">
      <c r="C37" s="2368"/>
      <c r="D37" s="2368"/>
      <c r="E37" s="2368"/>
      <c r="F37" s="2368"/>
      <c r="G37" s="2368"/>
      <c r="H37" s="2368"/>
      <c r="I37" s="2368"/>
      <c r="J37" s="1044"/>
    </row>
    <row r="38" spans="1:10" ht="7.5" customHeight="1" x14ac:dyDescent="0.2">
      <c r="C38" s="1043"/>
      <c r="D38" s="1045"/>
      <c r="E38" s="1046"/>
      <c r="F38" s="1047"/>
      <c r="G38" s="1046"/>
    </row>
    <row r="39" spans="1:10" ht="13.5" customHeight="1" x14ac:dyDescent="0.2">
      <c r="B39" s="1042"/>
      <c r="C39" s="2365" t="s">
        <v>937</v>
      </c>
      <c r="D39" s="2366"/>
      <c r="E39" s="2366"/>
      <c r="F39" s="2366"/>
      <c r="G39" s="2366"/>
      <c r="H39" s="2366"/>
      <c r="I39" s="2366"/>
    </row>
    <row r="40" spans="1:10" ht="13.35" customHeight="1" x14ac:dyDescent="0.2">
      <c r="A40" s="992"/>
      <c r="C40" s="1048"/>
      <c r="D40" s="1048"/>
      <c r="E40" s="1048"/>
      <c r="F40" s="1048"/>
      <c r="G40" s="1048"/>
      <c r="H40" s="1048"/>
      <c r="I40" s="104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40" zoomScaleNormal="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9">
        <v>1</v>
      </c>
      <c r="B5" s="1958" t="s">
        <v>3845</v>
      </c>
    </row>
    <row r="6" spans="1:2" x14ac:dyDescent="0.2">
      <c r="A6" s="1049">
        <v>2</v>
      </c>
      <c r="B6" s="1958" t="s">
        <v>3850</v>
      </c>
    </row>
    <row r="7" spans="1:2" x14ac:dyDescent="0.2">
      <c r="A7" s="1049">
        <v>3</v>
      </c>
      <c r="B7" s="1958" t="s">
        <v>3846</v>
      </c>
    </row>
    <row r="8" spans="1:2" x14ac:dyDescent="0.2">
      <c r="A8" s="1049">
        <v>4</v>
      </c>
      <c r="B8" s="1958" t="s">
        <v>3847</v>
      </c>
    </row>
    <row r="9" spans="1:2" x14ac:dyDescent="0.2">
      <c r="A9" s="1049">
        <v>5</v>
      </c>
      <c r="B9" s="1958" t="s">
        <v>3848</v>
      </c>
    </row>
    <row r="10" spans="1:2" x14ac:dyDescent="0.2">
      <c r="A10" s="1049">
        <v>6</v>
      </c>
      <c r="B10" s="1958" t="s">
        <v>3849</v>
      </c>
    </row>
    <row r="11" spans="1:2" x14ac:dyDescent="0.2">
      <c r="A11" s="1049">
        <v>7</v>
      </c>
      <c r="B11" s="1958" t="s">
        <v>3851</v>
      </c>
    </row>
    <row r="12" spans="1:2" x14ac:dyDescent="0.2">
      <c r="A12" s="1049">
        <v>8</v>
      </c>
      <c r="B12" s="1958" t="s">
        <v>4001</v>
      </c>
    </row>
    <row r="13" spans="1:2" x14ac:dyDescent="0.2">
      <c r="A13" s="1049">
        <v>9</v>
      </c>
      <c r="B13" s="1958" t="s">
        <v>3852</v>
      </c>
    </row>
    <row r="14" spans="1:2" x14ac:dyDescent="0.2">
      <c r="A14" s="1049"/>
      <c r="B14" s="1958"/>
    </row>
    <row r="16" spans="1:2" x14ac:dyDescent="0.2">
      <c r="A16" s="1050"/>
    </row>
    <row r="17" spans="1:1" x14ac:dyDescent="0.2">
      <c r="A17" s="1050"/>
    </row>
    <row r="18" spans="1:1" x14ac:dyDescent="0.2">
      <c r="A18" s="1050"/>
    </row>
    <row r="19" spans="1:1" x14ac:dyDescent="0.2">
      <c r="A19" s="1050"/>
    </row>
    <row r="20" spans="1:1" x14ac:dyDescent="0.2">
      <c r="A20" s="1050"/>
    </row>
    <row r="21" spans="1:1" x14ac:dyDescent="0.2">
      <c r="A21" s="1050"/>
    </row>
    <row r="22" spans="1:1" x14ac:dyDescent="0.2">
      <c r="A22" s="1050"/>
    </row>
    <row r="23" spans="1:1" x14ac:dyDescent="0.2">
      <c r="A23" s="1050"/>
    </row>
    <row r="24" spans="1:1" x14ac:dyDescent="0.2">
      <c r="A24" s="1050"/>
    </row>
    <row r="25" spans="1:1" x14ac:dyDescent="0.2">
      <c r="A25" s="1050"/>
    </row>
    <row r="26" spans="1:1" x14ac:dyDescent="0.2">
      <c r="A26" s="1050"/>
    </row>
    <row r="27" spans="1:1" x14ac:dyDescent="0.2">
      <c r="A27" s="1050"/>
    </row>
    <row r="28" spans="1:1" x14ac:dyDescent="0.2">
      <c r="A28" s="1050"/>
    </row>
    <row r="29" spans="1:1" x14ac:dyDescent="0.2">
      <c r="A29" s="1050"/>
    </row>
    <row r="30" spans="1:1" x14ac:dyDescent="0.2">
      <c r="A30" s="1050"/>
    </row>
    <row r="31" spans="1:1" x14ac:dyDescent="0.2">
      <c r="A31" s="1050"/>
    </row>
    <row r="32" spans="1: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2" x14ac:dyDescent="0.2">
      <c r="A65" s="1050"/>
      <c r="B65" s="258" t="str">
        <f>COVER!A17</f>
        <v>Ottawa ESD 141</v>
      </c>
    </row>
    <row r="66" spans="1:2" x14ac:dyDescent="0.2">
      <c r="B66" s="1051">
        <f>COVER!A13</f>
        <v>35050141002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8"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37" t="s">
        <v>1709</v>
      </c>
    </row>
    <row r="23" spans="1:5" x14ac:dyDescent="0.2">
      <c r="A23" s="168"/>
      <c r="B23" s="162" t="s">
        <v>1965</v>
      </c>
      <c r="D23" s="167" t="s">
        <v>658</v>
      </c>
      <c r="E23" s="183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6" t="s">
        <v>1125</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715</v>
      </c>
      <c r="B40" s="2103"/>
      <c r="C40" s="2103"/>
      <c r="D40" s="2103"/>
      <c r="E40" s="2103"/>
    </row>
    <row r="41" spans="1:5" x14ac:dyDescent="0.2">
      <c r="A41" s="2104" t="s">
        <v>1706</v>
      </c>
      <c r="B41" s="2104"/>
      <c r="C41" s="2104"/>
      <c r="D41" s="2104"/>
      <c r="E41" s="2104"/>
    </row>
    <row r="42" spans="1:5" ht="12.75" customHeight="1" x14ac:dyDescent="0.2">
      <c r="A42" s="2105" t="s">
        <v>1080</v>
      </c>
      <c r="B42" s="2105"/>
      <c r="C42" s="2105"/>
      <c r="D42" s="2105"/>
      <c r="E42" s="2105"/>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87" t="s">
        <v>1875</v>
      </c>
    </row>
    <row r="60" spans="1:3" x14ac:dyDescent="0.2">
      <c r="A60" s="196"/>
      <c r="B60" s="148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48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8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2"/>
      <c r="C11" s="1052"/>
      <c r="D11" s="1052"/>
      <c r="E11" s="1052"/>
      <c r="F11" s="1052"/>
    </row>
    <row r="13" spans="1:6" x14ac:dyDescent="0.2">
      <c r="A13" s="1053" t="s">
        <v>1573</v>
      </c>
    </row>
    <row r="15" spans="1:6" x14ac:dyDescent="0.2">
      <c r="A15" s="389" t="s">
        <v>912</v>
      </c>
    </row>
    <row r="16" spans="1:6" s="1052" customFormat="1" ht="45" customHeight="1" x14ac:dyDescent="0.2">
      <c r="A16" s="1054"/>
      <c r="B16" s="1054" t="s">
        <v>1783</v>
      </c>
    </row>
    <row r="17" spans="1:2" ht="6" customHeight="1" x14ac:dyDescent="0.2"/>
    <row r="18" spans="1:2" ht="24.75" customHeight="1" x14ac:dyDescent="0.2">
      <c r="A18" s="2389" t="s">
        <v>1784</v>
      </c>
      <c r="B18" s="238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8" r:id="rId4">
          <objectPr defaultSize="0" r:id="rId5">
            <anchor moveWithCells="1">
              <from>
                <xdr:col>1</xdr:col>
                <xdr:colOff>2981325</xdr:colOff>
                <xdr:row>3</xdr:row>
                <xdr:rowOff>114300</xdr:rowOff>
              </from>
              <to>
                <xdr:col>1</xdr:col>
                <xdr:colOff>3895725</xdr:colOff>
                <xdr:row>7</xdr:row>
                <xdr:rowOff>152400</xdr:rowOff>
              </to>
            </anchor>
          </objectPr>
        </oleObject>
      </mc:Choice>
      <mc:Fallback>
        <oleObject progId="Acrobat Document" dvAspect="DVASPECT_ICON" shapeId="2969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0" t="s">
        <v>1790</v>
      </c>
      <c r="B1" s="2391"/>
      <c r="C1" s="2391"/>
      <c r="D1" s="2391"/>
      <c r="E1" s="2391"/>
      <c r="F1" s="2392"/>
    </row>
    <row r="2" spans="1:8" ht="45" customHeight="1" x14ac:dyDescent="0.2">
      <c r="A2" s="2400" t="s">
        <v>1791</v>
      </c>
      <c r="B2" s="2401"/>
      <c r="C2" s="2401"/>
      <c r="D2" s="2401"/>
      <c r="E2" s="2401"/>
      <c r="F2" s="2402"/>
      <c r="G2" s="1055"/>
      <c r="H2" s="1055"/>
    </row>
    <row r="3" spans="1:8" ht="57" customHeight="1" x14ac:dyDescent="0.2">
      <c r="A3" s="2403" t="s">
        <v>1786</v>
      </c>
      <c r="B3" s="2404"/>
      <c r="C3" s="2404"/>
      <c r="D3" s="2404"/>
      <c r="E3" s="2404"/>
      <c r="F3" s="2405"/>
      <c r="G3" s="1055"/>
      <c r="H3" s="1055"/>
    </row>
    <row r="4" spans="1:8" ht="14.25" customHeight="1" x14ac:dyDescent="0.2">
      <c r="A4" s="2409" t="s">
        <v>2052</v>
      </c>
      <c r="B4" s="2410"/>
      <c r="C4" s="2410"/>
      <c r="D4" s="2410"/>
      <c r="E4" s="2410"/>
      <c r="F4" s="2411"/>
      <c r="G4" s="1055"/>
      <c r="H4" s="1055"/>
    </row>
    <row r="5" spans="1:8" ht="14.25" customHeight="1" x14ac:dyDescent="0.2">
      <c r="A5" s="2412" t="s">
        <v>2053</v>
      </c>
      <c r="B5" s="2413"/>
      <c r="C5" s="2413"/>
      <c r="D5" s="2413"/>
      <c r="E5" s="2413"/>
      <c r="F5" s="2414"/>
      <c r="G5" s="1055"/>
      <c r="H5" s="1055"/>
    </row>
    <row r="6" spans="1:8" s="1056" customFormat="1" ht="41.25" customHeight="1" x14ac:dyDescent="0.2">
      <c r="A6" s="2406" t="s">
        <v>1792</v>
      </c>
      <c r="B6" s="2407"/>
      <c r="C6" s="2407"/>
      <c r="D6" s="2407"/>
      <c r="E6" s="2407"/>
      <c r="F6" s="2408"/>
    </row>
    <row r="7" spans="1:8" ht="42" customHeight="1" x14ac:dyDescent="0.2">
      <c r="A7" s="1057" t="s">
        <v>502</v>
      </c>
      <c r="B7" s="1058" t="s">
        <v>1576</v>
      </c>
      <c r="C7" s="1058" t="s">
        <v>1577</v>
      </c>
      <c r="D7" s="1058" t="s">
        <v>1575</v>
      </c>
      <c r="E7" s="1058" t="s">
        <v>1578</v>
      </c>
      <c r="F7" s="1058" t="s">
        <v>1434</v>
      </c>
    </row>
    <row r="8" spans="1:8" s="1060" customFormat="1" ht="14.25" customHeight="1" x14ac:dyDescent="0.2">
      <c r="A8" s="1059" t="s">
        <v>1435</v>
      </c>
      <c r="B8" s="1816">
        <f>'Acct Summary 7-8'!C8</f>
        <v>17962353</v>
      </c>
      <c r="C8" s="1816">
        <f>'Acct Summary 7-8'!D8</f>
        <v>964017.12999999989</v>
      </c>
      <c r="D8" s="1816">
        <f>'Acct Summary 7-8'!F8</f>
        <v>1476890</v>
      </c>
      <c r="E8" s="1816">
        <f>'Acct Summary 7-8'!I8</f>
        <v>192210</v>
      </c>
      <c r="F8" s="1816">
        <f>SUM(B8:E8)</f>
        <v>20595470.129999999</v>
      </c>
    </row>
    <row r="9" spans="1:8" s="1060" customFormat="1" ht="14.25" customHeight="1" thickBot="1" x14ac:dyDescent="0.25">
      <c r="A9" s="1059" t="s">
        <v>1436</v>
      </c>
      <c r="B9" s="1817">
        <f>'Acct Summary 7-8'!C17</f>
        <v>17240450</v>
      </c>
      <c r="C9" s="1817">
        <f>'Acct Summary 7-8'!D17</f>
        <v>1471677.1300000001</v>
      </c>
      <c r="D9" s="1817">
        <f>'Acct Summary 7-8'!F17</f>
        <v>1937985</v>
      </c>
      <c r="E9" s="1816"/>
      <c r="F9" s="1816">
        <f>SUM(B9:E9)</f>
        <v>20650112.129999999</v>
      </c>
    </row>
    <row r="10" spans="1:8" s="1060" customFormat="1" ht="14.25" thickTop="1" thickBot="1" x14ac:dyDescent="0.25">
      <c r="A10" s="1061" t="s">
        <v>1437</v>
      </c>
      <c r="B10" s="1818">
        <f>(B8-B9)</f>
        <v>721903</v>
      </c>
      <c r="C10" s="1818">
        <f>(C8-C9)</f>
        <v>-507660.00000000023</v>
      </c>
      <c r="D10" s="1818">
        <f>(D8-D9)</f>
        <v>-461095</v>
      </c>
      <c r="E10" s="1817">
        <f>(E8-E9)</f>
        <v>192210</v>
      </c>
      <c r="F10" s="1819">
        <f>SUM(F8-F9)</f>
        <v>-54642</v>
      </c>
    </row>
    <row r="11" spans="1:8" s="1060" customFormat="1" ht="14.25" thickTop="1" thickBot="1" x14ac:dyDescent="0.25">
      <c r="A11" s="1062" t="s">
        <v>1785</v>
      </c>
      <c r="B11" s="1820">
        <f>'Acct Summary 7-8'!C81</f>
        <v>2568712</v>
      </c>
      <c r="C11" s="1820">
        <f>'Acct Summary 7-8'!D81</f>
        <v>517534.99999999977</v>
      </c>
      <c r="D11" s="1820">
        <f>'Acct Summary 7-8'!F81</f>
        <v>562628</v>
      </c>
      <c r="E11" s="1820">
        <f>'Acct Summary 7-8'!I81</f>
        <v>6312742</v>
      </c>
      <c r="F11" s="1821">
        <f>SUM(B11:E11)</f>
        <v>9961617</v>
      </c>
    </row>
    <row r="12" spans="1:8" ht="16.5" customHeight="1" thickTop="1" x14ac:dyDescent="0.2">
      <c r="A12" s="1063"/>
      <c r="B12" s="1064"/>
      <c r="C12" s="2394" t="str">
        <f>IF(AND(F10&lt;0,F11&gt;=0,ABS(F10*3)&gt;ABS(F11)),A16,IF(AND(F10&lt;0,F11&gt;0,ABS(F10*3)&lt;=ABS(F11)),A17,IF(AND(F10&lt;0,F11&lt;0),A16,IF(F11=0,A19,A18))))</f>
        <v>Unbalanced -  however, a deficit reduction plan is not required at this time.</v>
      </c>
      <c r="D12" s="2395"/>
      <c r="E12" s="2395"/>
      <c r="F12" s="2396"/>
    </row>
    <row r="13" spans="1:8" ht="19.5" customHeight="1" x14ac:dyDescent="0.2">
      <c r="A13" s="1065"/>
      <c r="B13" s="1066"/>
      <c r="C13" s="2394"/>
      <c r="D13" s="2395"/>
      <c r="E13" s="2395"/>
      <c r="F13" s="2396"/>
      <c r="H13" s="1055"/>
    </row>
    <row r="14" spans="1:8" ht="19.5" customHeight="1" x14ac:dyDescent="0.2">
      <c r="A14" s="1065"/>
      <c r="B14" s="1066"/>
      <c r="C14" s="2394"/>
      <c r="D14" s="2395"/>
      <c r="E14" s="2395"/>
      <c r="F14" s="2396"/>
      <c r="H14" s="1055"/>
    </row>
    <row r="15" spans="1:8" ht="17.25" customHeight="1" x14ac:dyDescent="0.2">
      <c r="A15" s="1065"/>
      <c r="B15" s="1066"/>
      <c r="C15" s="2397"/>
      <c r="D15" s="2398"/>
      <c r="E15" s="2398"/>
      <c r="F15" s="2399"/>
      <c r="H15" s="1055"/>
    </row>
    <row r="16" spans="1:8" s="310" customFormat="1" ht="51.75" hidden="1" customHeight="1" x14ac:dyDescent="0.2">
      <c r="A16" s="2393" t="s">
        <v>1787</v>
      </c>
      <c r="B16" s="2393"/>
      <c r="C16" s="2393"/>
      <c r="D16" s="2393"/>
      <c r="E16" s="2393"/>
      <c r="F16" s="310" t="s">
        <v>1438</v>
      </c>
    </row>
    <row r="17" spans="1:6" hidden="1" x14ac:dyDescent="0.2">
      <c r="A17" s="316" t="s">
        <v>1788</v>
      </c>
      <c r="F17" s="106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68"/>
    </row>
    <row r="48" spans="3:3" x14ac:dyDescent="0.2">
      <c r="C48" s="106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35050141002</v>
      </c>
    </row>
    <row r="3" spans="1:2" x14ac:dyDescent="0.2">
      <c r="A3" t="s">
        <v>1013</v>
      </c>
      <c r="B3" s="138" t="str">
        <f>COVER!A15</f>
        <v>LaSalle</v>
      </c>
    </row>
    <row r="4" spans="1:2" x14ac:dyDescent="0.2">
      <c r="A4" t="s">
        <v>1064</v>
      </c>
      <c r="B4" s="138" t="str">
        <f>COVER!A17</f>
        <v>Ottawa ESD 141</v>
      </c>
    </row>
    <row r="5" spans="1:2" x14ac:dyDescent="0.2">
      <c r="A5" t="s">
        <v>728</v>
      </c>
      <c r="B5" s="138" t="str">
        <f>COVER!A38</f>
        <v>Cleve Threadgill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060-003995</v>
      </c>
    </row>
    <row r="16" spans="1:2" x14ac:dyDescent="0.2">
      <c r="A16" t="s">
        <v>442</v>
      </c>
      <c r="B16" s="138" t="str">
        <f>COVER!T13</f>
        <v>Roenfeldt &amp; Lockas, P.C.</v>
      </c>
    </row>
    <row r="17" spans="1:2" x14ac:dyDescent="0.2">
      <c r="A17" t="s">
        <v>939</v>
      </c>
      <c r="B17" s="138" t="str">
        <f>COVER!T15</f>
        <v>Duane K. Lockas, C.P.A.</v>
      </c>
    </row>
    <row r="18" spans="1:2" x14ac:dyDescent="0.2">
      <c r="A18" t="s">
        <v>1212</v>
      </c>
      <c r="B18" s="138" t="str">
        <f>COVER!T17</f>
        <v>1100 Columbus Street</v>
      </c>
    </row>
    <row r="19" spans="1:2" x14ac:dyDescent="0.2">
      <c r="A19" t="s">
        <v>941</v>
      </c>
      <c r="B19" s="138" t="str">
        <f>COVER!T25</f>
        <v>admin@roenfeldtlockas.com</v>
      </c>
    </row>
    <row r="20" spans="1:2" x14ac:dyDescent="0.2">
      <c r="A20" t="s">
        <v>942</v>
      </c>
      <c r="B20" s="138" t="str">
        <f>COVER!T19</f>
        <v>Ottawa</v>
      </c>
    </row>
    <row r="21" spans="1:2" x14ac:dyDescent="0.2">
      <c r="A21" t="s">
        <v>500</v>
      </c>
      <c r="B21" s="138" t="str">
        <f>COVER!X19</f>
        <v>Illinois</v>
      </c>
    </row>
    <row r="22" spans="1:2" x14ac:dyDescent="0.2">
      <c r="A22" t="s">
        <v>943</v>
      </c>
      <c r="B22" s="138">
        <f>COVER!Z19</f>
        <v>61350</v>
      </c>
    </row>
    <row r="23" spans="1:2" x14ac:dyDescent="0.2">
      <c r="A23" t="s">
        <v>1214</v>
      </c>
      <c r="B23" s="138" t="str">
        <f>COVER!T21</f>
        <v>815-433-0464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501562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2572782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2888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4070</v>
      </c>
      <c r="C91" s="2" t="s">
        <v>594</v>
      </c>
      <c r="D91" s="2" t="str">
        <f t="shared" si="0"/>
        <v>Error?</v>
      </c>
    </row>
    <row r="92" spans="1:4" x14ac:dyDescent="0.2">
      <c r="A92" s="5">
        <v>31</v>
      </c>
      <c r="B92" s="138">
        <f>'Assets-Liab 5-6'!C39</f>
        <v>2568712</v>
      </c>
      <c r="D92" s="2" t="str">
        <f t="shared" si="0"/>
        <v>Error?</v>
      </c>
    </row>
    <row r="93" spans="1:4" x14ac:dyDescent="0.2">
      <c r="A93" s="5">
        <v>32</v>
      </c>
      <c r="B93" s="138">
        <f>'Assets-Liab 5-6'!C41</f>
        <v>2572782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24398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517535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517535</v>
      </c>
      <c r="D123" s="2" t="str">
        <f t="shared" si="0"/>
        <v>Error?</v>
      </c>
    </row>
    <row r="124" spans="1:4" x14ac:dyDescent="0.2">
      <c r="A124" s="5">
        <v>63</v>
      </c>
      <c r="B124" s="138">
        <f>'Assets-Liab 5-6'!D41</f>
        <v>517535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605</v>
      </c>
      <c r="D129" s="2" t="str">
        <f t="shared" si="1"/>
        <v>Error?</v>
      </c>
    </row>
    <row r="130" spans="1:4" x14ac:dyDescent="0.2">
      <c r="A130" s="5">
        <v>69</v>
      </c>
      <c r="B130" s="138">
        <f>'Assets-Liab 5-6'!E12</f>
        <v>0</v>
      </c>
      <c r="D130" s="2" t="str">
        <f t="shared" si="1"/>
        <v>Error?</v>
      </c>
    </row>
    <row r="131" spans="1:4" x14ac:dyDescent="0.2">
      <c r="A131" s="5">
        <v>70</v>
      </c>
      <c r="B131" s="138">
        <f>'Assets-Liab 5-6'!E13</f>
        <v>605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41517</v>
      </c>
      <c r="C139" s="2" t="s">
        <v>594</v>
      </c>
      <c r="D139" s="2" t="str">
        <f t="shared" si="1"/>
        <v>Error?</v>
      </c>
    </row>
    <row r="140" spans="1:4" x14ac:dyDescent="0.2">
      <c r="A140" s="5">
        <v>79</v>
      </c>
      <c r="B140" s="138">
        <f>'Assets-Liab 5-6'!E39</f>
        <v>-40912</v>
      </c>
      <c r="D140" s="2" t="str">
        <f t="shared" si="1"/>
        <v>Error?</v>
      </c>
    </row>
    <row r="141" spans="1:4" x14ac:dyDescent="0.2">
      <c r="A141" s="5">
        <v>80</v>
      </c>
      <c r="B141" s="138">
        <f>'Assets-Liab 5-6'!E41</f>
        <v>605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562628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562628</v>
      </c>
      <c r="D170" s="2" t="str">
        <f t="shared" si="1"/>
        <v>Error?</v>
      </c>
    </row>
    <row r="171" spans="1:4" x14ac:dyDescent="0.2">
      <c r="A171" s="5">
        <v>110</v>
      </c>
      <c r="B171" s="138">
        <f>'Assets-Liab 5-6'!F41</f>
        <v>562628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107184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107184</v>
      </c>
      <c r="D189" s="2" t="str">
        <f t="shared" si="1"/>
        <v>Error?</v>
      </c>
    </row>
    <row r="190" spans="1:4" x14ac:dyDescent="0.2">
      <c r="A190" s="5">
        <v>129</v>
      </c>
      <c r="B190" s="138">
        <f>'Assets-Liab 5-6'!G41</f>
        <v>107184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1150441</v>
      </c>
      <c r="D273" s="2" t="str">
        <f t="shared" si="3"/>
        <v>Error?</v>
      </c>
    </row>
    <row r="274" spans="1:4" x14ac:dyDescent="0.2">
      <c r="A274" s="5">
        <v>213</v>
      </c>
      <c r="B274" s="138">
        <f>'Assets-Liab 5-6'!M17</f>
        <v>30652569</v>
      </c>
      <c r="D274" s="2" t="str">
        <f t="shared" si="3"/>
        <v>Error?</v>
      </c>
    </row>
    <row r="275" spans="1:4" x14ac:dyDescent="0.2">
      <c r="A275" s="5">
        <v>214</v>
      </c>
      <c r="B275" s="138">
        <f>'Assets-Liab 5-6'!M18</f>
        <v>261674</v>
      </c>
      <c r="D275" s="2" t="str">
        <f t="shared" si="3"/>
        <v>Error?</v>
      </c>
    </row>
    <row r="276" spans="1:4" x14ac:dyDescent="0.2">
      <c r="A276" s="5">
        <v>215</v>
      </c>
      <c r="B276" s="138">
        <f>'Assets-Liab 5-6'!M19</f>
        <v>2542547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34607231</v>
      </c>
      <c r="C279" s="2" t="s">
        <v>594</v>
      </c>
      <c r="D279" s="2" t="str">
        <f t="shared" si="3"/>
        <v>Error?</v>
      </c>
    </row>
    <row r="280" spans="1:4" x14ac:dyDescent="0.2">
      <c r="A280" s="5">
        <v>219</v>
      </c>
      <c r="B280" s="138">
        <f>'Assets-Liab 5-6'!M40</f>
        <v>34607231</v>
      </c>
      <c r="D280" s="2" t="str">
        <f t="shared" si="3"/>
        <v>Error?</v>
      </c>
    </row>
    <row r="281" spans="1:4" x14ac:dyDescent="0.2">
      <c r="A281" s="5">
        <v>220</v>
      </c>
      <c r="B281" s="138">
        <f>'Assets-Liab 5-6'!M41</f>
        <v>34607231</v>
      </c>
      <c r="C281" s="2" t="s">
        <v>594</v>
      </c>
      <c r="D281" s="2" t="str">
        <f t="shared" si="3"/>
        <v>Error?</v>
      </c>
    </row>
    <row r="282" spans="1:4" x14ac:dyDescent="0.2">
      <c r="A282" s="5">
        <v>221</v>
      </c>
      <c r="B282" s="138">
        <f>'Assets-Liab 5-6'!N21</f>
        <v>-40912</v>
      </c>
      <c r="D282" s="2" t="str">
        <f t="shared" si="3"/>
        <v>Error?</v>
      </c>
    </row>
    <row r="283" spans="1:4" x14ac:dyDescent="0.2">
      <c r="A283" s="5">
        <v>222</v>
      </c>
      <c r="B283" s="138">
        <f>'Assets-Liab 5-6'!N22</f>
        <v>12525589</v>
      </c>
      <c r="D283" s="2" t="str">
        <f t="shared" si="3"/>
        <v>Error?</v>
      </c>
    </row>
    <row r="284" spans="1:4" x14ac:dyDescent="0.2">
      <c r="A284" s="5">
        <v>223</v>
      </c>
      <c r="B284" s="138">
        <f>'Assets-Liab 5-6'!N23</f>
        <v>12484677</v>
      </c>
      <c r="C284" s="2" t="s">
        <v>594</v>
      </c>
      <c r="D284" s="2" t="str">
        <f t="shared" si="3"/>
        <v>Error?</v>
      </c>
    </row>
    <row r="285" spans="1:4" x14ac:dyDescent="0.2">
      <c r="A285" s="5">
        <v>224</v>
      </c>
      <c r="B285" s="138">
        <f>'Assets-Liab 5-6'!N36</f>
        <v>12484677</v>
      </c>
      <c r="D285" s="2" t="str">
        <f t="shared" si="3"/>
        <v>Error?</v>
      </c>
    </row>
    <row r="286" spans="1:4" x14ac:dyDescent="0.2">
      <c r="A286" s="10">
        <v>225</v>
      </c>
      <c r="D286" s="2" t="str">
        <f t="shared" si="3"/>
        <v>OK</v>
      </c>
    </row>
    <row r="287" spans="1:4" x14ac:dyDescent="0.2">
      <c r="A287" s="5">
        <v>226</v>
      </c>
      <c r="B287" s="138">
        <f>'Assets-Liab 5-6'!N37</f>
        <v>12484677</v>
      </c>
      <c r="C287" s="2" t="s">
        <v>594</v>
      </c>
      <c r="D287" s="2" t="str">
        <f t="shared" si="3"/>
        <v>Error?</v>
      </c>
    </row>
    <row r="288" spans="1:4" x14ac:dyDescent="0.2">
      <c r="A288" s="5">
        <v>227</v>
      </c>
      <c r="B288" s="138">
        <f>'Assets-Liab 5-6'!N41</f>
        <v>12484677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1685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6240000</v>
      </c>
      <c r="D651" s="2" t="str">
        <f t="shared" si="9"/>
        <v>Error?</v>
      </c>
    </row>
    <row r="652" spans="1:4" x14ac:dyDescent="0.2">
      <c r="A652" s="5">
        <v>591</v>
      </c>
      <c r="B652" s="138">
        <f>'Acct Summary 7-8'!I34</f>
        <v>166190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5281629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160320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8521111</v>
      </c>
      <c r="C720" s="2" t="s">
        <v>594</v>
      </c>
      <c r="D720" s="2" t="str">
        <f t="shared" si="10"/>
        <v>Error?</v>
      </c>
    </row>
    <row r="721" spans="1:4" x14ac:dyDescent="0.2">
      <c r="A721" s="5">
        <v>660</v>
      </c>
      <c r="B721" s="138">
        <f>'Expenditures 15-22'!C36</f>
        <v>297522</v>
      </c>
      <c r="D721" s="2" t="str">
        <f t="shared" si="10"/>
        <v>Error?</v>
      </c>
    </row>
    <row r="722" spans="1:4" x14ac:dyDescent="0.2">
      <c r="A722" s="5">
        <v>661</v>
      </c>
      <c r="B722" s="138">
        <f>'Expenditures 15-22'!C37</f>
        <v>137547</v>
      </c>
      <c r="D722" s="2" t="str">
        <f t="shared" si="10"/>
        <v>Error?</v>
      </c>
    </row>
    <row r="723" spans="1:4" x14ac:dyDescent="0.2">
      <c r="A723" s="5">
        <v>662</v>
      </c>
      <c r="B723" s="138">
        <f>'Expenditures 15-22'!C38</f>
        <v>110919</v>
      </c>
      <c r="D723" s="2" t="str">
        <f t="shared" si="10"/>
        <v>Error?</v>
      </c>
    </row>
    <row r="724" spans="1:4" x14ac:dyDescent="0.2">
      <c r="A724" s="5">
        <v>663</v>
      </c>
      <c r="B724" s="138">
        <f>'Expenditures 15-22'!C39</f>
        <v>195616</v>
      </c>
      <c r="D724" s="2" t="str">
        <f t="shared" si="10"/>
        <v>Error?</v>
      </c>
    </row>
    <row r="725" spans="1:4" x14ac:dyDescent="0.2">
      <c r="A725" s="5">
        <v>664</v>
      </c>
      <c r="B725" s="138">
        <f>'Expenditures 15-22'!C40</f>
        <v>332281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1073885</v>
      </c>
      <c r="C727" s="2" t="s">
        <v>594</v>
      </c>
      <c r="D727" s="2" t="str">
        <f t="shared" si="10"/>
        <v>Error?</v>
      </c>
    </row>
    <row r="728" spans="1:4" x14ac:dyDescent="0.2">
      <c r="A728" s="5">
        <v>667</v>
      </c>
      <c r="B728" s="138">
        <f>'Expenditures 15-22'!C44</f>
        <v>12147</v>
      </c>
      <c r="D728" s="2" t="str">
        <f t="shared" si="10"/>
        <v>Error?</v>
      </c>
    </row>
    <row r="729" spans="1:4" x14ac:dyDescent="0.2">
      <c r="A729" s="5">
        <v>668</v>
      </c>
      <c r="B729" s="138">
        <f>'Expenditures 15-22'!C45</f>
        <v>328672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340819</v>
      </c>
      <c r="C731" s="2" t="s">
        <v>594</v>
      </c>
      <c r="D731" s="2" t="str">
        <f t="shared" si="10"/>
        <v>Error?</v>
      </c>
    </row>
    <row r="732" spans="1:4" x14ac:dyDescent="0.2">
      <c r="A732" s="5">
        <v>671</v>
      </c>
      <c r="B732" s="138">
        <f>'Expenditures 15-22'!C49</f>
        <v>1620</v>
      </c>
      <c r="D732" s="2" t="str">
        <f t="shared" si="10"/>
        <v>Error?</v>
      </c>
    </row>
    <row r="733" spans="1:4" x14ac:dyDescent="0.2">
      <c r="A733" s="5">
        <v>672</v>
      </c>
      <c r="B733" s="138">
        <f>'Expenditures 15-22'!C50</f>
        <v>212385</v>
      </c>
      <c r="D733" s="2" t="str">
        <f t="shared" si="10"/>
        <v>Error?</v>
      </c>
    </row>
    <row r="734" spans="1:4" x14ac:dyDescent="0.2">
      <c r="A734" s="5">
        <v>673</v>
      </c>
      <c r="B734" s="138">
        <f>'Expenditures 15-22'!C53</f>
        <v>214005</v>
      </c>
      <c r="C734" s="2" t="s">
        <v>594</v>
      </c>
      <c r="D734" s="2" t="str">
        <f t="shared" si="10"/>
        <v>Error?</v>
      </c>
    </row>
    <row r="735" spans="1:4" x14ac:dyDescent="0.2">
      <c r="A735" s="5">
        <v>674</v>
      </c>
      <c r="B735" s="138">
        <f>'Expenditures 15-22'!C55</f>
        <v>633612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633612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97806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166972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264778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3425</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3425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2530524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11051635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1496441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35765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2513999</v>
      </c>
      <c r="C778" s="2" t="s">
        <v>594</v>
      </c>
      <c r="D778" s="2" t="str">
        <f t="shared" si="11"/>
        <v>Error?</v>
      </c>
    </row>
    <row r="779" spans="1:4" x14ac:dyDescent="0.2">
      <c r="A779" s="5">
        <v>718</v>
      </c>
      <c r="B779" s="138">
        <f>'Expenditures 15-22'!D36</f>
        <v>121108</v>
      </c>
      <c r="D779" s="2" t="str">
        <f t="shared" si="11"/>
        <v>Error?</v>
      </c>
    </row>
    <row r="780" spans="1:4" x14ac:dyDescent="0.2">
      <c r="A780" s="5">
        <v>719</v>
      </c>
      <c r="B780" s="138">
        <f>'Expenditures 15-22'!D37</f>
        <v>32490</v>
      </c>
      <c r="D780" s="2" t="str">
        <f t="shared" si="11"/>
        <v>Error?</v>
      </c>
    </row>
    <row r="781" spans="1:4" x14ac:dyDescent="0.2">
      <c r="A781" s="5">
        <v>720</v>
      </c>
      <c r="B781" s="138">
        <f>'Expenditures 15-22'!D38</f>
        <v>18033</v>
      </c>
      <c r="D781" s="2" t="str">
        <f t="shared" si="11"/>
        <v>Error?</v>
      </c>
    </row>
    <row r="782" spans="1:4" x14ac:dyDescent="0.2">
      <c r="A782" s="5">
        <v>721</v>
      </c>
      <c r="B782" s="138">
        <f>'Expenditures 15-22'!D39</f>
        <v>73466</v>
      </c>
      <c r="D782" s="2" t="str">
        <f t="shared" si="11"/>
        <v>Error?</v>
      </c>
    </row>
    <row r="783" spans="1:4" x14ac:dyDescent="0.2">
      <c r="A783" s="5">
        <v>722</v>
      </c>
      <c r="B783" s="138">
        <f>'Expenditures 15-22'!D40</f>
        <v>85422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330519</v>
      </c>
      <c r="C785" s="2" t="s">
        <v>594</v>
      </c>
      <c r="D785" s="2" t="str">
        <f t="shared" si="11"/>
        <v>Error?</v>
      </c>
    </row>
    <row r="786" spans="1:4" x14ac:dyDescent="0.2">
      <c r="A786" s="5">
        <v>725</v>
      </c>
      <c r="B786" s="138">
        <f>'Expenditures 15-22'!D44</f>
        <v>4108</v>
      </c>
      <c r="D786" s="2" t="str">
        <f t="shared" si="11"/>
        <v>Error?</v>
      </c>
    </row>
    <row r="787" spans="1:4" x14ac:dyDescent="0.2">
      <c r="A787" s="5">
        <v>726</v>
      </c>
      <c r="B787" s="138">
        <f>'Expenditures 15-22'!D45</f>
        <v>93914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98022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57618</v>
      </c>
      <c r="D791" s="2" t="str">
        <f t="shared" si="11"/>
        <v>Error?</v>
      </c>
    </row>
    <row r="792" spans="1:4" x14ac:dyDescent="0.2">
      <c r="A792" s="5">
        <v>731</v>
      </c>
      <c r="B792" s="138">
        <f>'Expenditures 15-22'!D53</f>
        <v>57618</v>
      </c>
      <c r="C792" s="2" t="s">
        <v>594</v>
      </c>
      <c r="D792" s="2" t="str">
        <f t="shared" si="11"/>
        <v>Error?</v>
      </c>
    </row>
    <row r="793" spans="1:4" x14ac:dyDescent="0.2">
      <c r="A793" s="5">
        <v>732</v>
      </c>
      <c r="B793" s="138">
        <f>'Expenditures 15-22'!D55</f>
        <v>251033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251033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32065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53054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85119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132</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132</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822443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3336442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14549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59546</v>
      </c>
      <c r="C836" s="2" t="s">
        <v>594</v>
      </c>
      <c r="D836" s="2" t="str">
        <f t="shared" si="12"/>
        <v>Error?</v>
      </c>
    </row>
    <row r="837" spans="1:4" x14ac:dyDescent="0.2">
      <c r="A837" s="5">
        <v>776</v>
      </c>
      <c r="B837" s="138">
        <f>'Expenditures 15-22'!E36</f>
        <v>24664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65161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89825</v>
      </c>
      <c r="C843" s="2" t="s">
        <v>594</v>
      </c>
      <c r="D843" s="2" t="str">
        <f t="shared" si="12"/>
        <v>Error?</v>
      </c>
    </row>
    <row r="844" spans="1:4" x14ac:dyDescent="0.2">
      <c r="A844" s="5">
        <v>783</v>
      </c>
      <c r="B844" s="138">
        <f>'Expenditures 15-22'!E44</f>
        <v>43236</v>
      </c>
      <c r="D844" s="2" t="str">
        <f t="shared" si="12"/>
        <v>Error?</v>
      </c>
    </row>
    <row r="845" spans="1:4" x14ac:dyDescent="0.2">
      <c r="A845" s="5">
        <v>784</v>
      </c>
      <c r="B845" s="138">
        <f>'Expenditures 15-22'!E45</f>
        <v>260280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303516</v>
      </c>
      <c r="C847" s="2" t="s">
        <v>594</v>
      </c>
      <c r="D847" s="2" t="str">
        <f t="shared" si="12"/>
        <v>Error?</v>
      </c>
    </row>
    <row r="848" spans="1:4" x14ac:dyDescent="0.2">
      <c r="A848" s="5">
        <v>787</v>
      </c>
      <c r="B848" s="138">
        <f>'Expenditures 15-22'!E49</f>
        <v>248035</v>
      </c>
      <c r="D848" s="2" t="str">
        <f t="shared" si="12"/>
        <v>Error?</v>
      </c>
    </row>
    <row r="849" spans="1:4" x14ac:dyDescent="0.2">
      <c r="A849" s="5">
        <v>788</v>
      </c>
      <c r="B849" s="138">
        <f>'Expenditures 15-22'!E50</f>
        <v>17088</v>
      </c>
      <c r="D849" s="2" t="str">
        <f t="shared" si="12"/>
        <v>Error?</v>
      </c>
    </row>
    <row r="850" spans="1:4" x14ac:dyDescent="0.2">
      <c r="A850" s="5">
        <v>789</v>
      </c>
      <c r="B850" s="138">
        <f>'Expenditures 15-22'!E53</f>
        <v>265123</v>
      </c>
      <c r="C850" s="2" t="s">
        <v>594</v>
      </c>
      <c r="D850" s="2" t="str">
        <f t="shared" si="12"/>
        <v>Error?</v>
      </c>
    </row>
    <row r="851" spans="1:4" x14ac:dyDescent="0.2">
      <c r="A851" s="5">
        <v>790</v>
      </c>
      <c r="B851" s="138">
        <f>'Expenditures 15-22'!E55</f>
        <v>11392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11392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29171</v>
      </c>
      <c r="D855" s="2" t="str">
        <f t="shared" si="12"/>
        <v>Error?</v>
      </c>
    </row>
    <row r="856" spans="1:4" x14ac:dyDescent="0.2">
      <c r="A856" s="5">
        <v>795</v>
      </c>
      <c r="B856" s="138">
        <f>'Expenditures 15-22'!E61</f>
        <v>59641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2589</v>
      </c>
      <c r="D858" s="2" t="str">
        <f t="shared" si="12"/>
        <v>Error?</v>
      </c>
    </row>
    <row r="859" spans="1:4" x14ac:dyDescent="0.2">
      <c r="A859" s="5">
        <v>798</v>
      </c>
      <c r="B859" s="138">
        <f>'Expenditures 15-22'!E64</f>
        <v>368</v>
      </c>
      <c r="D859" s="2" t="str">
        <f t="shared" si="12"/>
        <v>Error?</v>
      </c>
    </row>
    <row r="860" spans="1:4" x14ac:dyDescent="0.2">
      <c r="A860" s="10">
        <v>799</v>
      </c>
      <c r="D860" s="2" t="str">
        <f t="shared" si="12"/>
        <v>OK</v>
      </c>
    </row>
    <row r="861" spans="1:4" x14ac:dyDescent="0.2">
      <c r="A861" s="5">
        <v>800</v>
      </c>
      <c r="B861" s="138">
        <f>'Expenditures 15-22'!E65</f>
        <v>91769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8710</v>
      </c>
      <c r="D864" s="2" t="str">
        <f t="shared" si="12"/>
        <v>Error?</v>
      </c>
    </row>
    <row r="865" spans="1:4" x14ac:dyDescent="0.2">
      <c r="A865" s="5">
        <v>804</v>
      </c>
      <c r="B865" s="138">
        <f>'Expenditures 15-22'!E70</f>
        <v>3519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12229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773854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833400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117176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9676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271708</v>
      </c>
      <c r="C894" s="2" t="s">
        <v>594</v>
      </c>
      <c r="D894" s="2" t="str">
        <f t="shared" si="12"/>
        <v>Error?</v>
      </c>
    </row>
    <row r="895" spans="1:4" x14ac:dyDescent="0.2">
      <c r="A895" s="5">
        <v>834</v>
      </c>
      <c r="B895" s="138">
        <f>'Expenditures 15-22'!F36</f>
        <v>4323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1972</v>
      </c>
      <c r="D897" s="2" t="str">
        <f t="shared" si="13"/>
        <v>Error?</v>
      </c>
    </row>
    <row r="898" spans="1:4" x14ac:dyDescent="0.2">
      <c r="A898" s="5">
        <v>837</v>
      </c>
      <c r="B898" s="138">
        <f>'Expenditures 15-22'!F39</f>
        <v>7116</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13411</v>
      </c>
      <c r="C901" s="2" t="s">
        <v>594</v>
      </c>
      <c r="D901" s="2" t="str">
        <f t="shared" si="13"/>
        <v>Error?</v>
      </c>
    </row>
    <row r="902" spans="1:4" x14ac:dyDescent="0.2">
      <c r="A902" s="5">
        <v>841</v>
      </c>
      <c r="B902" s="138">
        <f>'Expenditures 15-22'!F44</f>
        <v>19217</v>
      </c>
      <c r="D902" s="2" t="str">
        <f t="shared" si="13"/>
        <v>Error?</v>
      </c>
    </row>
    <row r="903" spans="1:4" x14ac:dyDescent="0.2">
      <c r="A903" s="5">
        <v>842</v>
      </c>
      <c r="B903" s="138">
        <f>'Expenditures 15-22'!F45</f>
        <v>26674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45891</v>
      </c>
      <c r="C905" s="2" t="s">
        <v>594</v>
      </c>
      <c r="D905" s="2" t="str">
        <f t="shared" si="13"/>
        <v>Error?</v>
      </c>
    </row>
    <row r="906" spans="1:4" x14ac:dyDescent="0.2">
      <c r="A906" s="5">
        <v>845</v>
      </c>
      <c r="B906" s="138">
        <f>'Expenditures 15-22'!F49</f>
        <v>1034</v>
      </c>
      <c r="D906" s="2" t="str">
        <f t="shared" si="13"/>
        <v>Error?</v>
      </c>
    </row>
    <row r="907" spans="1:4" x14ac:dyDescent="0.2">
      <c r="A907" s="5">
        <v>846</v>
      </c>
      <c r="B907" s="138">
        <f>'Expenditures 15-22'!F50</f>
        <v>2036</v>
      </c>
      <c r="D907" s="2" t="str">
        <f t="shared" si="13"/>
        <v>Error?</v>
      </c>
    </row>
    <row r="908" spans="1:4" x14ac:dyDescent="0.2">
      <c r="A908" s="5">
        <v>847</v>
      </c>
      <c r="B908" s="138">
        <f>'Expenditures 15-22'!F53</f>
        <v>3070</v>
      </c>
      <c r="C908" s="2" t="s">
        <v>594</v>
      </c>
      <c r="D908" s="2" t="str">
        <f t="shared" si="13"/>
        <v>Error?</v>
      </c>
    </row>
    <row r="909" spans="1:4" x14ac:dyDescent="0.2">
      <c r="A909" s="5">
        <v>848</v>
      </c>
      <c r="B909" s="138">
        <f>'Expenditures 15-22'!F55</f>
        <v>1216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1216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1835</v>
      </c>
      <c r="D913" s="2" t="str">
        <f t="shared" si="13"/>
        <v>Error?</v>
      </c>
    </row>
    <row r="914" spans="1:4" x14ac:dyDescent="0.2">
      <c r="A914" s="5">
        <v>853</v>
      </c>
      <c r="B914" s="138">
        <f>'Expenditures 15-22'!F61</f>
        <v>254155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295959</v>
      </c>
      <c r="D916" s="2" t="str">
        <f t="shared" si="13"/>
        <v>Error?</v>
      </c>
    </row>
    <row r="917" spans="1:4" x14ac:dyDescent="0.2">
      <c r="A917" s="5">
        <v>856</v>
      </c>
      <c r="B917" s="138">
        <f>'Expenditures 15-22'!F64</f>
        <v>12481</v>
      </c>
      <c r="D917" s="2" t="str">
        <f t="shared" si="13"/>
        <v>Error?</v>
      </c>
    </row>
    <row r="918" spans="1:4" x14ac:dyDescent="0.2">
      <c r="A918" s="10">
        <v>857</v>
      </c>
      <c r="D918" s="2" t="str">
        <f t="shared" si="13"/>
        <v>OK</v>
      </c>
    </row>
    <row r="919" spans="1:4" x14ac:dyDescent="0.2">
      <c r="A919" s="5">
        <v>858</v>
      </c>
      <c r="B919" s="138">
        <f>'Expenditures 15-22'!F65</f>
        <v>564430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23500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23500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651518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923226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140200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147174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138640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138640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5114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5114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143754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290928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4011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243433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1487</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1487</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12934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12934</v>
      </c>
      <c r="C1024" s="2" t="s">
        <v>594</v>
      </c>
      <c r="D1024" s="2" t="str">
        <f t="shared" si="15"/>
        <v>Error?</v>
      </c>
    </row>
    <row r="1025" spans="1:4" x14ac:dyDescent="0.2">
      <c r="A1025" s="5">
        <v>964</v>
      </c>
      <c r="B1025" s="138">
        <f>'Expenditures 15-22'!H55</f>
        <v>3591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3591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18012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543374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804819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7035446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225321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11756971</v>
      </c>
      <c r="C1108" s="2" t="s">
        <v>594</v>
      </c>
      <c r="D1108" s="2" t="str">
        <f t="shared" si="16"/>
        <v>Error?</v>
      </c>
    </row>
    <row r="1109" spans="1:4" x14ac:dyDescent="0.2">
      <c r="A1109" s="5">
        <v>1048</v>
      </c>
      <c r="B1109" s="138">
        <f>'Expenditures 15-22'!K36</f>
        <v>447617</v>
      </c>
      <c r="C1109" s="2" t="s">
        <v>594</v>
      </c>
      <c r="D1109" s="2" t="str">
        <f t="shared" si="16"/>
        <v>Error?</v>
      </c>
    </row>
    <row r="1110" spans="1:4" x14ac:dyDescent="0.2">
      <c r="A1110" s="5">
        <v>1049</v>
      </c>
      <c r="B1110" s="138">
        <f>'Expenditures 15-22'!K37</f>
        <v>170037</v>
      </c>
      <c r="C1110" s="2" t="s">
        <v>594</v>
      </c>
      <c r="D1110" s="2" t="str">
        <f t="shared" si="16"/>
        <v>Error?</v>
      </c>
    </row>
    <row r="1111" spans="1:4" x14ac:dyDescent="0.2">
      <c r="A1111" s="5">
        <v>1050</v>
      </c>
      <c r="B1111" s="138">
        <f>'Expenditures 15-22'!K38</f>
        <v>130924</v>
      </c>
      <c r="C1111" s="2" t="s">
        <v>594</v>
      </c>
      <c r="D1111" s="2" t="str">
        <f t="shared" si="16"/>
        <v>Error?</v>
      </c>
    </row>
    <row r="1112" spans="1:4" x14ac:dyDescent="0.2">
      <c r="A1112" s="5">
        <v>1051</v>
      </c>
      <c r="B1112" s="138">
        <f>'Expenditures 15-22'!K39</f>
        <v>341359</v>
      </c>
      <c r="C1112" s="2" t="s">
        <v>594</v>
      </c>
      <c r="D1112" s="2" t="str">
        <f t="shared" si="16"/>
        <v>Error?</v>
      </c>
    </row>
    <row r="1113" spans="1:4" x14ac:dyDescent="0.2">
      <c r="A1113" s="5">
        <v>1052</v>
      </c>
      <c r="B1113" s="138">
        <f>'Expenditures 15-22'!K40</f>
        <v>419190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1509127</v>
      </c>
      <c r="C1115" s="2" t="s">
        <v>594</v>
      </c>
      <c r="D1115" s="2" t="str">
        <f t="shared" si="16"/>
        <v>Error?</v>
      </c>
    </row>
    <row r="1116" spans="1:4" x14ac:dyDescent="0.2">
      <c r="A1116" s="5">
        <v>1055</v>
      </c>
      <c r="B1116" s="138">
        <f>'Expenditures 15-22'!K44</f>
        <v>78708</v>
      </c>
      <c r="C1116" s="2" t="s">
        <v>594</v>
      </c>
      <c r="D1116" s="2" t="str">
        <f t="shared" si="16"/>
        <v>Error?</v>
      </c>
    </row>
    <row r="1117" spans="1:4" x14ac:dyDescent="0.2">
      <c r="A1117" s="5">
        <v>1056</v>
      </c>
      <c r="B1117" s="138">
        <f>'Expenditures 15-22'!K45</f>
        <v>848180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926888</v>
      </c>
      <c r="C1119" s="2" t="s">
        <v>594</v>
      </c>
      <c r="D1119" s="2" t="str">
        <f t="shared" si="16"/>
        <v>Error?</v>
      </c>
    </row>
    <row r="1120" spans="1:4" x14ac:dyDescent="0.2">
      <c r="A1120" s="5">
        <v>1059</v>
      </c>
      <c r="B1120" s="138">
        <f>'Expenditures 15-22'!K49</f>
        <v>263623</v>
      </c>
      <c r="C1120" s="2" t="s">
        <v>594</v>
      </c>
      <c r="D1120" s="2" t="str">
        <f t="shared" si="16"/>
        <v>Error?</v>
      </c>
    </row>
    <row r="1121" spans="1:4" x14ac:dyDescent="0.2">
      <c r="A1121" s="5">
        <v>1060</v>
      </c>
      <c r="B1121" s="138">
        <f>'Expenditures 15-22'!K50</f>
        <v>289127</v>
      </c>
      <c r="C1121" s="2" t="s">
        <v>594</v>
      </c>
      <c r="D1121" s="2" t="str">
        <f t="shared" si="16"/>
        <v>Error?</v>
      </c>
    </row>
    <row r="1122" spans="1:4" x14ac:dyDescent="0.2">
      <c r="A1122" s="5">
        <v>1061</v>
      </c>
      <c r="B1122" s="138">
        <f>'Expenditures 15-22'!K53</f>
        <v>552750</v>
      </c>
      <c r="C1122" s="2" t="s">
        <v>594</v>
      </c>
      <c r="D1122" s="2" t="str">
        <f t="shared" si="16"/>
        <v>Error?</v>
      </c>
    </row>
    <row r="1123" spans="1:4" x14ac:dyDescent="0.2">
      <c r="A1123" s="5">
        <v>1062</v>
      </c>
      <c r="B1123" s="138">
        <f>'Expenditures 15-22'!K55</f>
        <v>900844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900844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160877</v>
      </c>
      <c r="C1127" s="2" t="s">
        <v>594</v>
      </c>
      <c r="D1127" s="2" t="str">
        <f t="shared" si="16"/>
        <v>Error?</v>
      </c>
    </row>
    <row r="1128" spans="1:4" x14ac:dyDescent="0.2">
      <c r="A1128" s="5">
        <v>1067</v>
      </c>
      <c r="B1128" s="138">
        <f>'Expenditures 15-22'!K61</f>
        <v>313796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523688</v>
      </c>
      <c r="C1130" s="2" t="s">
        <v>594</v>
      </c>
      <c r="D1130" s="2" t="str">
        <f t="shared" si="16"/>
        <v>Error?</v>
      </c>
    </row>
    <row r="1131" spans="1:4" x14ac:dyDescent="0.2">
      <c r="A1131" s="5">
        <v>1070</v>
      </c>
      <c r="B1131" s="138">
        <f>'Expenditures 15-22'!K64</f>
        <v>12849</v>
      </c>
      <c r="C1131" s="2" t="s">
        <v>594</v>
      </c>
      <c r="D1131" s="2" t="str">
        <f t="shared" si="16"/>
        <v>Error?</v>
      </c>
    </row>
    <row r="1132" spans="1:4" x14ac:dyDescent="0.2">
      <c r="A1132" s="10">
        <v>1071</v>
      </c>
      <c r="D1132" s="2" t="str">
        <f t="shared" si="16"/>
        <v>OK</v>
      </c>
    </row>
    <row r="1133" spans="1:4" x14ac:dyDescent="0.2">
      <c r="A1133" s="5">
        <v>1072</v>
      </c>
      <c r="B1133" s="138">
        <f>'Expenditures 15-22'!K65</f>
        <v>1011210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23500</v>
      </c>
      <c r="C1135" s="2" t="s">
        <v>594</v>
      </c>
      <c r="D1135" s="2" t="str">
        <f t="shared" si="16"/>
        <v>Error?</v>
      </c>
    </row>
    <row r="1136" spans="1:4" x14ac:dyDescent="0.2">
      <c r="A1136" s="5">
        <v>1075</v>
      </c>
      <c r="B1136" s="138">
        <f>'Expenditures 15-22'!K69</f>
        <v>8710</v>
      </c>
      <c r="C1136" s="2" t="s">
        <v>594</v>
      </c>
      <c r="D1136" s="2" t="str">
        <f t="shared" si="16"/>
        <v>Error?</v>
      </c>
    </row>
    <row r="1137" spans="1:4" x14ac:dyDescent="0.2">
      <c r="A1137" s="5">
        <v>1076</v>
      </c>
      <c r="B1137" s="138">
        <f>'Expenditures 15-22'!K70</f>
        <v>7076</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39286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4940105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543374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17240450</v>
      </c>
      <c r="C1152" s="2" t="s">
        <v>594</v>
      </c>
      <c r="D1152" s="2" t="str">
        <f t="shared" si="17"/>
        <v>Error?</v>
      </c>
    </row>
    <row r="1153" spans="1:4" x14ac:dyDescent="0.2">
      <c r="A1153" s="5">
        <v>1092</v>
      </c>
      <c r="B1153" s="138">
        <f>'Expenditures 15-22'!K115</f>
        <v>721903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864913.28</v>
      </c>
      <c r="D1221" s="2" t="str">
        <f t="shared" si="18"/>
        <v>Error?</v>
      </c>
    </row>
    <row r="1222" spans="1:4" x14ac:dyDescent="0.2">
      <c r="A1222" s="10">
        <v>1161</v>
      </c>
      <c r="D1222" s="2" t="str">
        <f t="shared" si="18"/>
        <v>OK</v>
      </c>
    </row>
    <row r="1223" spans="1:4" x14ac:dyDescent="0.2">
      <c r="A1223" s="5">
        <v>1162</v>
      </c>
      <c r="B1223" s="138">
        <f>'Expenditures 15-22'!C127</f>
        <v>864913.28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864913.28</v>
      </c>
      <c r="C1225" s="2" t="s">
        <v>594</v>
      </c>
      <c r="D1225" s="2" t="str">
        <f t="shared" si="18"/>
        <v>Error?</v>
      </c>
    </row>
    <row r="1226" spans="1:4" x14ac:dyDescent="0.2">
      <c r="A1226" s="5">
        <v>1165</v>
      </c>
      <c r="B1226" s="138">
        <f>'Expenditures 15-22'!C151</f>
        <v>864913.28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175308.03</v>
      </c>
      <c r="D1229" s="2" t="str">
        <f t="shared" si="18"/>
        <v>Error?</v>
      </c>
    </row>
    <row r="1230" spans="1:4" x14ac:dyDescent="0.2">
      <c r="A1230" s="10">
        <v>1169</v>
      </c>
      <c r="D1230" s="2" t="str">
        <f t="shared" si="18"/>
        <v>OK</v>
      </c>
    </row>
    <row r="1231" spans="1:4" x14ac:dyDescent="0.2">
      <c r="A1231" s="5">
        <v>1170</v>
      </c>
      <c r="B1231" s="138">
        <f>'Expenditures 15-22'!D127</f>
        <v>175308.03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175308.03</v>
      </c>
      <c r="C1233" s="2" t="s">
        <v>594</v>
      </c>
      <c r="D1233" s="2" t="str">
        <f t="shared" si="18"/>
        <v>Error?</v>
      </c>
    </row>
    <row r="1234" spans="1:4" x14ac:dyDescent="0.2">
      <c r="A1234" s="5">
        <v>1173</v>
      </c>
      <c r="B1234" s="138">
        <f>'Expenditures 15-22'!D151</f>
        <v>175308.03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125928.15000000001</v>
      </c>
      <c r="D1237" s="2" t="str">
        <f t="shared" si="18"/>
        <v>Error?</v>
      </c>
    </row>
    <row r="1238" spans="1:4" x14ac:dyDescent="0.2">
      <c r="A1238" s="10">
        <v>1177</v>
      </c>
      <c r="D1238" s="2" t="str">
        <f t="shared" si="18"/>
        <v>OK</v>
      </c>
    </row>
    <row r="1239" spans="1:4" x14ac:dyDescent="0.2">
      <c r="A1239" s="5">
        <v>1178</v>
      </c>
      <c r="B1239" s="138">
        <f>'Expenditures 15-22'!E127</f>
        <v>125928.15000000001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125928.15000000001</v>
      </c>
      <c r="C1241" s="2" t="s">
        <v>594</v>
      </c>
      <c r="D1241" s="2" t="str">
        <f t="shared" si="18"/>
        <v>Error?</v>
      </c>
    </row>
    <row r="1242" spans="1:4" x14ac:dyDescent="0.2">
      <c r="A1242" s="5">
        <v>1181</v>
      </c>
      <c r="B1242" s="138">
        <f>'Expenditures 15-22'!E151</f>
        <v>125928.15000000001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86891.07</v>
      </c>
      <c r="D1245" s="2" t="str">
        <f t="shared" si="18"/>
        <v>Error?</v>
      </c>
    </row>
    <row r="1246" spans="1:4" x14ac:dyDescent="0.2">
      <c r="A1246" s="10">
        <v>1185</v>
      </c>
      <c r="D1246" s="2" t="str">
        <f t="shared" si="18"/>
        <v>OK</v>
      </c>
    </row>
    <row r="1247" spans="1:4" x14ac:dyDescent="0.2">
      <c r="A1247" s="5">
        <v>1186</v>
      </c>
      <c r="B1247" s="138">
        <f>'Expenditures 15-22'!F127</f>
        <v>86891.07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86891.07</v>
      </c>
      <c r="C1249" s="2" t="s">
        <v>594</v>
      </c>
      <c r="D1249" s="2" t="str">
        <f t="shared" si="18"/>
        <v>Error?</v>
      </c>
    </row>
    <row r="1250" spans="1:4" x14ac:dyDescent="0.2">
      <c r="A1250" s="5">
        <v>1189</v>
      </c>
      <c r="B1250" s="138">
        <f>'Expenditures 15-22'!F151</f>
        <v>86891.07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218636.6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218636.6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218636.6</v>
      </c>
      <c r="C1258" s="2" t="s">
        <v>594</v>
      </c>
      <c r="D1258" s="2" t="str">
        <f t="shared" si="18"/>
        <v>Error?</v>
      </c>
    </row>
    <row r="1259" spans="1:4" x14ac:dyDescent="0.2">
      <c r="A1259" s="5">
        <v>1198</v>
      </c>
      <c r="B1259" s="138">
        <f>'Expenditures 15-22'!G151</f>
        <v>218636.6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1471677.1300000001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1471677.1300000001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1471677.1300000001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1471677.1300000001</v>
      </c>
      <c r="C1288" s="2" t="s">
        <v>594</v>
      </c>
      <c r="D1288" s="2" t="str">
        <f t="shared" si="19"/>
        <v>Error?</v>
      </c>
    </row>
    <row r="1289" spans="1:4" x14ac:dyDescent="0.2">
      <c r="A1289" s="5">
        <v>1228</v>
      </c>
      <c r="B1289" s="138">
        <f>'Expenditures 15-22'!K152</f>
        <v>-507660.00000000023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322777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2960237</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3284514</v>
      </c>
      <c r="C1317" s="2" t="s">
        <v>594</v>
      </c>
      <c r="D1317" s="2" t="str">
        <f t="shared" si="19"/>
        <v>Error?</v>
      </c>
    </row>
    <row r="1318" spans="1:4" x14ac:dyDescent="0.2">
      <c r="A1318" s="5">
        <v>1257</v>
      </c>
      <c r="B1318" s="138">
        <f>'Expenditures 15-22'!H174</f>
        <v>3284514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322777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2960237</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3284514</v>
      </c>
      <c r="C1331" s="2" t="s">
        <v>594</v>
      </c>
      <c r="D1331" s="2" t="str">
        <f t="shared" si="19"/>
        <v>Error?</v>
      </c>
    </row>
    <row r="1332" spans="1:4" x14ac:dyDescent="0.2">
      <c r="A1332" s="5">
        <v>1271</v>
      </c>
      <c r="B1332" s="138">
        <f>'Expenditures 15-22'!K174</f>
        <v>3284514</v>
      </c>
      <c r="C1332" s="2" t="s">
        <v>594</v>
      </c>
      <c r="D1332" s="2" t="str">
        <f t="shared" si="19"/>
        <v>Error?</v>
      </c>
    </row>
    <row r="1333" spans="1:4" x14ac:dyDescent="0.2">
      <c r="A1333" s="5">
        <v>1272</v>
      </c>
      <c r="B1333" s="138">
        <f>'Expenditures 15-22'!K175</f>
        <v>-150096</v>
      </c>
      <c r="C1333" s="2" t="s">
        <v>594</v>
      </c>
      <c r="D1333" s="2" t="str">
        <f t="shared" si="19"/>
        <v>Error?</v>
      </c>
    </row>
    <row r="1334" spans="1:4" x14ac:dyDescent="0.2">
      <c r="A1334" s="10">
        <v>1273</v>
      </c>
      <c r="D1334" s="2" t="str">
        <f t="shared" si="19"/>
        <v>OK</v>
      </c>
    </row>
    <row r="1335" spans="1:4" x14ac:dyDescent="0.2">
      <c r="A1335" s="5">
        <v>1274</v>
      </c>
      <c r="B1335" s="138">
        <f>'Expenditures 15-22'!C182</f>
        <v>851948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851948</v>
      </c>
      <c r="C1339" s="2" t="s">
        <v>594</v>
      </c>
      <c r="D1339" s="2" t="str">
        <f t="shared" si="19"/>
        <v>Error?</v>
      </c>
    </row>
    <row r="1340" spans="1:4" x14ac:dyDescent="0.2">
      <c r="A1340" s="5">
        <v>1279</v>
      </c>
      <c r="B1340" s="138">
        <f>'Expenditures 15-22'!C210</f>
        <v>851948</v>
      </c>
      <c r="C1340" s="2" t="s">
        <v>594</v>
      </c>
      <c r="D1340" s="2" t="str">
        <f t="shared" si="19"/>
        <v>Error?</v>
      </c>
    </row>
    <row r="1341" spans="1:4" x14ac:dyDescent="0.2">
      <c r="A1341" s="5">
        <v>1280</v>
      </c>
      <c r="B1341" s="138">
        <f>'Expenditures 15-22'!D182</f>
        <v>55717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55717</v>
      </c>
      <c r="C1345" s="2" t="s">
        <v>594</v>
      </c>
      <c r="D1345" s="2" t="str">
        <f t="shared" si="20"/>
        <v>Error?</v>
      </c>
    </row>
    <row r="1346" spans="1:4" x14ac:dyDescent="0.2">
      <c r="A1346" s="5">
        <v>1285</v>
      </c>
      <c r="B1346" s="138">
        <f>'Expenditures 15-22'!D210</f>
        <v>55717</v>
      </c>
      <c r="C1346" s="2" t="s">
        <v>594</v>
      </c>
      <c r="D1346" s="2" t="str">
        <f t="shared" si="20"/>
        <v>Error?</v>
      </c>
    </row>
    <row r="1347" spans="1:4" x14ac:dyDescent="0.2">
      <c r="A1347" s="5">
        <v>1286</v>
      </c>
      <c r="B1347" s="138">
        <f>'Expenditures 15-22'!E182</f>
        <v>76551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76551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76551</v>
      </c>
      <c r="C1353" s="2" t="s">
        <v>594</v>
      </c>
      <c r="D1353" s="2" t="str">
        <f t="shared" si="20"/>
        <v>Error?</v>
      </c>
    </row>
    <row r="1354" spans="1:4" x14ac:dyDescent="0.2">
      <c r="A1354" s="5">
        <v>1293</v>
      </c>
      <c r="B1354" s="138">
        <f>'Expenditures 15-22'!F182</f>
        <v>162969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162969</v>
      </c>
      <c r="C1358" s="2" t="s">
        <v>594</v>
      </c>
      <c r="D1358" s="2" t="str">
        <f t="shared" si="20"/>
        <v>Error?</v>
      </c>
    </row>
    <row r="1359" spans="1:4" x14ac:dyDescent="0.2">
      <c r="A1359" s="5">
        <v>1298</v>
      </c>
      <c r="B1359" s="138">
        <f>'Expenditures 15-22'!F210</f>
        <v>162969</v>
      </c>
      <c r="C1359" s="2" t="s">
        <v>594</v>
      </c>
      <c r="D1359" s="2" t="str">
        <f t="shared" si="20"/>
        <v>Error?</v>
      </c>
    </row>
    <row r="1360" spans="1:4" x14ac:dyDescent="0.2">
      <c r="A1360" s="5">
        <v>1299</v>
      </c>
      <c r="B1360" s="138">
        <f>'Expenditures 15-22'!G182</f>
        <v>640534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640534</v>
      </c>
      <c r="C1364" s="2" t="s">
        <v>594</v>
      </c>
      <c r="D1364" s="2" t="str">
        <f t="shared" si="20"/>
        <v>Error?</v>
      </c>
    </row>
    <row r="1365" spans="1:4" x14ac:dyDescent="0.2">
      <c r="A1365" s="5">
        <v>1304</v>
      </c>
      <c r="B1365" s="138">
        <f>'Expenditures 15-22'!G210</f>
        <v>640534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150266</v>
      </c>
      <c r="C1375" s="2" t="s">
        <v>594</v>
      </c>
      <c r="D1375" s="2" t="str">
        <f t="shared" si="20"/>
        <v>Error?</v>
      </c>
    </row>
    <row r="1376" spans="1:4" x14ac:dyDescent="0.2">
      <c r="A1376" s="5">
        <v>1315</v>
      </c>
      <c r="B1376" s="138">
        <f>'Expenditures 15-22'!H210</f>
        <v>150266</v>
      </c>
      <c r="C1376" s="2" t="s">
        <v>594</v>
      </c>
      <c r="D1376" s="2" t="str">
        <f t="shared" si="20"/>
        <v>Error?</v>
      </c>
    </row>
    <row r="1377" spans="1:4" x14ac:dyDescent="0.2">
      <c r="A1377" s="5">
        <v>1316</v>
      </c>
      <c r="B1377" s="138">
        <f>'Expenditures 15-22'!K182</f>
        <v>1787719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1787719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150266</v>
      </c>
      <c r="C1387" s="2" t="s">
        <v>594</v>
      </c>
      <c r="D1387" s="2" t="str">
        <f t="shared" si="20"/>
        <v>Error?</v>
      </c>
    </row>
    <row r="1388" spans="1:4" x14ac:dyDescent="0.2">
      <c r="A1388" s="5">
        <v>1327</v>
      </c>
      <c r="B1388" s="138">
        <f>'Expenditures 15-22'!K210</f>
        <v>1937985</v>
      </c>
      <c r="C1388" s="2" t="s">
        <v>594</v>
      </c>
      <c r="D1388" s="2" t="str">
        <f t="shared" si="20"/>
        <v>Error?</v>
      </c>
    </row>
    <row r="1389" spans="1:4" x14ac:dyDescent="0.2">
      <c r="A1389" s="5">
        <v>1328</v>
      </c>
      <c r="B1389" s="138">
        <f>'Expenditures 15-22'!K211</f>
        <v>-461095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316827</v>
      </c>
      <c r="C1410" s="2" t="s">
        <v>594</v>
      </c>
      <c r="D1410" s="2" t="str">
        <f t="shared" si="21"/>
        <v>Error?</v>
      </c>
    </row>
    <row r="1411" spans="1:4" x14ac:dyDescent="0.2">
      <c r="A1411" s="5">
        <v>1350</v>
      </c>
      <c r="B1411" s="138">
        <f>'Expenditures 15-22'!D232</f>
        <v>4556</v>
      </c>
      <c r="D1411" s="2" t="str">
        <f t="shared" si="21"/>
        <v>Error?</v>
      </c>
    </row>
    <row r="1412" spans="1:4" x14ac:dyDescent="0.2">
      <c r="A1412" s="5">
        <v>1351</v>
      </c>
      <c r="B1412" s="138">
        <f>'Expenditures 15-22'!D233</f>
        <v>1995</v>
      </c>
      <c r="D1412" s="2" t="str">
        <f t="shared" si="21"/>
        <v>Error?</v>
      </c>
    </row>
    <row r="1413" spans="1:4" x14ac:dyDescent="0.2">
      <c r="A1413" s="5">
        <v>1352</v>
      </c>
      <c r="B1413" s="138">
        <f>'Expenditures 15-22'!D234</f>
        <v>23583</v>
      </c>
      <c r="D1413" s="2" t="str">
        <f t="shared" si="21"/>
        <v>Error?</v>
      </c>
    </row>
    <row r="1414" spans="1:4" x14ac:dyDescent="0.2">
      <c r="A1414" s="5">
        <v>1353</v>
      </c>
      <c r="B1414" s="138">
        <f>'Expenditures 15-22'!D235</f>
        <v>10357</v>
      </c>
      <c r="D1414" s="2" t="str">
        <f t="shared" si="21"/>
        <v>Error?</v>
      </c>
    </row>
    <row r="1415" spans="1:4" x14ac:dyDescent="0.2">
      <c r="A1415" s="5">
        <v>1354</v>
      </c>
      <c r="B1415" s="138">
        <f>'Expenditures 15-22'!D236</f>
        <v>4818</v>
      </c>
      <c r="D1415" s="2" t="str">
        <f t="shared" si="21"/>
        <v>Error?</v>
      </c>
    </row>
    <row r="1416" spans="1:4" x14ac:dyDescent="0.2">
      <c r="A1416" s="5">
        <v>1355</v>
      </c>
      <c r="B1416" s="138">
        <f>'Expenditures 15-22'!D237</f>
        <v>2860</v>
      </c>
      <c r="D1416" s="2" t="str">
        <f t="shared" si="21"/>
        <v>Error?</v>
      </c>
    </row>
    <row r="1417" spans="1:4" x14ac:dyDescent="0.2">
      <c r="A1417" s="5">
        <v>1356</v>
      </c>
      <c r="B1417" s="138">
        <f>'Expenditures 15-22'!D238</f>
        <v>48169</v>
      </c>
      <c r="C1417" s="2" t="s">
        <v>594</v>
      </c>
      <c r="D1417" s="2" t="str">
        <f t="shared" si="21"/>
        <v>Error?</v>
      </c>
    </row>
    <row r="1418" spans="1:4" x14ac:dyDescent="0.2">
      <c r="A1418" s="5">
        <v>1357</v>
      </c>
      <c r="B1418" s="138">
        <f>'Expenditures 15-22'!D240</f>
        <v>93</v>
      </c>
      <c r="D1418" s="2" t="str">
        <f t="shared" si="21"/>
        <v>Error?</v>
      </c>
    </row>
    <row r="1419" spans="1:4" x14ac:dyDescent="0.2">
      <c r="A1419" s="5">
        <v>1358</v>
      </c>
      <c r="B1419" s="138">
        <f>'Expenditures 15-22'!D241</f>
        <v>51901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51994</v>
      </c>
      <c r="C1421" s="2" t="s">
        <v>594</v>
      </c>
      <c r="D1421" s="2" t="str">
        <f t="shared" si="21"/>
        <v>Error?</v>
      </c>
    </row>
    <row r="1422" spans="1:4" x14ac:dyDescent="0.2">
      <c r="A1422" s="5">
        <v>1361</v>
      </c>
      <c r="B1422" s="138">
        <f>'Expenditures 15-22'!D245</f>
        <v>318</v>
      </c>
      <c r="D1422" s="2" t="str">
        <f t="shared" si="21"/>
        <v>Error?</v>
      </c>
    </row>
    <row r="1423" spans="1:4" x14ac:dyDescent="0.2">
      <c r="A1423" s="5">
        <v>1362</v>
      </c>
      <c r="B1423" s="138">
        <f>'Expenditures 15-22'!D246</f>
        <v>19053</v>
      </c>
      <c r="D1423" s="2" t="str">
        <f t="shared" si="21"/>
        <v>Error?</v>
      </c>
    </row>
    <row r="1424" spans="1:4" x14ac:dyDescent="0.2">
      <c r="A1424" s="5">
        <v>1363</v>
      </c>
      <c r="B1424" s="138">
        <f>'Expenditures 15-22'!D257</f>
        <v>19371</v>
      </c>
      <c r="C1424" s="2" t="s">
        <v>594</v>
      </c>
      <c r="D1424" s="2" t="str">
        <f t="shared" si="21"/>
        <v>Error?</v>
      </c>
    </row>
    <row r="1425" spans="1:4" x14ac:dyDescent="0.2">
      <c r="A1425" s="5">
        <v>1364</v>
      </c>
      <c r="B1425" s="138">
        <f>'Expenditures 15-22'!D259</f>
        <v>64257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64257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20593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181285</v>
      </c>
      <c r="D1431" s="2" t="str">
        <f t="shared" si="21"/>
        <v>Error?</v>
      </c>
    </row>
    <row r="1432" spans="1:4" x14ac:dyDescent="0.2">
      <c r="A1432" s="5">
        <v>1371</v>
      </c>
      <c r="B1432" s="138">
        <f>'Expenditures 15-22'!D267</f>
        <v>168740</v>
      </c>
      <c r="D1432" s="2" t="str">
        <f t="shared" si="21"/>
        <v>Error?</v>
      </c>
    </row>
    <row r="1433" spans="1:4" x14ac:dyDescent="0.2">
      <c r="A1433" s="5">
        <v>1372</v>
      </c>
      <c r="B1433" s="138">
        <f>'Expenditures 15-22'!D268</f>
        <v>31256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401874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422</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422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586087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902914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3324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316827</v>
      </c>
      <c r="C1474" s="2" t="s">
        <v>594</v>
      </c>
      <c r="D1474" s="2" t="str">
        <f t="shared" si="22"/>
        <v>Error?</v>
      </c>
    </row>
    <row r="1475" spans="1:4" x14ac:dyDescent="0.2">
      <c r="A1475" s="5">
        <v>1414</v>
      </c>
      <c r="B1475" s="138">
        <f>'Expenditures 15-22'!K232</f>
        <v>4556</v>
      </c>
      <c r="C1475" s="2" t="s">
        <v>594</v>
      </c>
      <c r="D1475" s="2" t="str">
        <f t="shared" si="22"/>
        <v>Error?</v>
      </c>
    </row>
    <row r="1476" spans="1:4" x14ac:dyDescent="0.2">
      <c r="A1476" s="5">
        <v>1415</v>
      </c>
      <c r="B1476" s="138">
        <f>'Expenditures 15-22'!K233</f>
        <v>1995</v>
      </c>
      <c r="C1476" s="2" t="s">
        <v>594</v>
      </c>
      <c r="D1476" s="2" t="str">
        <f t="shared" si="22"/>
        <v>Error?</v>
      </c>
    </row>
    <row r="1477" spans="1:4" x14ac:dyDescent="0.2">
      <c r="A1477" s="5">
        <v>1416</v>
      </c>
      <c r="B1477" s="138">
        <f>'Expenditures 15-22'!K234</f>
        <v>23583</v>
      </c>
      <c r="C1477" s="2" t="s">
        <v>594</v>
      </c>
      <c r="D1477" s="2" t="str">
        <f t="shared" si="22"/>
        <v>Error?</v>
      </c>
    </row>
    <row r="1478" spans="1:4" x14ac:dyDescent="0.2">
      <c r="A1478" s="5">
        <v>1417</v>
      </c>
      <c r="B1478" s="138">
        <f>'Expenditures 15-22'!K235</f>
        <v>10357</v>
      </c>
      <c r="C1478" s="2" t="s">
        <v>594</v>
      </c>
      <c r="D1478" s="2" t="str">
        <f t="shared" si="22"/>
        <v>Error?</v>
      </c>
    </row>
    <row r="1479" spans="1:4" x14ac:dyDescent="0.2">
      <c r="A1479" s="5">
        <v>1418</v>
      </c>
      <c r="B1479" s="138">
        <f>'Expenditures 15-22'!K236</f>
        <v>4818</v>
      </c>
      <c r="C1479" s="2" t="s">
        <v>594</v>
      </c>
      <c r="D1479" s="2" t="str">
        <f t="shared" si="22"/>
        <v>Error?</v>
      </c>
    </row>
    <row r="1480" spans="1:4" x14ac:dyDescent="0.2">
      <c r="A1480" s="5">
        <v>1419</v>
      </c>
      <c r="B1480" s="138">
        <f>'Expenditures 15-22'!K237</f>
        <v>2860</v>
      </c>
      <c r="C1480" s="2" t="s">
        <v>594</v>
      </c>
      <c r="D1480" s="2" t="str">
        <f t="shared" si="22"/>
        <v>Error?</v>
      </c>
    </row>
    <row r="1481" spans="1:4" x14ac:dyDescent="0.2">
      <c r="A1481" s="5">
        <v>1420</v>
      </c>
      <c r="B1481" s="138">
        <f>'Expenditures 15-22'!K238</f>
        <v>48169</v>
      </c>
      <c r="C1481" s="2" t="s">
        <v>594</v>
      </c>
      <c r="D1481" s="2" t="str">
        <f t="shared" si="22"/>
        <v>Error?</v>
      </c>
    </row>
    <row r="1482" spans="1:4" x14ac:dyDescent="0.2">
      <c r="A1482" s="5">
        <v>1421</v>
      </c>
      <c r="B1482" s="138">
        <f>'Expenditures 15-22'!K240</f>
        <v>93</v>
      </c>
      <c r="C1482" s="2" t="s">
        <v>594</v>
      </c>
      <c r="D1482" s="2" t="str">
        <f t="shared" si="22"/>
        <v>Error?</v>
      </c>
    </row>
    <row r="1483" spans="1:4" x14ac:dyDescent="0.2">
      <c r="A1483" s="5">
        <v>1422</v>
      </c>
      <c r="B1483" s="138">
        <f>'Expenditures 15-22'!K241</f>
        <v>51901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51994</v>
      </c>
      <c r="C1485" s="2" t="s">
        <v>594</v>
      </c>
      <c r="D1485" s="2" t="str">
        <f t="shared" si="22"/>
        <v>Error?</v>
      </c>
    </row>
    <row r="1486" spans="1:4" x14ac:dyDescent="0.2">
      <c r="A1486" s="5">
        <v>1425</v>
      </c>
      <c r="B1486" s="138">
        <f>'Expenditures 15-22'!K245</f>
        <v>318</v>
      </c>
      <c r="C1486" s="2" t="s">
        <v>594</v>
      </c>
      <c r="D1486" s="2" t="str">
        <f t="shared" si="22"/>
        <v>Error?</v>
      </c>
    </row>
    <row r="1487" spans="1:4" x14ac:dyDescent="0.2">
      <c r="A1487" s="5">
        <v>1426</v>
      </c>
      <c r="B1487" s="138">
        <f>'Expenditures 15-22'!K246</f>
        <v>19053</v>
      </c>
      <c r="C1487" s="2" t="s">
        <v>594</v>
      </c>
      <c r="D1487" s="2" t="str">
        <f t="shared" si="22"/>
        <v>Error?</v>
      </c>
    </row>
    <row r="1488" spans="1:4" x14ac:dyDescent="0.2">
      <c r="A1488" s="5">
        <v>1427</v>
      </c>
      <c r="B1488" s="138">
        <f>'Expenditures 15-22'!K257</f>
        <v>19371</v>
      </c>
      <c r="C1488" s="2" t="s">
        <v>594</v>
      </c>
      <c r="D1488" s="2" t="str">
        <f t="shared" si="22"/>
        <v>Error?</v>
      </c>
    </row>
    <row r="1489" spans="1:4" x14ac:dyDescent="0.2">
      <c r="A1489" s="5">
        <v>1428</v>
      </c>
      <c r="B1489" s="138">
        <f>'Expenditures 15-22'!K259</f>
        <v>64257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64257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20593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181285</v>
      </c>
      <c r="C1495" s="2" t="s">
        <v>594</v>
      </c>
      <c r="D1495" s="2" t="str">
        <f t="shared" si="22"/>
        <v>Error?</v>
      </c>
    </row>
    <row r="1496" spans="1:4" x14ac:dyDescent="0.2">
      <c r="A1496" s="5">
        <v>1435</v>
      </c>
      <c r="B1496" s="138">
        <f>'Expenditures 15-22'!K267</f>
        <v>168740</v>
      </c>
      <c r="C1496" s="2" t="s">
        <v>594</v>
      </c>
      <c r="D1496" s="2" t="str">
        <f t="shared" si="22"/>
        <v>Error?</v>
      </c>
    </row>
    <row r="1497" spans="1:4" x14ac:dyDescent="0.2">
      <c r="A1497" s="5">
        <v>1436</v>
      </c>
      <c r="B1497" s="138">
        <f>'Expenditures 15-22'!K268</f>
        <v>31256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401874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422</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422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586087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902914</v>
      </c>
      <c r="C1517" s="2" t="s">
        <v>594</v>
      </c>
      <c r="D1517" s="2" t="str">
        <f t="shared" si="22"/>
        <v>Error?</v>
      </c>
    </row>
    <row r="1518" spans="1:4" x14ac:dyDescent="0.2">
      <c r="A1518" s="5">
        <v>1457</v>
      </c>
      <c r="B1518" s="138">
        <f>'Expenditures 15-22'!K296</f>
        <v>5858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257576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2568712</v>
      </c>
      <c r="C1630" s="2" t="s">
        <v>594</v>
      </c>
      <c r="D1630" s="2" t="str">
        <f t="shared" si="24"/>
        <v>Error?</v>
      </c>
    </row>
    <row r="1631" spans="1:4" x14ac:dyDescent="0.2">
      <c r="A1631" s="5">
        <v>1570</v>
      </c>
      <c r="B1631" s="138">
        <f>'Acct Summary 7-8'!D79</f>
        <v>25195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517534.99999999977</v>
      </c>
      <c r="C1644" s="2" t="s">
        <v>594</v>
      </c>
      <c r="D1644" s="2" t="str">
        <f t="shared" si="24"/>
        <v>Error?</v>
      </c>
    </row>
    <row r="1645" spans="1:4" x14ac:dyDescent="0.2">
      <c r="A1645" s="5">
        <v>1584</v>
      </c>
      <c r="B1645" s="138">
        <f>'Acct Summary 7-8'!E79</f>
        <v>-30483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-40912</v>
      </c>
      <c r="C1658" s="2" t="s">
        <v>594</v>
      </c>
      <c r="D1658" s="2" t="str">
        <f t="shared" si="24"/>
        <v>Error?</v>
      </c>
    </row>
    <row r="1659" spans="1:4" x14ac:dyDescent="0.2">
      <c r="A1659" s="5">
        <v>1598</v>
      </c>
      <c r="B1659" s="138">
        <f>'Acct Summary 7-8'!F79</f>
        <v>251214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562628</v>
      </c>
      <c r="C1672" s="2" t="s">
        <v>594</v>
      </c>
      <c r="D1672" s="2" t="str">
        <f t="shared" si="25"/>
        <v>Error?</v>
      </c>
    </row>
    <row r="1673" spans="1:4" x14ac:dyDescent="0.2">
      <c r="A1673" s="5">
        <v>1612</v>
      </c>
      <c r="B1673" s="138">
        <f>'Acct Summary 7-8'!G79</f>
        <v>101326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107184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6175972</v>
      </c>
      <c r="C1744" s="2" t="s">
        <v>594</v>
      </c>
      <c r="D1744" s="2" t="str">
        <f t="shared" si="26"/>
        <v>Error?</v>
      </c>
    </row>
    <row r="1745" spans="1:5" x14ac:dyDescent="0.2">
      <c r="A1745" s="5">
        <v>1684</v>
      </c>
      <c r="B1745" s="138">
        <f>'Tax Sched 23'!B5</f>
        <v>691043.19</v>
      </c>
      <c r="C1745" s="2" t="s">
        <v>594</v>
      </c>
      <c r="D1745" s="2" t="str">
        <f t="shared" si="26"/>
        <v>Error?</v>
      </c>
    </row>
    <row r="1746" spans="1:5" x14ac:dyDescent="0.2">
      <c r="A1746" s="5">
        <v>1685</v>
      </c>
      <c r="B1746" s="138">
        <f>'Tax Sched 23'!B6</f>
        <v>3134418</v>
      </c>
      <c r="C1746" s="2" t="s">
        <v>594</v>
      </c>
      <c r="D1746" s="2" t="str">
        <f t="shared" si="26"/>
        <v>Error?</v>
      </c>
    </row>
    <row r="1747" spans="1:5" x14ac:dyDescent="0.2">
      <c r="A1747" s="5">
        <v>1686</v>
      </c>
      <c r="B1747" s="138">
        <f>'Tax Sched 23'!B7</f>
        <v>330447</v>
      </c>
      <c r="C1747" s="2" t="s">
        <v>594</v>
      </c>
      <c r="D1747" s="2" t="str">
        <f t="shared" si="26"/>
        <v>Error?</v>
      </c>
    </row>
    <row r="1748" spans="1:5" x14ac:dyDescent="0.2">
      <c r="A1748" s="5">
        <v>1687</v>
      </c>
      <c r="B1748" s="138">
        <f>'Tax Sched 23'!B8</f>
        <v>343713</v>
      </c>
      <c r="C1748" s="2" t="s">
        <v>594</v>
      </c>
      <c r="D1748" s="2" t="str">
        <f t="shared" si="26"/>
        <v>Error?</v>
      </c>
    </row>
    <row r="1749" spans="1:5" x14ac:dyDescent="0.2">
      <c r="A1749" s="5">
        <v>1688</v>
      </c>
      <c r="B1749" s="138">
        <f>'Tax Sched 23'!B10</f>
        <v>137485.04999999999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498081.74</v>
      </c>
      <c r="C1752" s="2" t="s">
        <v>594</v>
      </c>
      <c r="D1752" s="2" t="str">
        <f t="shared" si="26"/>
        <v>Error?</v>
      </c>
    </row>
    <row r="1753" spans="1:5" x14ac:dyDescent="0.2">
      <c r="A1753" s="5">
        <v>1692</v>
      </c>
      <c r="B1753" s="138">
        <f>'Tax Sched 23'!B12</f>
        <v>137485.04999999999</v>
      </c>
      <c r="C1753" s="2" t="s">
        <v>594</v>
      </c>
      <c r="D1753" s="2" t="str">
        <f t="shared" si="26"/>
        <v>Error?</v>
      </c>
    </row>
    <row r="1754" spans="1:5" x14ac:dyDescent="0.2">
      <c r="A1754" s="5">
        <v>1693</v>
      </c>
      <c r="B1754" s="138">
        <f>'Tax Sched 23'!B14</f>
        <v>55476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12060091.030000001</v>
      </c>
      <c r="C1759" s="2" t="s">
        <v>594</v>
      </c>
      <c r="D1759" s="2" t="str">
        <f t="shared" si="26"/>
        <v>Error?</v>
      </c>
    </row>
    <row r="1760" spans="1:5" x14ac:dyDescent="0.2">
      <c r="A1760" s="5">
        <v>1699</v>
      </c>
      <c r="B1760" s="138">
        <f>'Tax Sched 23'!D4</f>
        <v>6175972</v>
      </c>
      <c r="C1760" s="2" t="s">
        <v>594</v>
      </c>
      <c r="D1760" s="2" t="str">
        <f t="shared" si="26"/>
        <v>Error?</v>
      </c>
    </row>
    <row r="1761" spans="1:5" x14ac:dyDescent="0.2">
      <c r="A1761" s="5">
        <v>1700</v>
      </c>
      <c r="B1761" s="138">
        <f>'Tax Sched 23'!D5</f>
        <v>691043.19</v>
      </c>
      <c r="C1761" s="2" t="s">
        <v>594</v>
      </c>
      <c r="D1761" s="2" t="str">
        <f t="shared" si="26"/>
        <v>Error?</v>
      </c>
    </row>
    <row r="1762" spans="1:5" s="8" customFormat="1" x14ac:dyDescent="0.2">
      <c r="A1762" s="5">
        <v>1701</v>
      </c>
      <c r="B1762" s="138">
        <f>'Tax Sched 23'!D6</f>
        <v>3134418</v>
      </c>
      <c r="C1762" s="2" t="s">
        <v>594</v>
      </c>
      <c r="D1762" s="2" t="str">
        <f t="shared" si="26"/>
        <v>Error?</v>
      </c>
      <c r="E1762" s="9"/>
    </row>
    <row r="1763" spans="1:5" x14ac:dyDescent="0.2">
      <c r="A1763" s="5">
        <v>1702</v>
      </c>
      <c r="B1763" s="138">
        <f>'Tax Sched 23'!D7</f>
        <v>330447</v>
      </c>
      <c r="C1763" s="2" t="s">
        <v>594</v>
      </c>
      <c r="D1763" s="2" t="str">
        <f t="shared" si="26"/>
        <v>Error?</v>
      </c>
    </row>
    <row r="1764" spans="1:5" x14ac:dyDescent="0.2">
      <c r="A1764" s="5">
        <v>1703</v>
      </c>
      <c r="B1764" s="138">
        <f>'Tax Sched 23'!D8</f>
        <v>343713</v>
      </c>
      <c r="C1764" s="2" t="s">
        <v>594</v>
      </c>
      <c r="D1764" s="2" t="str">
        <f t="shared" si="26"/>
        <v>Error?</v>
      </c>
    </row>
    <row r="1765" spans="1:5" x14ac:dyDescent="0.2">
      <c r="A1765" s="5">
        <v>1704</v>
      </c>
      <c r="B1765" s="138">
        <f>'Tax Sched 23'!D10</f>
        <v>137485.04999999999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498081.74</v>
      </c>
      <c r="C1768" s="2" t="s">
        <v>594</v>
      </c>
      <c r="D1768" s="2" t="str">
        <f t="shared" si="26"/>
        <v>Error?</v>
      </c>
    </row>
    <row r="1769" spans="1:5" x14ac:dyDescent="0.2">
      <c r="A1769" s="5">
        <v>1708</v>
      </c>
      <c r="B1769" s="138">
        <f>'Tax Sched 23'!D12</f>
        <v>137485.04999999999</v>
      </c>
      <c r="C1769" s="2" t="s">
        <v>594</v>
      </c>
      <c r="D1769" s="2" t="str">
        <f t="shared" si="26"/>
        <v>Error?</v>
      </c>
    </row>
    <row r="1770" spans="1:5" x14ac:dyDescent="0.2">
      <c r="A1770" s="5">
        <v>1709</v>
      </c>
      <c r="B1770" s="138">
        <f>'Tax Sched 23'!D14</f>
        <v>55476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12060091.030000001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6357557</v>
      </c>
      <c r="C1792" s="2" t="s">
        <v>594</v>
      </c>
      <c r="D1792" s="2" t="str">
        <f t="shared" si="27"/>
        <v>Error?</v>
      </c>
    </row>
    <row r="1793" spans="1:4" x14ac:dyDescent="0.2">
      <c r="A1793" s="5">
        <v>1732</v>
      </c>
      <c r="B1793" s="138">
        <f>'Tax Sched 23'!F5</f>
        <v>709549</v>
      </c>
      <c r="C1793" s="2" t="s">
        <v>594</v>
      </c>
      <c r="D1793" s="2" t="str">
        <f t="shared" si="27"/>
        <v>Error?</v>
      </c>
    </row>
    <row r="1794" spans="1:4" x14ac:dyDescent="0.2">
      <c r="A1794" s="5">
        <v>1733</v>
      </c>
      <c r="B1794" s="138">
        <f>'Tax Sched 23'!F6</f>
        <v>3002044</v>
      </c>
      <c r="C1794" s="2" t="s">
        <v>594</v>
      </c>
      <c r="D1794" s="2" t="str">
        <f t="shared" si="27"/>
        <v>Error?</v>
      </c>
    </row>
    <row r="1795" spans="1:4" x14ac:dyDescent="0.2">
      <c r="A1795" s="5">
        <v>1734</v>
      </c>
      <c r="B1795" s="138">
        <f>'Tax Sched 23'!F7</f>
        <v>340583</v>
      </c>
      <c r="C1795" s="2" t="s">
        <v>594</v>
      </c>
      <c r="D1795" s="2" t="str">
        <f t="shared" si="27"/>
        <v>Error?</v>
      </c>
    </row>
    <row r="1796" spans="1:4" x14ac:dyDescent="0.2">
      <c r="A1796" s="5">
        <v>1735</v>
      </c>
      <c r="B1796" s="138">
        <f>'Tax Sched 23'!F8</f>
        <v>345011</v>
      </c>
      <c r="C1796" s="2" t="s">
        <v>594</v>
      </c>
      <c r="D1796" s="2" t="str">
        <f t="shared" si="27"/>
        <v>Error?</v>
      </c>
    </row>
    <row r="1797" spans="1:4" x14ac:dyDescent="0.2">
      <c r="A1797" s="5">
        <v>1736</v>
      </c>
      <c r="B1797" s="138">
        <f>'Tax Sched 23'!F10</f>
        <v>141910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500005</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56764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12015358</v>
      </c>
      <c r="C1807" s="2" t="s">
        <v>594</v>
      </c>
      <c r="D1807" s="2" t="str">
        <f t="shared" si="27"/>
        <v>Error?</v>
      </c>
    </row>
    <row r="1808" spans="1:4" x14ac:dyDescent="0.2">
      <c r="A1808" s="5">
        <v>1747</v>
      </c>
      <c r="B1808" s="138">
        <f>'Tax Sched 23'!E4</f>
        <v>6357557</v>
      </c>
      <c r="D1808" s="2" t="str">
        <f t="shared" si="27"/>
        <v>Error?</v>
      </c>
    </row>
    <row r="1809" spans="1:4" x14ac:dyDescent="0.2">
      <c r="A1809" s="5">
        <v>1748</v>
      </c>
      <c r="B1809" s="138">
        <f>'Tax Sched 23'!E5</f>
        <v>709549</v>
      </c>
      <c r="D1809" s="2" t="str">
        <f t="shared" si="27"/>
        <v>Error?</v>
      </c>
    </row>
    <row r="1810" spans="1:4" x14ac:dyDescent="0.2">
      <c r="A1810" s="5">
        <v>1749</v>
      </c>
      <c r="B1810" s="138">
        <f>'Tax Sched 23'!E6</f>
        <v>3002044</v>
      </c>
      <c r="D1810" s="2" t="str">
        <f t="shared" si="27"/>
        <v>Error?</v>
      </c>
    </row>
    <row r="1811" spans="1:4" x14ac:dyDescent="0.2">
      <c r="A1811" s="5">
        <v>1750</v>
      </c>
      <c r="B1811" s="138">
        <f>'Tax Sched 23'!E7</f>
        <v>340583</v>
      </c>
      <c r="D1811" s="2" t="str">
        <f t="shared" si="27"/>
        <v>Error?</v>
      </c>
    </row>
    <row r="1812" spans="1:4" x14ac:dyDescent="0.2">
      <c r="A1812" s="5">
        <v>1751</v>
      </c>
      <c r="B1812" s="138">
        <f>'Tax Sched 23'!E8</f>
        <v>345011</v>
      </c>
      <c r="D1812" s="2" t="str">
        <f t="shared" si="27"/>
        <v>Error?</v>
      </c>
    </row>
    <row r="1813" spans="1:4" x14ac:dyDescent="0.2">
      <c r="A1813" s="5">
        <v>1752</v>
      </c>
      <c r="B1813" s="138">
        <f>'Tax Sched 23'!E10</f>
        <v>141910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500005</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56764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12015358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9335628</v>
      </c>
      <c r="C1939" s="2" t="s">
        <v>594</v>
      </c>
      <c r="D1939" s="2" t="str">
        <f t="shared" si="29"/>
        <v>Error?</v>
      </c>
    </row>
    <row r="1940" spans="1:5" x14ac:dyDescent="0.2">
      <c r="A1940" s="5">
        <v>1879</v>
      </c>
      <c r="B1940" s="138">
        <f>'Short-Term Long-Term Debt 24'!F49</f>
        <v>6240000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55476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55476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55476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1150441</v>
      </c>
      <c r="D2008" s="2" t="str">
        <f t="shared" si="30"/>
        <v>Error?</v>
      </c>
    </row>
    <row r="2009" spans="1:4" x14ac:dyDescent="0.2">
      <c r="A2009" s="5">
        <v>1948</v>
      </c>
      <c r="B2009" s="138">
        <f>'Cap Outlay Deprec 26'!C8</f>
        <v>42350306</v>
      </c>
      <c r="D2009" s="2" t="str">
        <f t="shared" si="30"/>
        <v>Error?</v>
      </c>
    </row>
    <row r="2010" spans="1:4" x14ac:dyDescent="0.2">
      <c r="A2010" s="5">
        <v>1949</v>
      </c>
      <c r="B2010" s="138">
        <f>'Cap Outlay Deprec 26'!C10</f>
        <v>546304</v>
      </c>
      <c r="D2010" s="2" t="str">
        <f t="shared" si="30"/>
        <v>Error?</v>
      </c>
    </row>
    <row r="2011" spans="1:4" x14ac:dyDescent="0.2">
      <c r="A2011" s="5">
        <v>1950</v>
      </c>
      <c r="B2011" s="138">
        <f>'Cap Outlay Deprec 26'!C12</f>
        <v>3047096</v>
      </c>
      <c r="D2011" s="2" t="str">
        <f t="shared" si="30"/>
        <v>Error?</v>
      </c>
    </row>
    <row r="2012" spans="1:4" x14ac:dyDescent="0.2">
      <c r="A2012" s="5">
        <v>1951</v>
      </c>
      <c r="B2012" s="138">
        <f>'Cap Outlay Deprec 26'!C13</f>
        <v>2368729</v>
      </c>
      <c r="D2012" s="2" t="str">
        <f t="shared" si="30"/>
        <v>Error?</v>
      </c>
    </row>
    <row r="2013" spans="1:4" x14ac:dyDescent="0.2">
      <c r="A2013" s="5">
        <v>1952</v>
      </c>
      <c r="B2013" s="138">
        <f>'Cap Outlay Deprec 26'!C16</f>
        <v>49462876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150605</v>
      </c>
      <c r="D2015" s="2" t="str">
        <f t="shared" si="30"/>
        <v>Error?</v>
      </c>
    </row>
    <row r="2016" spans="1:4" x14ac:dyDescent="0.2">
      <c r="A2016" s="5">
        <v>1955</v>
      </c>
      <c r="B2016" s="138">
        <f>'Cap Outlay Deprec 26'!D10</f>
        <v>65226</v>
      </c>
      <c r="D2016" s="2" t="str">
        <f t="shared" si="30"/>
        <v>Error?</v>
      </c>
    </row>
    <row r="2017" spans="1:4" x14ac:dyDescent="0.2">
      <c r="A2017" s="5">
        <v>1956</v>
      </c>
      <c r="B2017" s="138">
        <f>'Cap Outlay Deprec 26'!D12</f>
        <v>176219</v>
      </c>
      <c r="D2017" s="2" t="str">
        <f t="shared" si="30"/>
        <v>Error?</v>
      </c>
    </row>
    <row r="2018" spans="1:4" x14ac:dyDescent="0.2">
      <c r="A2018" s="5">
        <v>1957</v>
      </c>
      <c r="B2018" s="138">
        <f>'Cap Outlay Deprec 26'!D13</f>
        <v>640534</v>
      </c>
      <c r="D2018" s="2" t="str">
        <f t="shared" si="30"/>
        <v>Error?</v>
      </c>
    </row>
    <row r="2019" spans="1:4" x14ac:dyDescent="0.2">
      <c r="A2019" s="5">
        <v>1958</v>
      </c>
      <c r="B2019" s="138">
        <f>'Cap Outlay Deprec 26'!D16</f>
        <v>1032584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141750</v>
      </c>
      <c r="D2023" s="2" t="str">
        <f t="shared" si="30"/>
        <v>Error?</v>
      </c>
    </row>
    <row r="2024" spans="1:4" x14ac:dyDescent="0.2">
      <c r="A2024" s="5">
        <v>1963</v>
      </c>
      <c r="B2024" s="138">
        <f>'Cap Outlay Deprec 26'!E13</f>
        <v>165526</v>
      </c>
      <c r="D2024" s="2" t="str">
        <f t="shared" si="30"/>
        <v>Error?</v>
      </c>
    </row>
    <row r="2025" spans="1:4" x14ac:dyDescent="0.2">
      <c r="A2025" s="5">
        <v>1964</v>
      </c>
      <c r="B2025" s="138">
        <f>'Cap Outlay Deprec 26'!E16</f>
        <v>307276</v>
      </c>
      <c r="C2025" s="2" t="s">
        <v>594</v>
      </c>
      <c r="D2025" s="2" t="str">
        <f t="shared" si="30"/>
        <v>Error?</v>
      </c>
    </row>
    <row r="2026" spans="1:4" x14ac:dyDescent="0.2">
      <c r="A2026" s="5">
        <v>1965</v>
      </c>
      <c r="B2026" s="138">
        <f>'Cap Outlay Deprec 26'!F5</f>
        <v>1150441</v>
      </c>
      <c r="C2026" s="2" t="s">
        <v>594</v>
      </c>
      <c r="D2026" s="2" t="str">
        <f t="shared" si="30"/>
        <v>Error?</v>
      </c>
    </row>
    <row r="2027" spans="1:4" x14ac:dyDescent="0.2">
      <c r="A2027" s="5">
        <v>1966</v>
      </c>
      <c r="B2027" s="138">
        <f>'Cap Outlay Deprec 26'!F8</f>
        <v>42500911</v>
      </c>
      <c r="C2027" s="2" t="s">
        <v>594</v>
      </c>
      <c r="D2027" s="2" t="str">
        <f t="shared" si="30"/>
        <v>Error?</v>
      </c>
    </row>
    <row r="2028" spans="1:4" x14ac:dyDescent="0.2">
      <c r="A2028" s="5">
        <v>1967</v>
      </c>
      <c r="B2028" s="138">
        <f>'Cap Outlay Deprec 26'!F10</f>
        <v>611530</v>
      </c>
      <c r="C2028" s="2" t="s">
        <v>594</v>
      </c>
      <c r="D2028" s="2" t="str">
        <f t="shared" si="30"/>
        <v>Error?</v>
      </c>
    </row>
    <row r="2029" spans="1:4" x14ac:dyDescent="0.2">
      <c r="A2029" s="5">
        <v>1968</v>
      </c>
      <c r="B2029" s="138">
        <f>'Cap Outlay Deprec 26'!F12</f>
        <v>3081565</v>
      </c>
      <c r="C2029" s="2" t="s">
        <v>594</v>
      </c>
      <c r="D2029" s="2" t="str">
        <f t="shared" si="30"/>
        <v>Error?</v>
      </c>
    </row>
    <row r="2030" spans="1:4" x14ac:dyDescent="0.2">
      <c r="A2030" s="5">
        <v>1969</v>
      </c>
      <c r="B2030" s="138">
        <f>'Cap Outlay Deprec 26'!F13</f>
        <v>2843737</v>
      </c>
      <c r="C2030" s="2" t="s">
        <v>594</v>
      </c>
      <c r="D2030" s="2" t="str">
        <f t="shared" si="30"/>
        <v>Error?</v>
      </c>
    </row>
    <row r="2031" spans="1:4" x14ac:dyDescent="0.2">
      <c r="A2031" s="5">
        <v>1970</v>
      </c>
      <c r="B2031" s="138">
        <f>'Cap Outlay Deprec 26'!F16</f>
        <v>50188184</v>
      </c>
      <c r="C2031" s="2" t="s">
        <v>594</v>
      </c>
      <c r="D2031" s="2" t="str">
        <f t="shared" si="30"/>
        <v>Error?</v>
      </c>
    </row>
    <row r="2032" spans="1:4" x14ac:dyDescent="0.2">
      <c r="A2032" s="10">
        <v>1971</v>
      </c>
      <c r="D2032" s="2" t="str">
        <f t="shared" si="30"/>
        <v>OK</v>
      </c>
    </row>
    <row r="2033" spans="1:4" x14ac:dyDescent="0.2">
      <c r="A2033" s="5">
        <v>1972</v>
      </c>
      <c r="B2033" s="138">
        <f>'Cap Outlay Deprec 26'!H8</f>
        <v>11010455</v>
      </c>
      <c r="D2033" s="2" t="str">
        <f t="shared" si="30"/>
        <v>Error?</v>
      </c>
    </row>
    <row r="2034" spans="1:4" x14ac:dyDescent="0.2">
      <c r="A2034" s="5">
        <v>1973</v>
      </c>
      <c r="B2034" s="138">
        <f>'Cap Outlay Deprec 26'!H10</f>
        <v>328343</v>
      </c>
      <c r="D2034" s="2" t="str">
        <f t="shared" si="30"/>
        <v>Error?</v>
      </c>
    </row>
    <row r="2035" spans="1:4" x14ac:dyDescent="0.2">
      <c r="A2035" s="5">
        <v>1974</v>
      </c>
      <c r="B2035" s="138">
        <f>'Cap Outlay Deprec 26'!H12</f>
        <v>1305997</v>
      </c>
      <c r="D2035" s="2" t="str">
        <f t="shared" si="30"/>
        <v>Error?</v>
      </c>
    </row>
    <row r="2036" spans="1:4" x14ac:dyDescent="0.2">
      <c r="A2036" s="5">
        <v>1975</v>
      </c>
      <c r="B2036" s="138">
        <f>'Cap Outlay Deprec 26'!H13</f>
        <v>1807453</v>
      </c>
      <c r="D2036" s="2" t="str">
        <f t="shared" si="30"/>
        <v>Error?</v>
      </c>
    </row>
    <row r="2037" spans="1:4" x14ac:dyDescent="0.2">
      <c r="A2037" s="5">
        <v>1976</v>
      </c>
      <c r="B2037" s="138">
        <f>'Cap Outlay Deprec 26'!H16</f>
        <v>14452248</v>
      </c>
      <c r="C2037" s="2" t="s">
        <v>594</v>
      </c>
      <c r="D2037" s="2" t="str">
        <f t="shared" si="30"/>
        <v>Error?</v>
      </c>
    </row>
    <row r="2038" spans="1:4" x14ac:dyDescent="0.2">
      <c r="A2038" s="10">
        <v>1977</v>
      </c>
      <c r="D2038" s="2" t="str">
        <f t="shared" si="30"/>
        <v>OK</v>
      </c>
    </row>
    <row r="2039" spans="1:4" x14ac:dyDescent="0.2">
      <c r="A2039" s="5">
        <v>1978</v>
      </c>
      <c r="B2039" s="138">
        <f>'Cap Outlay Deprec 26'!I8</f>
        <v>837887</v>
      </c>
      <c r="D2039" s="2" t="str">
        <f t="shared" si="30"/>
        <v>Error?</v>
      </c>
    </row>
    <row r="2040" spans="1:4" x14ac:dyDescent="0.2">
      <c r="A2040" s="5">
        <v>1979</v>
      </c>
      <c r="B2040" s="138">
        <f>'Cap Outlay Deprec 26'!I10</f>
        <v>21513</v>
      </c>
      <c r="D2040" s="2" t="str">
        <f t="shared" si="30"/>
        <v>Error?</v>
      </c>
    </row>
    <row r="2041" spans="1:4" x14ac:dyDescent="0.2">
      <c r="A2041" s="5">
        <v>1980</v>
      </c>
      <c r="B2041" s="138">
        <f>'Cap Outlay Deprec 26'!I12</f>
        <v>308156</v>
      </c>
      <c r="D2041" s="2" t="str">
        <f t="shared" si="30"/>
        <v>Error?</v>
      </c>
    </row>
    <row r="2042" spans="1:4" x14ac:dyDescent="0.2">
      <c r="A2042" s="5">
        <v>1981</v>
      </c>
      <c r="B2042" s="138">
        <f>'Cap Outlay Deprec 26'!I13</f>
        <v>268425</v>
      </c>
      <c r="D2042" s="2" t="str">
        <f t="shared" si="30"/>
        <v>Error?</v>
      </c>
    </row>
    <row r="2043" spans="1:4" x14ac:dyDescent="0.2">
      <c r="A2043" s="5">
        <v>1982</v>
      </c>
      <c r="B2043" s="138">
        <f>'Cap Outlay Deprec 26'!I16</f>
        <v>1435981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141750</v>
      </c>
      <c r="D2047" s="2" t="str">
        <f t="shared" ref="D2047:D2110" si="31">IF(ISBLANK(B2047),"OK",IF(A2047-B2047=0,"OK","Error?"))</f>
        <v>Error?</v>
      </c>
    </row>
    <row r="2048" spans="1:4" x14ac:dyDescent="0.2">
      <c r="A2048" s="5">
        <v>1987</v>
      </c>
      <c r="B2048" s="138">
        <f>'Cap Outlay Deprec 26'!J13</f>
        <v>165526</v>
      </c>
      <c r="D2048" s="2" t="str">
        <f t="shared" si="31"/>
        <v>Error?</v>
      </c>
    </row>
    <row r="2049" spans="1:4" x14ac:dyDescent="0.2">
      <c r="A2049" s="5">
        <v>1988</v>
      </c>
      <c r="B2049" s="138">
        <f>'Cap Outlay Deprec 26'!J16</f>
        <v>307276</v>
      </c>
      <c r="C2049" s="2" t="s">
        <v>594</v>
      </c>
      <c r="D2049" s="2" t="str">
        <f t="shared" si="31"/>
        <v>Error?</v>
      </c>
    </row>
    <row r="2050" spans="1:4" x14ac:dyDescent="0.2">
      <c r="A2050" s="10">
        <v>1989</v>
      </c>
      <c r="D2050" s="2" t="str">
        <f t="shared" si="31"/>
        <v>OK</v>
      </c>
    </row>
    <row r="2051" spans="1:4" x14ac:dyDescent="0.2">
      <c r="A2051" s="5">
        <v>1990</v>
      </c>
      <c r="B2051" s="138">
        <f>'Cap Outlay Deprec 26'!K8</f>
        <v>11848342</v>
      </c>
      <c r="C2051" s="2" t="s">
        <v>594</v>
      </c>
      <c r="D2051" s="2" t="str">
        <f t="shared" si="31"/>
        <v>Error?</v>
      </c>
    </row>
    <row r="2052" spans="1:4" x14ac:dyDescent="0.2">
      <c r="A2052" s="5">
        <v>1991</v>
      </c>
      <c r="B2052" s="138">
        <f>'Cap Outlay Deprec 26'!K10</f>
        <v>349856</v>
      </c>
      <c r="C2052" s="2" t="s">
        <v>594</v>
      </c>
      <c r="D2052" s="2" t="str">
        <f t="shared" si="31"/>
        <v>Error?</v>
      </c>
    </row>
    <row r="2053" spans="1:4" x14ac:dyDescent="0.2">
      <c r="A2053" s="5">
        <v>1992</v>
      </c>
      <c r="B2053" s="138">
        <f>'Cap Outlay Deprec 26'!K12</f>
        <v>1472403</v>
      </c>
      <c r="C2053" s="2" t="s">
        <v>594</v>
      </c>
      <c r="D2053" s="2" t="str">
        <f t="shared" si="31"/>
        <v>Error?</v>
      </c>
    </row>
    <row r="2054" spans="1:4" x14ac:dyDescent="0.2">
      <c r="A2054" s="5">
        <v>1993</v>
      </c>
      <c r="B2054" s="138">
        <f>'Cap Outlay Deprec 26'!K13</f>
        <v>1910352</v>
      </c>
      <c r="C2054" s="2" t="s">
        <v>594</v>
      </c>
      <c r="D2054" s="2" t="str">
        <f t="shared" si="31"/>
        <v>Error?</v>
      </c>
    </row>
    <row r="2055" spans="1:4" x14ac:dyDescent="0.2">
      <c r="A2055" s="5">
        <v>1994</v>
      </c>
      <c r="B2055" s="138">
        <f>'Cap Outlay Deprec 26'!K16</f>
        <v>15580953</v>
      </c>
      <c r="C2055" s="2" t="s">
        <v>594</v>
      </c>
      <c r="D2055" s="2" t="str">
        <f t="shared" si="31"/>
        <v>Error?</v>
      </c>
    </row>
    <row r="2056" spans="1:4" x14ac:dyDescent="0.2">
      <c r="A2056" s="5">
        <v>1995</v>
      </c>
      <c r="B2056" s="138">
        <f>'Cap Outlay Deprec 26'!L5</f>
        <v>1150441</v>
      </c>
      <c r="C2056" s="2" t="s">
        <v>594</v>
      </c>
      <c r="D2056" s="2" t="str">
        <f t="shared" si="31"/>
        <v>Error?</v>
      </c>
    </row>
    <row r="2057" spans="1:4" x14ac:dyDescent="0.2">
      <c r="A2057" s="5">
        <v>1996</v>
      </c>
      <c r="B2057" s="138">
        <f>'Cap Outlay Deprec 26'!L8</f>
        <v>30652569</v>
      </c>
      <c r="C2057" s="2" t="s">
        <v>594</v>
      </c>
      <c r="D2057" s="2" t="str">
        <f t="shared" si="31"/>
        <v>Error?</v>
      </c>
    </row>
    <row r="2058" spans="1:4" x14ac:dyDescent="0.2">
      <c r="A2058" s="5">
        <v>1997</v>
      </c>
      <c r="B2058" s="138">
        <f>'Cap Outlay Deprec 26'!L10</f>
        <v>261674</v>
      </c>
      <c r="C2058" s="2" t="s">
        <v>594</v>
      </c>
      <c r="D2058" s="2" t="str">
        <f t="shared" si="31"/>
        <v>Error?</v>
      </c>
    </row>
    <row r="2059" spans="1:4" x14ac:dyDescent="0.2">
      <c r="A2059" s="5">
        <v>1998</v>
      </c>
      <c r="B2059" s="138">
        <f>'Cap Outlay Deprec 26'!L12</f>
        <v>1609162</v>
      </c>
      <c r="C2059" s="2" t="s">
        <v>594</v>
      </c>
      <c r="D2059" s="2" t="str">
        <f t="shared" si="31"/>
        <v>Error?</v>
      </c>
    </row>
    <row r="2060" spans="1:4" x14ac:dyDescent="0.2">
      <c r="A2060" s="5">
        <v>1999</v>
      </c>
      <c r="B2060" s="138">
        <f>'Cap Outlay Deprec 26'!L13</f>
        <v>933385</v>
      </c>
      <c r="C2060" s="2" t="s">
        <v>594</v>
      </c>
      <c r="D2060" s="2" t="str">
        <f t="shared" si="31"/>
        <v>Error?</v>
      </c>
    </row>
    <row r="2061" spans="1:4" x14ac:dyDescent="0.2">
      <c r="A2061" s="5">
        <v>2000</v>
      </c>
      <c r="B2061" s="138">
        <f>'Cap Outlay Deprec 26'!L16</f>
        <v>34607231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543374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543374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3499724</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8528688</v>
      </c>
      <c r="C2551" s="2" t="s">
        <v>594</v>
      </c>
      <c r="D2551" s="2" t="str">
        <f t="shared" si="38"/>
        <v>Error?</v>
      </c>
    </row>
    <row r="2552" spans="1:4" x14ac:dyDescent="0.2">
      <c r="A2552" s="10">
        <v>2491</v>
      </c>
      <c r="D2552" s="2" t="str">
        <f t="shared" si="38"/>
        <v>OK</v>
      </c>
    </row>
    <row r="2553" spans="1:4" x14ac:dyDescent="0.2">
      <c r="A2553" s="5">
        <v>2492</v>
      </c>
      <c r="B2553" s="138">
        <f>'Acct Summary 7-8'!C6</f>
        <v>7600037</v>
      </c>
      <c r="C2553" s="2" t="s">
        <v>594</v>
      </c>
      <c r="D2553" s="2" t="str">
        <f t="shared" si="38"/>
        <v>Error?</v>
      </c>
    </row>
    <row r="2554" spans="1:4" x14ac:dyDescent="0.2">
      <c r="A2554" s="5">
        <v>2493</v>
      </c>
      <c r="B2554" s="138">
        <f>'Acct Summary 7-8'!C7</f>
        <v>1833628</v>
      </c>
      <c r="C2554" s="2" t="s">
        <v>594</v>
      </c>
      <c r="D2554" s="2" t="str">
        <f t="shared" si="38"/>
        <v>Error?</v>
      </c>
    </row>
    <row r="2555" spans="1:4" x14ac:dyDescent="0.2">
      <c r="A2555" s="5">
        <v>2494</v>
      </c>
      <c r="B2555" s="138">
        <f>'Acct Summary 7-8'!C8</f>
        <v>17962353</v>
      </c>
      <c r="C2555" s="2" t="s">
        <v>594</v>
      </c>
      <c r="D2555" s="2" t="str">
        <f t="shared" si="38"/>
        <v>Error?</v>
      </c>
    </row>
    <row r="2556" spans="1:4" x14ac:dyDescent="0.2">
      <c r="A2556" s="5">
        <v>2495</v>
      </c>
      <c r="B2556" s="138">
        <f>'Acct Summary 7-8'!C12</f>
        <v>11756971</v>
      </c>
      <c r="C2556" s="2" t="s">
        <v>594</v>
      </c>
      <c r="D2556" s="2" t="str">
        <f t="shared" si="38"/>
        <v>Error?</v>
      </c>
    </row>
    <row r="2557" spans="1:4" x14ac:dyDescent="0.2">
      <c r="A2557" s="5">
        <v>2496</v>
      </c>
      <c r="B2557" s="138">
        <f>'Acct Summary 7-8'!C13</f>
        <v>4940105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543374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17240450</v>
      </c>
      <c r="C2561" s="2" t="s">
        <v>594</v>
      </c>
      <c r="D2561" s="2" t="str">
        <f t="shared" si="39"/>
        <v>Error?</v>
      </c>
    </row>
    <row r="2562" spans="1:4" x14ac:dyDescent="0.2">
      <c r="A2562" s="5">
        <v>2501</v>
      </c>
      <c r="B2562" s="138">
        <f>'Acct Summary 7-8'!C20</f>
        <v>721903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964017.12999999989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964017.12999999989</v>
      </c>
      <c r="C2568" s="2" t="s">
        <v>594</v>
      </c>
      <c r="D2568" s="2" t="str">
        <f t="shared" si="39"/>
        <v>Error?</v>
      </c>
    </row>
    <row r="2569" spans="1:4" x14ac:dyDescent="0.2">
      <c r="A2569" s="5">
        <v>2508</v>
      </c>
      <c r="B2569" s="138">
        <f>'Acct Summary 7-8'!D13</f>
        <v>1471677.1300000001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1471677.1300000001</v>
      </c>
      <c r="C2573" s="2" t="s">
        <v>594</v>
      </c>
      <c r="D2573" s="2" t="str">
        <f t="shared" si="39"/>
        <v>Error?</v>
      </c>
    </row>
    <row r="2574" spans="1:4" x14ac:dyDescent="0.2">
      <c r="A2574" s="5">
        <v>2513</v>
      </c>
      <c r="B2574" s="138">
        <f>'Acct Summary 7-8'!D20</f>
        <v>-507660.00000000023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1218548</v>
      </c>
      <c r="C2591" s="2" t="s">
        <v>594</v>
      </c>
      <c r="D2591" s="2" t="str">
        <f t="shared" si="39"/>
        <v>Error?</v>
      </c>
    </row>
    <row r="2592" spans="1:4" x14ac:dyDescent="0.2">
      <c r="A2592" s="10">
        <v>2531</v>
      </c>
      <c r="D2592" s="2" t="str">
        <f t="shared" si="39"/>
        <v>OK</v>
      </c>
    </row>
    <row r="2593" spans="1:4" x14ac:dyDescent="0.2">
      <c r="A2593" s="5">
        <v>2532</v>
      </c>
      <c r="B2593" s="138">
        <f>'Acct Summary 7-8'!F6</f>
        <v>258342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1476890</v>
      </c>
      <c r="C2595" s="2" t="s">
        <v>594</v>
      </c>
      <c r="D2595" s="2" t="str">
        <f t="shared" si="39"/>
        <v>Error?</v>
      </c>
    </row>
    <row r="2596" spans="1:4" x14ac:dyDescent="0.2">
      <c r="A2596" s="5">
        <v>2535</v>
      </c>
      <c r="B2596" s="138">
        <f>'Acct Summary 7-8'!F13</f>
        <v>1787719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150266</v>
      </c>
      <c r="C2599" s="2" t="s">
        <v>594</v>
      </c>
      <c r="D2599" s="2" t="str">
        <f t="shared" si="39"/>
        <v>Error?</v>
      </c>
    </row>
    <row r="2600" spans="1:4" x14ac:dyDescent="0.2">
      <c r="A2600" s="5">
        <v>2539</v>
      </c>
      <c r="B2600" s="138">
        <f>'Acct Summary 7-8'!F17</f>
        <v>1937985</v>
      </c>
      <c r="C2600" s="2" t="s">
        <v>594</v>
      </c>
      <c r="D2600" s="2" t="str">
        <f t="shared" si="39"/>
        <v>Error?</v>
      </c>
    </row>
    <row r="2601" spans="1:4" x14ac:dyDescent="0.2">
      <c r="A2601" s="5">
        <v>2540</v>
      </c>
      <c r="B2601" s="138">
        <f>'Acct Summary 7-8'!F20</f>
        <v>-461095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908772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908772</v>
      </c>
      <c r="C2606" s="2" t="s">
        <v>594</v>
      </c>
      <c r="D2606" s="2" t="str">
        <f t="shared" si="39"/>
        <v>Error?</v>
      </c>
    </row>
    <row r="2607" spans="1:4" x14ac:dyDescent="0.2">
      <c r="A2607" s="5">
        <v>2546</v>
      </c>
      <c r="B2607" s="138">
        <f>'Acct Summary 7-8'!G12</f>
        <v>316827</v>
      </c>
      <c r="C2607" s="2" t="s">
        <v>594</v>
      </c>
      <c r="D2607" s="2" t="str">
        <f t="shared" si="39"/>
        <v>Error?</v>
      </c>
    </row>
    <row r="2608" spans="1:4" x14ac:dyDescent="0.2">
      <c r="A2608" s="5">
        <v>2547</v>
      </c>
      <c r="B2608" s="138">
        <f>'Acct Summary 7-8'!G13</f>
        <v>586087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902914</v>
      </c>
      <c r="C2612" s="2" t="s">
        <v>594</v>
      </c>
      <c r="D2612" s="2" t="str">
        <f t="shared" si="39"/>
        <v>Error?</v>
      </c>
    </row>
    <row r="2613" spans="1:4" x14ac:dyDescent="0.2">
      <c r="A2613" s="5">
        <v>2552</v>
      </c>
      <c r="B2613" s="138">
        <f>'Acct Summary 7-8'!G20</f>
        <v>5858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3134418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3134418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3284514</v>
      </c>
      <c r="C2634" s="2" t="s">
        <v>594</v>
      </c>
      <c r="D2634" s="2" t="str">
        <f t="shared" si="40"/>
        <v>Error?</v>
      </c>
    </row>
    <row r="2635" spans="1:4" x14ac:dyDescent="0.2">
      <c r="A2635" s="5">
        <v>2574</v>
      </c>
      <c r="B2635" s="138">
        <f>'Acct Summary 7-8'!E17</f>
        <v>3284514</v>
      </c>
      <c r="C2635" s="2" t="s">
        <v>594</v>
      </c>
      <c r="D2635" s="2" t="str">
        <f t="shared" si="40"/>
        <v>Error?</v>
      </c>
    </row>
    <row r="2636" spans="1:4" x14ac:dyDescent="0.2">
      <c r="A2636" s="5">
        <v>2575</v>
      </c>
      <c r="B2636" s="138">
        <f>'Acct Summary 7-8'!E20</f>
        <v>-150096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3602534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6312742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79857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6312742</v>
      </c>
      <c r="D2912" s="2" t="str">
        <f t="shared" si="44"/>
        <v>Error?</v>
      </c>
    </row>
    <row r="2913" spans="1:4" x14ac:dyDescent="0.2">
      <c r="A2913" s="5">
        <v>2852</v>
      </c>
      <c r="B2913" s="138">
        <f>'Assets-Liab 5-6'!I41</f>
        <v>6312742</v>
      </c>
      <c r="C2913" s="2" t="s">
        <v>594</v>
      </c>
      <c r="D2913" s="2" t="str">
        <f t="shared" si="44"/>
        <v>Error?</v>
      </c>
    </row>
    <row r="2914" spans="1:4" x14ac:dyDescent="0.2">
      <c r="A2914" s="5">
        <v>2853</v>
      </c>
      <c r="B2914" s="138">
        <f>'Assets-Liab 5-6'!L33</f>
        <v>79857</v>
      </c>
      <c r="D2914" s="2" t="str">
        <f t="shared" si="44"/>
        <v>Error?</v>
      </c>
    </row>
    <row r="2915" spans="1:4" x14ac:dyDescent="0.2">
      <c r="A2915" s="10">
        <v>2854</v>
      </c>
      <c r="D2915" s="2" t="str">
        <f t="shared" si="44"/>
        <v>OK</v>
      </c>
    </row>
    <row r="2916" spans="1:4" x14ac:dyDescent="0.2">
      <c r="A2916" s="5">
        <v>2855</v>
      </c>
      <c r="B2916" s="138">
        <f>'Assets-Liab 5-6'!L34</f>
        <v>79857</v>
      </c>
      <c r="C2916" s="2" t="s">
        <v>594</v>
      </c>
      <c r="D2916" s="2" t="str">
        <f t="shared" si="44"/>
        <v>Error?</v>
      </c>
    </row>
    <row r="2917" spans="1:4" x14ac:dyDescent="0.2">
      <c r="A2917" s="5">
        <v>2856</v>
      </c>
      <c r="B2917" s="138">
        <f>'Assets-Liab 5-6'!L41</f>
        <v>79857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543374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543374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530496</v>
      </c>
      <c r="D3055" s="2" t="str">
        <f t="shared" si="46"/>
        <v>Error?</v>
      </c>
    </row>
    <row r="3056" spans="1:4" x14ac:dyDescent="0.2">
      <c r="A3056" s="5">
        <v>2995</v>
      </c>
      <c r="B3056" s="138">
        <f>'Expenditures 15-22'!D10</f>
        <v>198969</v>
      </c>
      <c r="D3056" s="2" t="str">
        <f t="shared" si="46"/>
        <v>Error?</v>
      </c>
    </row>
    <row r="3057" spans="1:4" x14ac:dyDescent="0.2">
      <c r="A3057" s="5">
        <v>2996</v>
      </c>
      <c r="B3057" s="138">
        <f>'Expenditures 15-22'!E10</f>
        <v>34406</v>
      </c>
      <c r="D3057" s="2" t="str">
        <f t="shared" si="46"/>
        <v>Error?</v>
      </c>
    </row>
    <row r="3058" spans="1:4" x14ac:dyDescent="0.2">
      <c r="A3058" s="5">
        <v>2997</v>
      </c>
      <c r="B3058" s="138">
        <f>'Expenditures 15-22'!F10</f>
        <v>36512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800383</v>
      </c>
      <c r="C3062" s="2" t="s">
        <v>594</v>
      </c>
      <c r="D3062" s="2" t="str">
        <f t="shared" si="46"/>
        <v>Error?</v>
      </c>
    </row>
    <row r="3063" spans="1:4" x14ac:dyDescent="0.2">
      <c r="A3063" s="10">
        <v>3002</v>
      </c>
      <c r="D3063" s="2" t="str">
        <f t="shared" si="46"/>
        <v>OK</v>
      </c>
    </row>
    <row r="3064" spans="1:4" x14ac:dyDescent="0.2">
      <c r="A3064" s="5">
        <v>3003</v>
      </c>
      <c r="B3064" s="138">
        <f>'Expenditures 15-22'!D219</f>
        <v>7467</v>
      </c>
      <c r="D3064" s="2" t="str">
        <f t="shared" si="46"/>
        <v>Error?</v>
      </c>
    </row>
    <row r="3065" spans="1:4" x14ac:dyDescent="0.2">
      <c r="A3065" s="5">
        <v>3004</v>
      </c>
      <c r="B3065" s="138">
        <f>'Expenditures 15-22'!K219</f>
        <v>7467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192210</v>
      </c>
      <c r="C3225" s="2" t="s">
        <v>594</v>
      </c>
      <c r="D3225" s="2" t="str">
        <f t="shared" si="49"/>
        <v>Error?</v>
      </c>
    </row>
    <row r="3226" spans="1:4" x14ac:dyDescent="0.2">
      <c r="A3226" s="5">
        <v>3165</v>
      </c>
      <c r="B3226" s="138">
        <f>'Acct Summary 7-8'!I8</f>
        <v>192210</v>
      </c>
      <c r="C3226" s="2" t="s">
        <v>594</v>
      </c>
      <c r="D3226" s="2" t="str">
        <f t="shared" si="49"/>
        <v>Error?</v>
      </c>
    </row>
    <row r="3227" spans="1:4" x14ac:dyDescent="0.2">
      <c r="A3227" s="5">
        <v>3166</v>
      </c>
      <c r="B3227" s="138">
        <f>'Acct Summary 7-8'!I20</f>
        <v>192210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1727215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137982</v>
      </c>
      <c r="C3231" s="2" t="s">
        <v>594</v>
      </c>
      <c r="D3231" s="2" t="str">
        <f t="shared" si="49"/>
        <v>Error?</v>
      </c>
    </row>
    <row r="3232" spans="1:4" x14ac:dyDescent="0.2">
      <c r="A3232" s="5">
        <v>3171</v>
      </c>
      <c r="B3232" s="138">
        <f>'Acct Summary 7-8'!C77</f>
        <v>1589233</v>
      </c>
      <c r="C3232" s="2" t="s">
        <v>594</v>
      </c>
      <c r="D3232" s="2" t="str">
        <f t="shared" si="49"/>
        <v>Error?</v>
      </c>
    </row>
    <row r="3233" spans="1:4" x14ac:dyDescent="0.2">
      <c r="A3233" s="5">
        <v>3172</v>
      </c>
      <c r="B3233" s="138">
        <f>'Acct Summary 7-8'!C78</f>
        <v>2311136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1000000</v>
      </c>
      <c r="C3238" s="2" t="s">
        <v>594</v>
      </c>
      <c r="D3238" s="2" t="str">
        <f t="shared" si="49"/>
        <v>Error?</v>
      </c>
    </row>
    <row r="3239" spans="1:4" x14ac:dyDescent="0.2">
      <c r="A3239" s="5">
        <v>3178</v>
      </c>
      <c r="B3239" s="138">
        <f>'Acct Summary 7-8'!D78</f>
        <v>492339.99999999977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772509</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772509</v>
      </c>
      <c r="C3255" s="2" t="s">
        <v>594</v>
      </c>
      <c r="D3255" s="2" t="str">
        <f t="shared" si="49"/>
        <v>Error?</v>
      </c>
    </row>
    <row r="3256" spans="1:4" x14ac:dyDescent="0.2">
      <c r="A3256" s="5">
        <v>3195</v>
      </c>
      <c r="B3256" s="138">
        <f>'Acct Summary 7-8'!F78</f>
        <v>311414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5858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139667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139667</v>
      </c>
      <c r="C3277" s="2" t="s">
        <v>594</v>
      </c>
      <c r="D3277" s="2" t="str">
        <f t="shared" si="50"/>
        <v>Error?</v>
      </c>
    </row>
    <row r="3278" spans="1:4" x14ac:dyDescent="0.2">
      <c r="A3278" s="5">
        <v>3217</v>
      </c>
      <c r="B3278" s="138">
        <f>'Acct Summary 7-8'!E78</f>
        <v>-10429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6406190</v>
      </c>
      <c r="C3317" s="2" t="s">
        <v>594</v>
      </c>
      <c r="D3317" s="2" t="str">
        <f t="shared" si="50"/>
        <v>Error?</v>
      </c>
    </row>
    <row r="3318" spans="1:4" x14ac:dyDescent="0.2">
      <c r="A3318" s="5">
        <v>3257</v>
      </c>
      <c r="B3318" s="138">
        <f>'Acct Summary 7-8'!I76</f>
        <v>3635585</v>
      </c>
      <c r="C3318" s="2" t="s">
        <v>594</v>
      </c>
      <c r="D3318" s="2" t="str">
        <f t="shared" si="50"/>
        <v>Error?</v>
      </c>
    </row>
    <row r="3319" spans="1:4" x14ac:dyDescent="0.2">
      <c r="A3319" s="5">
        <v>3258</v>
      </c>
      <c r="B3319" s="138">
        <f>'Acct Summary 7-8'!I77</f>
        <v>2770605</v>
      </c>
      <c r="C3319" s="2" t="s">
        <v>594</v>
      </c>
      <c r="D3319" s="2" t="str">
        <f t="shared" si="50"/>
        <v>Error?</v>
      </c>
    </row>
    <row r="3320" spans="1:4" x14ac:dyDescent="0.2">
      <c r="A3320" s="5">
        <v>3259</v>
      </c>
      <c r="B3320" s="138">
        <f>'Acct Summary 7-8'!I78</f>
        <v>2962815</v>
      </c>
      <c r="C3320" s="2" t="s">
        <v>594</v>
      </c>
      <c r="D3320" s="2" t="str">
        <f t="shared" si="50"/>
        <v>Error?</v>
      </c>
    </row>
    <row r="3321" spans="1:4" x14ac:dyDescent="0.2">
      <c r="A3321" s="5">
        <v>3260</v>
      </c>
      <c r="B3321" s="138">
        <f>'Acct Summary 7-8'!I79</f>
        <v>3349927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6312742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1633179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517581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2785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8016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1506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239422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2402489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89974</v>
      </c>
      <c r="D3387" s="2" t="str">
        <f t="shared" si="51"/>
        <v>Error?</v>
      </c>
    </row>
    <row r="3388" spans="1:4" x14ac:dyDescent="0.2">
      <c r="A3388" s="5">
        <v>3327</v>
      </c>
      <c r="B3388" s="138">
        <f>'Expenditures 15-22'!D217</f>
        <v>131922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89974</v>
      </c>
      <c r="C3390" s="2" t="s">
        <v>594</v>
      </c>
      <c r="D3390" s="2" t="str">
        <f t="shared" si="51"/>
        <v>Error?</v>
      </c>
    </row>
    <row r="3391" spans="1:4" x14ac:dyDescent="0.2">
      <c r="A3391" s="5">
        <v>3330</v>
      </c>
      <c r="B3391" s="138">
        <f>'Expenditures 15-22'!K217</f>
        <v>131922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2040736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493137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562628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107184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2710208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79857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418485</v>
      </c>
      <c r="C3446" s="2" t="s">
        <v>594</v>
      </c>
      <c r="D3446" s="2" t="str">
        <f t="shared" si="52"/>
        <v>Error?</v>
      </c>
    </row>
    <row r="3447" spans="1:4" x14ac:dyDescent="0.2">
      <c r="A3447" s="5">
        <v>3386</v>
      </c>
      <c r="B3447" s="138">
        <f>'Tax Sched 23'!D16</f>
        <v>418485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420025</v>
      </c>
      <c r="C3449" s="2" t="s">
        <v>594</v>
      </c>
      <c r="D3449" s="2" t="str">
        <f t="shared" si="52"/>
        <v>Error?</v>
      </c>
    </row>
    <row r="3450" spans="1:4" x14ac:dyDescent="0.2">
      <c r="A3450" s="5">
        <v>3389</v>
      </c>
      <c r="B3450" s="138">
        <f>'Tax Sched 23'!E16</f>
        <v>420025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450000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451282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451282</v>
      </c>
      <c r="D3567" s="2" t="str">
        <f t="shared" si="54"/>
        <v>Error?</v>
      </c>
    </row>
    <row r="3568" spans="1:4" x14ac:dyDescent="0.2">
      <c r="A3568" s="5">
        <v>3507</v>
      </c>
      <c r="B3568" s="138">
        <f>'Assets-Liab 5-6'!K41</f>
        <v>451282</v>
      </c>
      <c r="C3568" s="2" t="s">
        <v>594</v>
      </c>
      <c r="D3568" s="2" t="str">
        <f t="shared" si="54"/>
        <v>Error?</v>
      </c>
    </row>
    <row r="3569" spans="1:4" x14ac:dyDescent="0.2">
      <c r="A3569" s="5">
        <v>3508</v>
      </c>
      <c r="B3569" s="138">
        <f>'Acct Summary 7-8'!K4</f>
        <v>137485.04999999999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137485.04999999999</v>
      </c>
      <c r="C3571" s="2" t="s">
        <v>594</v>
      </c>
      <c r="D3571" s="2" t="str">
        <f t="shared" si="54"/>
        <v>Error?</v>
      </c>
    </row>
    <row r="3572" spans="1:4" x14ac:dyDescent="0.2">
      <c r="A3572" s="5">
        <v>3511</v>
      </c>
      <c r="B3572" s="138">
        <f>'Acct Summary 7-8'!K13</f>
        <v>22685.05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22685.05</v>
      </c>
      <c r="C3575" s="2" t="s">
        <v>594</v>
      </c>
      <c r="D3575" s="2" t="str">
        <f t="shared" si="54"/>
        <v>Error?</v>
      </c>
    </row>
    <row r="3576" spans="1:4" x14ac:dyDescent="0.2">
      <c r="A3576" s="5">
        <v>3515</v>
      </c>
      <c r="B3576" s="138">
        <f>'Acct Summary 7-8'!K20</f>
        <v>114799.99999999999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114799.99999999999</v>
      </c>
      <c r="C3588" s="2" t="s">
        <v>594</v>
      </c>
      <c r="D3588" s="2" t="str">
        <f t="shared" si="55"/>
        <v>Error?</v>
      </c>
    </row>
    <row r="3589" spans="1:4" x14ac:dyDescent="0.2">
      <c r="A3589" s="5">
        <v>3528</v>
      </c>
      <c r="B3589" s="138">
        <f>'Acct Summary 7-8'!K79</f>
        <v>336482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451282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22685.05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22685.05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22685.05</v>
      </c>
      <c r="C3649" s="2" t="s">
        <v>594</v>
      </c>
      <c r="D3649" s="2" t="str">
        <f t="shared" si="56"/>
        <v>Error?</v>
      </c>
    </row>
    <row r="3650" spans="1:4" x14ac:dyDescent="0.2">
      <c r="A3650" s="5">
        <v>3589</v>
      </c>
      <c r="B3650" s="138">
        <f>'Expenditures 15-22'!G367</f>
        <v>22685.05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22685.05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22685.05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22685.05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22685.05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114799.99999999999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137485</v>
      </c>
      <c r="C3725" s="2" t="s">
        <v>594</v>
      </c>
      <c r="D3725" s="2" t="str">
        <f t="shared" si="57"/>
        <v>Error?</v>
      </c>
    </row>
    <row r="3726" spans="1:4" x14ac:dyDescent="0.2">
      <c r="A3726" s="5">
        <v>3665</v>
      </c>
      <c r="B3726" s="138">
        <f>'Tax Sched 23'!D13</f>
        <v>137485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141910</v>
      </c>
      <c r="C3728" s="2" t="s">
        <v>594</v>
      </c>
      <c r="D3728" s="2" t="str">
        <f t="shared" si="57"/>
        <v>Error?</v>
      </c>
    </row>
    <row r="3729" spans="1:4" x14ac:dyDescent="0.2">
      <c r="A3729" s="5">
        <v>3668</v>
      </c>
      <c r="B3729" s="138">
        <f>'Tax Sched 23'!E13</f>
        <v>141910</v>
      </c>
      <c r="D3729" s="2" t="str">
        <f t="shared" si="57"/>
        <v>Error?</v>
      </c>
    </row>
    <row r="3730" spans="1:4" x14ac:dyDescent="0.2">
      <c r="A3730" s="5">
        <v>3669</v>
      </c>
      <c r="B3730" s="138">
        <f>'ICR Computation 30'!E10</f>
        <v>265868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7217162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25179515</v>
      </c>
      <c r="C4122" s="2" t="s">
        <v>594</v>
      </c>
      <c r="D4122" s="2" t="str">
        <f t="shared" si="63"/>
        <v>Error?</v>
      </c>
    </row>
    <row r="4123" spans="1:4" x14ac:dyDescent="0.2">
      <c r="A4123" s="5">
        <v>4062</v>
      </c>
      <c r="B4123" s="138">
        <f>'Acct Summary 7-8'!D10</f>
        <v>964017.12999999989</v>
      </c>
      <c r="C4123" s="2" t="s">
        <v>594</v>
      </c>
      <c r="D4123" s="2" t="str">
        <f t="shared" si="63"/>
        <v>Error?</v>
      </c>
    </row>
    <row r="4124" spans="1:4" x14ac:dyDescent="0.2">
      <c r="A4124" s="5">
        <v>4063</v>
      </c>
      <c r="B4124" s="138">
        <f>'Acct Summary 7-8'!E10</f>
        <v>3134418</v>
      </c>
      <c r="C4124" s="2" t="s">
        <v>594</v>
      </c>
      <c r="D4124" s="2" t="str">
        <f t="shared" si="63"/>
        <v>Error?</v>
      </c>
    </row>
    <row r="4125" spans="1:4" x14ac:dyDescent="0.2">
      <c r="A4125" s="5">
        <v>4064</v>
      </c>
      <c r="B4125" s="138">
        <f>'Acct Summary 7-8'!F10</f>
        <v>1476890</v>
      </c>
      <c r="C4125" s="2" t="s">
        <v>594</v>
      </c>
      <c r="D4125" s="2" t="str">
        <f t="shared" si="63"/>
        <v>Error?</v>
      </c>
    </row>
    <row r="4126" spans="1:4" x14ac:dyDescent="0.2">
      <c r="A4126" s="5">
        <v>4065</v>
      </c>
      <c r="B4126" s="138">
        <f>'Acct Summary 7-8'!G10</f>
        <v>908772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192210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137485.04999999999</v>
      </c>
      <c r="C4130" s="2" t="s">
        <v>594</v>
      </c>
      <c r="D4130" s="2" t="str">
        <f t="shared" si="63"/>
        <v>Error?</v>
      </c>
    </row>
    <row r="4131" spans="1:4" x14ac:dyDescent="0.2">
      <c r="A4131" s="5">
        <v>4070</v>
      </c>
      <c r="B4131" s="138">
        <f>'Acct Summary 7-8'!C18</f>
        <v>7217162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24457612</v>
      </c>
      <c r="C4136" s="2" t="s">
        <v>594</v>
      </c>
      <c r="D4136" s="2" t="str">
        <f t="shared" si="63"/>
        <v>Error?</v>
      </c>
    </row>
    <row r="4137" spans="1:4" x14ac:dyDescent="0.2">
      <c r="A4137" s="5">
        <v>4076</v>
      </c>
      <c r="B4137" s="138">
        <f>'Acct Summary 7-8'!D19</f>
        <v>1471677.1300000001</v>
      </c>
      <c r="C4137" s="2" t="s">
        <v>594</v>
      </c>
      <c r="D4137" s="2" t="str">
        <f t="shared" si="63"/>
        <v>Error?</v>
      </c>
    </row>
    <row r="4138" spans="1:4" x14ac:dyDescent="0.2">
      <c r="A4138" s="5">
        <v>4077</v>
      </c>
      <c r="B4138" s="138">
        <f>'Acct Summary 7-8'!E19</f>
        <v>3284514</v>
      </c>
      <c r="C4138" s="2" t="s">
        <v>594</v>
      </c>
      <c r="D4138" s="2" t="str">
        <f t="shared" si="63"/>
        <v>Error?</v>
      </c>
    </row>
    <row r="4139" spans="1:4" x14ac:dyDescent="0.2">
      <c r="A4139" s="5">
        <v>4078</v>
      </c>
      <c r="B4139" s="138">
        <f>'Acct Summary 7-8'!F19</f>
        <v>1937985</v>
      </c>
      <c r="C4139" s="2" t="s">
        <v>594</v>
      </c>
      <c r="D4139" s="2" t="str">
        <f t="shared" si="63"/>
        <v>Error?</v>
      </c>
    </row>
    <row r="4140" spans="1:4" x14ac:dyDescent="0.2">
      <c r="A4140" s="5">
        <v>4079</v>
      </c>
      <c r="B4140" s="138">
        <f>'Acct Summary 7-8'!G19</f>
        <v>902914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22685.05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12484677</v>
      </c>
      <c r="C4171" s="2" t="s">
        <v>594</v>
      </c>
      <c r="D4171" s="2" t="str">
        <f t="shared" si="64"/>
        <v>Error?</v>
      </c>
    </row>
    <row r="4172" spans="1:4" x14ac:dyDescent="0.2">
      <c r="A4172" s="5">
        <v>4111</v>
      </c>
      <c r="B4172" s="138">
        <f>'Short-Term Long-Term Debt 24'!J49</f>
        <v>12525589</v>
      </c>
      <c r="C4172" s="2" t="s">
        <v>594</v>
      </c>
      <c r="D4172" s="2" t="str">
        <f t="shared" si="64"/>
        <v>Error?</v>
      </c>
    </row>
    <row r="4173" spans="1:4" x14ac:dyDescent="0.2">
      <c r="A4173" s="5">
        <v>4112</v>
      </c>
      <c r="B4173" s="138">
        <f>'Short-Term Long-Term Debt 24'!H49</f>
        <v>2960237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-130714</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130714</v>
      </c>
      <c r="D4210" s="2" t="str">
        <f t="shared" si="64"/>
        <v>Error?</v>
      </c>
    </row>
    <row r="4211" spans="1:4" x14ac:dyDescent="0.2">
      <c r="A4211" s="5">
        <v>4150</v>
      </c>
      <c r="B4211" s="138">
        <f>'Expenditures 15-22'!K206</f>
        <v>130714</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2610</v>
      </c>
      <c r="C4268" s="2" t="s">
        <v>594</v>
      </c>
      <c r="D4268" s="2" t="str">
        <f t="shared" si="65"/>
        <v>Error?</v>
      </c>
    </row>
    <row r="4269" spans="1:5" x14ac:dyDescent="0.2">
      <c r="A4269" s="12">
        <v>4208</v>
      </c>
      <c r="B4269" s="138">
        <f>'FP Info 3'!J16</f>
        <v>9961617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76112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210880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18603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2642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339547823</v>
      </c>
      <c r="D4995" s="2" t="str">
        <f t="shared" si="77"/>
        <v>Error?</v>
      </c>
    </row>
    <row r="4996" spans="1:4" x14ac:dyDescent="0.2">
      <c r="A4996" s="12">
        <v>4935</v>
      </c>
      <c r="B4996" s="138">
        <f>'FP Info 3'!H31</f>
        <v>23428799.787</v>
      </c>
      <c r="D4996" s="2" t="str">
        <f t="shared" si="77"/>
        <v>Error?</v>
      </c>
    </row>
    <row r="4997" spans="1:4" x14ac:dyDescent="0.2">
      <c r="A4997" s="12">
        <v>4936</v>
      </c>
      <c r="B4997" s="138">
        <f>'FP Info 3'!H37</f>
        <v>12484677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137485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6175972</v>
      </c>
      <c r="D5061" s="2" t="str">
        <f t="shared" si="78"/>
        <v>Error?</v>
      </c>
    </row>
    <row r="5062" spans="1:4" x14ac:dyDescent="0.2">
      <c r="A5062" s="10">
        <v>5001</v>
      </c>
      <c r="D5062" s="2" t="str">
        <f t="shared" si="78"/>
        <v>OK</v>
      </c>
    </row>
    <row r="5063" spans="1:4" x14ac:dyDescent="0.2">
      <c r="A5063" s="5">
        <v>5002</v>
      </c>
      <c r="B5063" s="138">
        <f>'Revenues 9-14'!C7</f>
        <v>55476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6368933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911514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911514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375301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375301</v>
      </c>
      <c r="C5087" s="2" t="s">
        <v>594</v>
      </c>
      <c r="D5087" s="2" t="str">
        <f t="shared" si="78"/>
        <v>Error?</v>
      </c>
    </row>
    <row r="5088" spans="1:4" x14ac:dyDescent="0.2">
      <c r="A5088" s="5">
        <v>5027</v>
      </c>
      <c r="B5088" s="138">
        <f>'Revenues 9-14'!C65</f>
        <v>9635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9635</v>
      </c>
      <c r="C5090" s="2" t="s">
        <v>594</v>
      </c>
      <c r="D5090" s="2" t="str">
        <f t="shared" si="78"/>
        <v>Error?</v>
      </c>
    </row>
    <row r="5091" spans="1:4" x14ac:dyDescent="0.2">
      <c r="A5091" s="5">
        <v>5030</v>
      </c>
      <c r="B5091" s="138">
        <f>'Revenues 9-14'!C70</f>
        <v>6255</v>
      </c>
      <c r="D5091" s="2" t="str">
        <f t="shared" si="78"/>
        <v>Error?</v>
      </c>
    </row>
    <row r="5092" spans="1:4" x14ac:dyDescent="0.2">
      <c r="A5092" s="5">
        <v>5031</v>
      </c>
      <c r="B5092" s="138">
        <f>'Revenues 9-14'!C71</f>
        <v>33447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13242</v>
      </c>
      <c r="D5094" s="2" t="str">
        <f t="shared" si="78"/>
        <v>Error?</v>
      </c>
    </row>
    <row r="5095" spans="1:4" x14ac:dyDescent="0.2">
      <c r="A5095" s="5">
        <v>5034</v>
      </c>
      <c r="B5095" s="138">
        <f>'Revenues 9-14'!C74</f>
        <v>1476</v>
      </c>
      <c r="D5095" s="2" t="str">
        <f t="shared" si="78"/>
        <v>Error?</v>
      </c>
    </row>
    <row r="5096" spans="1:4" x14ac:dyDescent="0.2">
      <c r="A5096" s="5">
        <v>5035</v>
      </c>
      <c r="B5096" s="138">
        <f>'Revenues 9-14'!C75</f>
        <v>213922</v>
      </c>
      <c r="C5096" s="2" t="s">
        <v>594</v>
      </c>
      <c r="D5096" s="2" t="str">
        <f t="shared" si="78"/>
        <v>Error?</v>
      </c>
    </row>
    <row r="5097" spans="1:4" x14ac:dyDescent="0.2">
      <c r="A5097" s="5">
        <v>5036</v>
      </c>
      <c r="B5097" s="138">
        <f>'Revenues 9-14'!C77</f>
        <v>25695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103885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129580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290914</v>
      </c>
      <c r="D5114" s="2" t="str">
        <f t="shared" si="78"/>
        <v>Error?</v>
      </c>
    </row>
    <row r="5115" spans="1:4" x14ac:dyDescent="0.2">
      <c r="A5115" s="5">
        <v>5054</v>
      </c>
      <c r="B5115" s="138">
        <f>'Revenues 9-14'!C98</f>
        <v>217731</v>
      </c>
      <c r="D5115" s="2" t="str">
        <f t="shared" si="78"/>
        <v>Error?</v>
      </c>
    </row>
    <row r="5116" spans="1:4" x14ac:dyDescent="0.2">
      <c r="A5116" s="5">
        <v>5055</v>
      </c>
      <c r="B5116" s="138">
        <f>'Revenues 9-14'!C99</f>
        <v>10549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609</v>
      </c>
      <c r="D5119" s="2" t="str">
        <f t="shared" ref="D5119:D5182" si="79">IF(ISBLANK(B5119),"OK",IF(A5119-B5119=0,"OK","Error?"))</f>
        <v>Error?</v>
      </c>
    </row>
    <row r="5120" spans="1:4" x14ac:dyDescent="0.2">
      <c r="A5120" s="5">
        <v>5059</v>
      </c>
      <c r="B5120" s="138">
        <f>'Revenues 9-14'!C108</f>
        <v>519803</v>
      </c>
      <c r="C5120" s="2" t="s">
        <v>594</v>
      </c>
      <c r="D5120" s="2" t="str">
        <f t="shared" si="79"/>
        <v>Error?</v>
      </c>
    </row>
    <row r="5121" spans="1:4" x14ac:dyDescent="0.2">
      <c r="A5121" s="5">
        <v>5060</v>
      </c>
      <c r="B5121" s="138">
        <f>'Revenues 9-14'!C109</f>
        <v>8528688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6213326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6213326</v>
      </c>
      <c r="C5132" s="2" t="s">
        <v>594</v>
      </c>
      <c r="D5132" s="2" t="str">
        <f t="shared" si="79"/>
        <v>Error?</v>
      </c>
    </row>
    <row r="5133" spans="1:4" x14ac:dyDescent="0.2">
      <c r="A5133" s="5">
        <v>5072</v>
      </c>
      <c r="B5133" s="138">
        <f>'Revenues 9-14'!C124</f>
        <v>204916</v>
      </c>
      <c r="D5133" s="2" t="str">
        <f t="shared" si="79"/>
        <v>Error?</v>
      </c>
    </row>
    <row r="5134" spans="1:4" x14ac:dyDescent="0.2">
      <c r="A5134" s="5">
        <v>5073</v>
      </c>
      <c r="B5134" s="138">
        <f>'Revenues 9-14'!C125</f>
        <v>136256</v>
      </c>
      <c r="D5134" s="2" t="str">
        <f t="shared" si="79"/>
        <v>Error?</v>
      </c>
    </row>
    <row r="5135" spans="1:4" x14ac:dyDescent="0.2">
      <c r="A5135" s="5">
        <v>5074</v>
      </c>
      <c r="B5135" s="138">
        <f>'Revenues 9-14'!C126</f>
        <v>293358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1517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636047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7143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740879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1386711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7600037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403764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92904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496668</v>
      </c>
      <c r="C5246" s="2" t="s">
        <v>594</v>
      </c>
      <c r="D5246" s="2" t="str">
        <f t="shared" si="80"/>
        <v>Error?</v>
      </c>
    </row>
    <row r="5247" spans="1:4" x14ac:dyDescent="0.2">
      <c r="A5247" s="5">
        <v>5186</v>
      </c>
      <c r="B5247" s="138">
        <f>'Revenues 9-14'!C203</f>
        <v>565026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18603</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565026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589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414716</v>
      </c>
      <c r="D5278" s="2" t="str">
        <f t="shared" si="81"/>
        <v>Error?</v>
      </c>
    </row>
    <row r="5279" spans="1:4" x14ac:dyDescent="0.2">
      <c r="A5279" s="5">
        <v>5218</v>
      </c>
      <c r="B5279" s="138">
        <f>'Revenues 9-14'!C221</f>
        <v>5117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420422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45917</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1833628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1833628</v>
      </c>
      <c r="C5326" s="2" t="s">
        <v>594</v>
      </c>
      <c r="D5326" s="2" t="str">
        <f t="shared" si="82"/>
        <v>Error?</v>
      </c>
    </row>
    <row r="5327" spans="1:4" x14ac:dyDescent="0.2">
      <c r="A5327" s="5">
        <v>5266</v>
      </c>
      <c r="B5327" s="138">
        <f>'Revenues 9-14'!C275</f>
        <v>17962353</v>
      </c>
      <c r="C5327" s="2" t="s">
        <v>594</v>
      </c>
      <c r="D5327" s="2" t="str">
        <f t="shared" si="82"/>
        <v>Error?</v>
      </c>
    </row>
    <row r="5328" spans="1:4" x14ac:dyDescent="0.2">
      <c r="A5328" s="5">
        <v>5267</v>
      </c>
      <c r="B5328" s="138">
        <f>'Revenues 9-14'!D5</f>
        <v>691043.19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691043.19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250000</v>
      </c>
      <c r="D5337" s="2" t="str">
        <f t="shared" si="82"/>
        <v>Error?</v>
      </c>
    </row>
    <row r="5338" spans="1:4" x14ac:dyDescent="0.2">
      <c r="A5338" s="5">
        <v>5277</v>
      </c>
      <c r="B5338" s="138">
        <f>'Revenues 9-14'!D17</f>
        <v>16554.7</v>
      </c>
      <c r="D5338" s="2" t="str">
        <f t="shared" si="82"/>
        <v>Error?</v>
      </c>
    </row>
    <row r="5339" spans="1:4" x14ac:dyDescent="0.2">
      <c r="A5339" s="5">
        <v>5278</v>
      </c>
      <c r="B5339" s="138">
        <f>'Revenues 9-14'!D18</f>
        <v>266554.7</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2165.36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4253.88</v>
      </c>
      <c r="D5354" s="2" t="str">
        <f t="shared" si="82"/>
        <v>Error?</v>
      </c>
    </row>
    <row r="5355" spans="1:4" x14ac:dyDescent="0.2">
      <c r="A5355" s="5">
        <v>5294</v>
      </c>
      <c r="B5355" s="138">
        <f>'Revenues 9-14'!D108</f>
        <v>6419.24</v>
      </c>
      <c r="C5355" s="2" t="s">
        <v>594</v>
      </c>
      <c r="D5355" s="2" t="str">
        <f t="shared" si="82"/>
        <v>Error?</v>
      </c>
    </row>
    <row r="5356" spans="1:4" x14ac:dyDescent="0.2">
      <c r="A5356" s="5">
        <v>5295</v>
      </c>
      <c r="B5356" s="138">
        <f>'Revenues 9-14'!D109</f>
        <v>964017.12999999989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964017.12999999989</v>
      </c>
      <c r="C5508" s="2" t="s">
        <v>594</v>
      </c>
      <c r="D5508" s="2" t="str">
        <f t="shared" si="85"/>
        <v>Error?</v>
      </c>
    </row>
    <row r="5509" spans="1:4" x14ac:dyDescent="0.2">
      <c r="A5509" s="5">
        <v>5448</v>
      </c>
      <c r="B5509" s="138">
        <f>'Revenues 9-14'!E5</f>
        <v>3134418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3134418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3134418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3134418</v>
      </c>
      <c r="C5552" s="2" t="s">
        <v>594</v>
      </c>
      <c r="D5552" s="2" t="str">
        <f t="shared" si="85"/>
        <v>Error?</v>
      </c>
    </row>
    <row r="5553" spans="1:4" x14ac:dyDescent="0.2">
      <c r="A5553" s="5">
        <v>5492</v>
      </c>
      <c r="B5553" s="138">
        <f>'Revenues 9-14'!F5</f>
        <v>330447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330447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858318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858318</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13546</v>
      </c>
      <c r="D5585" s="2" t="str">
        <f t="shared" si="86"/>
        <v>Error?</v>
      </c>
    </row>
    <row r="5586" spans="1:4" x14ac:dyDescent="0.2">
      <c r="A5586" s="5">
        <v>5525</v>
      </c>
      <c r="B5586" s="138">
        <f>'Revenues 9-14'!F107</f>
        <v>16237</v>
      </c>
      <c r="D5586" s="2" t="str">
        <f t="shared" si="86"/>
        <v>Error?</v>
      </c>
    </row>
    <row r="5587" spans="1:4" x14ac:dyDescent="0.2">
      <c r="A5587" s="5">
        <v>5526</v>
      </c>
      <c r="B5587" s="138">
        <f>'Revenues 9-14'!F108</f>
        <v>29783</v>
      </c>
      <c r="C5587" s="2" t="s">
        <v>594</v>
      </c>
      <c r="D5587" s="2" t="str">
        <f t="shared" si="86"/>
        <v>Error?</v>
      </c>
    </row>
    <row r="5588" spans="1:4" x14ac:dyDescent="0.2">
      <c r="A5588" s="5">
        <v>5527</v>
      </c>
      <c r="B5588" s="138">
        <f>'Revenues 9-14'!F109</f>
        <v>1218548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140450</v>
      </c>
      <c r="D5615" s="2" t="str">
        <f t="shared" si="86"/>
        <v>Error?</v>
      </c>
    </row>
    <row r="5616" spans="1:4" x14ac:dyDescent="0.2">
      <c r="A5616" s="10">
        <v>5555</v>
      </c>
      <c r="D5616" s="2" t="str">
        <f t="shared" si="86"/>
        <v>OK</v>
      </c>
    </row>
    <row r="5617" spans="1:4" x14ac:dyDescent="0.2">
      <c r="A5617" s="5">
        <v>5556</v>
      </c>
      <c r="B5617" s="138">
        <f>'Revenues 9-14'!F152</f>
        <v>117892</v>
      </c>
      <c r="D5617" s="2" t="str">
        <f t="shared" si="86"/>
        <v>Error?</v>
      </c>
    </row>
    <row r="5618" spans="1:4" x14ac:dyDescent="0.2">
      <c r="A5618" s="5">
        <v>5557</v>
      </c>
      <c r="B5618" s="138">
        <f>'Revenues 9-14'!F154</f>
        <v>258342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258342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258342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1476890</v>
      </c>
      <c r="C5720" s="2" t="s">
        <v>594</v>
      </c>
      <c r="D5720" s="2" t="str">
        <f t="shared" si="88"/>
        <v>Error?</v>
      </c>
    </row>
    <row r="5721" spans="1:4" x14ac:dyDescent="0.2">
      <c r="A5721" s="5">
        <v>5660</v>
      </c>
      <c r="B5721" s="138">
        <f>'Revenues 9-14'!G5</f>
        <v>343713</v>
      </c>
      <c r="D5721" s="2" t="str">
        <f t="shared" si="88"/>
        <v>Error?</v>
      </c>
    </row>
    <row r="5722" spans="1:4" x14ac:dyDescent="0.2">
      <c r="A5722" s="5">
        <v>5661</v>
      </c>
      <c r="B5722" s="138">
        <f>'Revenues 9-14'!G7</f>
        <v>0</v>
      </c>
      <c r="D5722" s="2" t="str">
        <f t="shared" si="88"/>
        <v>Error?</v>
      </c>
    </row>
    <row r="5723" spans="1:4" x14ac:dyDescent="0.2">
      <c r="A5723" s="5">
        <v>5662</v>
      </c>
      <c r="B5723" s="138">
        <f>'Revenues 9-14'!G8</f>
        <v>418485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762198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146574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146574</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908772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137485.04999999999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137485.04999999999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54724.95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54724.95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192210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137485.04999999999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137485.04999999999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137485.04999999999</v>
      </c>
      <c r="C6023" s="2" t="s">
        <v>594</v>
      </c>
      <c r="D6023" s="2" t="str">
        <f t="shared" si="93"/>
        <v>Error?</v>
      </c>
    </row>
    <row r="6024" spans="1:5" x14ac:dyDescent="0.2">
      <c r="A6024" s="5">
        <v>5963</v>
      </c>
      <c r="B6024" s="138">
        <f>'Revenues 9-14'!G109</f>
        <v>908772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192210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137485.04999999999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159502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85970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1795.19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30484</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118854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30484</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1182</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11033</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118854</v>
      </c>
      <c r="D6215" s="2" t="str">
        <f t="shared" si="96"/>
        <v>Error?</v>
      </c>
      <c r="E6215" s="2" t="s">
        <v>199</v>
      </c>
    </row>
    <row r="6216" spans="1:5" x14ac:dyDescent="0.2">
      <c r="A6216">
        <v>6155</v>
      </c>
      <c r="B6216" s="138">
        <f>'Assets-Liab 5-6'!J41</f>
        <v>118854</v>
      </c>
      <c r="D6216" s="2" t="str">
        <f t="shared" si="96"/>
        <v>Error?</v>
      </c>
      <c r="E6216" s="2" t="s">
        <v>199</v>
      </c>
    </row>
    <row r="6217" spans="1:5" x14ac:dyDescent="0.2">
      <c r="A6217">
        <v>6156</v>
      </c>
      <c r="B6217" s="138">
        <f>'Assets-Liab 5-6'!J4</f>
        <v>118854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560868.63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560868.63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560868.63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503229.63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503229.63</v>
      </c>
      <c r="D6229" s="2" t="str">
        <f t="shared" si="96"/>
        <v>Error?</v>
      </c>
      <c r="E6229" s="2" t="s">
        <v>199</v>
      </c>
    </row>
    <row r="6230" spans="1:5" x14ac:dyDescent="0.2">
      <c r="A6230">
        <v>6169</v>
      </c>
      <c r="B6230" s="138">
        <f>'Acct Summary 7-8'!J20</f>
        <v>57639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130237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7745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135861</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57639</v>
      </c>
      <c r="D6263" s="2" t="str">
        <f t="shared" si="96"/>
        <v>Error?</v>
      </c>
      <c r="E6263" s="2" t="s">
        <v>199</v>
      </c>
    </row>
    <row r="6264" spans="1:5" x14ac:dyDescent="0.2">
      <c r="A6264">
        <v>6203</v>
      </c>
      <c r="B6264" s="138">
        <f>'Acct Summary 7-8'!J79</f>
        <v>61215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118854</v>
      </c>
      <c r="D6266" s="2" t="str">
        <f t="shared" si="96"/>
        <v>Error?</v>
      </c>
      <c r="E6266" s="2" t="s">
        <v>199</v>
      </c>
    </row>
    <row r="6267" spans="1:5" x14ac:dyDescent="0.2">
      <c r="A6267">
        <v>6206</v>
      </c>
      <c r="B6267" s="138">
        <f>'Acct Summary 7-8'!C82</f>
        <v>2311136</v>
      </c>
      <c r="D6267" s="2" t="str">
        <f t="shared" si="96"/>
        <v>Error?</v>
      </c>
      <c r="E6267" s="2" t="s">
        <v>199</v>
      </c>
    </row>
    <row r="6268" spans="1:5" x14ac:dyDescent="0.2">
      <c r="A6268">
        <v>6207</v>
      </c>
      <c r="B6268" s="138">
        <f>'Acct Summary 7-8'!D82</f>
        <v>492339.99999999977</v>
      </c>
      <c r="D6268" s="2" t="str">
        <f t="shared" si="96"/>
        <v>Error?</v>
      </c>
      <c r="E6268" s="2" t="s">
        <v>199</v>
      </c>
    </row>
    <row r="6269" spans="1:5" x14ac:dyDescent="0.2">
      <c r="A6269">
        <v>6208</v>
      </c>
      <c r="B6269" s="138">
        <f>'Acct Summary 7-8'!E82</f>
        <v>-10429</v>
      </c>
      <c r="D6269" s="2" t="str">
        <f t="shared" si="96"/>
        <v>Error?</v>
      </c>
      <c r="E6269" s="2" t="s">
        <v>199</v>
      </c>
    </row>
    <row r="6270" spans="1:5" x14ac:dyDescent="0.2">
      <c r="A6270">
        <v>6209</v>
      </c>
      <c r="B6270" s="138">
        <f>'Acct Summary 7-8'!F82</f>
        <v>311414</v>
      </c>
      <c r="D6270" s="2" t="str">
        <f t="shared" si="96"/>
        <v>Error?</v>
      </c>
      <c r="E6270" s="2" t="s">
        <v>199</v>
      </c>
    </row>
    <row r="6271" spans="1:5" x14ac:dyDescent="0.2">
      <c r="A6271">
        <v>6210</v>
      </c>
      <c r="B6271" s="138">
        <f>'Acct Summary 7-8'!G82</f>
        <v>5858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2962815</v>
      </c>
      <c r="D6273" s="2" t="str">
        <f t="shared" si="97"/>
        <v>Error?</v>
      </c>
      <c r="E6273" s="2" t="s">
        <v>199</v>
      </c>
    </row>
    <row r="6274" spans="1:5" x14ac:dyDescent="0.2">
      <c r="A6274">
        <v>6213</v>
      </c>
      <c r="B6274" s="138">
        <f>'Acct Summary 7-8'!J82</f>
        <v>57639</v>
      </c>
      <c r="D6274" s="2" t="str">
        <f t="shared" si="97"/>
        <v>Error?</v>
      </c>
      <c r="E6274" s="2" t="s">
        <v>199</v>
      </c>
    </row>
    <row r="6275" spans="1:5" x14ac:dyDescent="0.2">
      <c r="A6275">
        <v>6214</v>
      </c>
      <c r="B6275" s="138">
        <f>'Acct Summary 7-8'!K82</f>
        <v>114800</v>
      </c>
      <c r="D6275" s="2" t="str">
        <f t="shared" si="97"/>
        <v>Error?</v>
      </c>
      <c r="E6275" s="2" t="s">
        <v>199</v>
      </c>
    </row>
    <row r="6276" spans="1:5" x14ac:dyDescent="0.2">
      <c r="A6276">
        <v>6215</v>
      </c>
      <c r="B6276" s="138">
        <f>'Acct Summary 7-8'!C83</f>
        <v>0.89972562124519995</v>
      </c>
      <c r="D6276" s="2" t="str">
        <f t="shared" si="97"/>
        <v>Error?</v>
      </c>
      <c r="E6276" s="2" t="s">
        <v>199</v>
      </c>
    </row>
    <row r="6277" spans="1:5" x14ac:dyDescent="0.2">
      <c r="A6277">
        <v>6216</v>
      </c>
      <c r="B6277" s="138">
        <f>'Acct Summary 7-8'!D83</f>
        <v>0.95131730221144462</v>
      </c>
      <c r="D6277" s="2" t="str">
        <f t="shared" si="97"/>
        <v>Error?</v>
      </c>
      <c r="E6277" s="2" t="s">
        <v>199</v>
      </c>
    </row>
    <row r="6278" spans="1:5" x14ac:dyDescent="0.2">
      <c r="A6278">
        <v>6217</v>
      </c>
      <c r="B6278" s="138">
        <f>'Acct Summary 7-8'!E83</f>
        <v>0.25491298396558465</v>
      </c>
      <c r="D6278" s="2" t="str">
        <f t="shared" si="97"/>
        <v>Error?</v>
      </c>
      <c r="E6278" s="2" t="s">
        <v>199</v>
      </c>
    </row>
    <row r="6279" spans="1:5" x14ac:dyDescent="0.2">
      <c r="A6279">
        <v>6218</v>
      </c>
      <c r="B6279" s="138">
        <f>'Acct Summary 7-8'!F83</f>
        <v>0.55349893713075071</v>
      </c>
      <c r="D6279" s="2" t="str">
        <f t="shared" si="97"/>
        <v>Error?</v>
      </c>
      <c r="E6279" s="2" t="s">
        <v>199</v>
      </c>
    </row>
    <row r="6280" spans="1:5" x14ac:dyDescent="0.2">
      <c r="A6280">
        <v>6219</v>
      </c>
      <c r="B6280" s="138">
        <f>'Acct Summary 7-8'!G83</f>
        <v>5.4653679653679656E-2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0.4693388388120408</v>
      </c>
      <c r="D6282" s="2" t="str">
        <f t="shared" si="97"/>
        <v>Error?</v>
      </c>
      <c r="E6282" s="2" t="s">
        <v>199</v>
      </c>
    </row>
    <row r="6283" spans="1:5" x14ac:dyDescent="0.2">
      <c r="A6283">
        <v>6222</v>
      </c>
      <c r="B6283" s="138">
        <f>'Acct Summary 7-8'!J83</f>
        <v>0.4849563329799586</v>
      </c>
      <c r="D6283" s="2" t="str">
        <f t="shared" si="97"/>
        <v>Error?</v>
      </c>
      <c r="E6283" s="2" t="s">
        <v>199</v>
      </c>
    </row>
    <row r="6284" spans="1:5" x14ac:dyDescent="0.2">
      <c r="A6284">
        <v>6223</v>
      </c>
      <c r="B6284" s="138">
        <f>'Acct Summary 7-8'!K83</f>
        <v>0.25438639254390827</v>
      </c>
      <c r="D6284" s="2" t="str">
        <f t="shared" si="97"/>
        <v>Error?</v>
      </c>
      <c r="E6284" s="2" t="s">
        <v>199</v>
      </c>
    </row>
    <row r="6285" spans="1:5" x14ac:dyDescent="0.2">
      <c r="A6285">
        <v>6224</v>
      </c>
      <c r="B6285" s="138">
        <f>'Acct Summary 7-8'!E37</f>
        <v>130237</v>
      </c>
      <c r="D6285" s="2" t="str">
        <f t="shared" si="97"/>
        <v>Error?</v>
      </c>
      <c r="E6285" s="2" t="s">
        <v>199</v>
      </c>
    </row>
    <row r="6286" spans="1:5" x14ac:dyDescent="0.2">
      <c r="A6286">
        <v>6225</v>
      </c>
      <c r="B6286" s="138">
        <f>'Acct Summary 7-8'!E38</f>
        <v>7745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498081.74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498081.74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62786.89</v>
      </c>
      <c r="D6350" s="2" t="str">
        <f t="shared" si="98"/>
        <v>Error?</v>
      </c>
      <c r="E6350" s="2" t="s">
        <v>199</v>
      </c>
    </row>
    <row r="6351" spans="1:5" x14ac:dyDescent="0.2">
      <c r="A6351">
        <v>6290</v>
      </c>
      <c r="B6351" s="138">
        <f>'Revenues 9-14'!J108</f>
        <v>62786.89</v>
      </c>
      <c r="D6351" s="2" t="str">
        <f t="shared" si="98"/>
        <v>Error?</v>
      </c>
      <c r="E6351" s="2" t="s">
        <v>199</v>
      </c>
    </row>
    <row r="6352" spans="1:5" x14ac:dyDescent="0.2">
      <c r="A6352">
        <v>6291</v>
      </c>
      <c r="B6352" s="138">
        <f>'Revenues 9-14'!J109</f>
        <v>560868.63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635229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658103</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503229.63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560868.63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19552</v>
      </c>
      <c r="D7067" s="2" t="str">
        <f t="shared" si="109"/>
        <v>Error?</v>
      </c>
    </row>
    <row r="7068" spans="1:4" x14ac:dyDescent="0.2">
      <c r="A7068">
        <v>7007</v>
      </c>
      <c r="B7068" s="138">
        <f>'Expenditures 15-22'!K205</f>
        <v>19552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53873</v>
      </c>
      <c r="D7075" s="2" t="str">
        <f t="shared" si="109"/>
        <v>Error?</v>
      </c>
    </row>
    <row r="7076" spans="1:4" x14ac:dyDescent="0.2">
      <c r="A7076">
        <v>7015</v>
      </c>
      <c r="B7076" s="138">
        <f>'Expenditures 15-22'!K218</f>
        <v>53873</v>
      </c>
      <c r="D7076" s="2" t="str">
        <f t="shared" si="109"/>
        <v>Error?</v>
      </c>
    </row>
    <row r="7077" spans="1:4" x14ac:dyDescent="0.2">
      <c r="A7077">
        <v>7016</v>
      </c>
      <c r="B7077" s="138">
        <f>'Expenditures 15-22'!D220</f>
        <v>30267</v>
      </c>
      <c r="D7077" s="2" t="str">
        <f t="shared" si="109"/>
        <v>Error?</v>
      </c>
    </row>
    <row r="7078" spans="1:4" x14ac:dyDescent="0.2">
      <c r="A7078">
        <v>7017</v>
      </c>
      <c r="B7078" s="138">
        <f>'Expenditures 15-22'!K220</f>
        <v>30267</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160767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160767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264717.07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69042.19</v>
      </c>
      <c r="D7174" s="2" t="str">
        <f t="shared" si="111"/>
        <v>Error?</v>
      </c>
    </row>
    <row r="7175" spans="1:4" x14ac:dyDescent="0.2">
      <c r="A7175">
        <v>7114</v>
      </c>
      <c r="B7175" s="138">
        <f>'Expenditures 15-22'!F325</f>
        <v>8703.3700000000008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342462.63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264717.07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229809.19</v>
      </c>
      <c r="D7201" s="2" t="str">
        <f t="shared" si="111"/>
        <v>Error?</v>
      </c>
    </row>
    <row r="7202" spans="1:4" x14ac:dyDescent="0.2">
      <c r="A7202">
        <v>7141</v>
      </c>
      <c r="B7202" s="138">
        <f>'Expenditures 15-22'!F330</f>
        <v>8703.3700000000008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503229.63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264717.07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229809.19</v>
      </c>
      <c r="D7218" s="2" t="str">
        <f t="shared" si="111"/>
        <v>Error?</v>
      </c>
    </row>
    <row r="7219" spans="1:4" x14ac:dyDescent="0.2">
      <c r="A7219">
        <v>7158</v>
      </c>
      <c r="B7219" s="138">
        <f>'Expenditures 15-22'!F342</f>
        <v>8703.3700000000008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503229.63</v>
      </c>
      <c r="D7224" s="2" t="str">
        <f t="shared" si="111"/>
        <v>Error?</v>
      </c>
    </row>
    <row r="7225" spans="1:4" x14ac:dyDescent="0.2">
      <c r="A7225">
        <v>7164</v>
      </c>
      <c r="B7225" s="138">
        <f>'Expenditures 15-22'!K343</f>
        <v>57639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471220</v>
      </c>
      <c r="D7251" s="2" t="str">
        <f t="shared" si="112"/>
        <v>Error?</v>
      </c>
    </row>
    <row r="7252" spans="1:4" x14ac:dyDescent="0.2">
      <c r="A7252">
        <f t="shared" si="113"/>
        <v>7191</v>
      </c>
      <c r="B7252" s="138">
        <f>'Expenditures 15-22'!D9</f>
        <v>159761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4248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444267</v>
      </c>
      <c r="D7257" s="2" t="str">
        <f t="shared" si="112"/>
        <v>Error?</v>
      </c>
    </row>
    <row r="7258" spans="1:4" x14ac:dyDescent="0.2">
      <c r="A7258">
        <f t="shared" si="113"/>
        <v>7197</v>
      </c>
      <c r="B7258" s="138">
        <f>'Expenditures 15-22'!D11</f>
        <v>105482</v>
      </c>
      <c r="D7258" s="2" t="str">
        <f t="shared" si="112"/>
        <v>Error?</v>
      </c>
    </row>
    <row r="7259" spans="1:4" x14ac:dyDescent="0.2">
      <c r="A7259">
        <f t="shared" si="113"/>
        <v>7198</v>
      </c>
      <c r="B7259" s="138">
        <f>'Expenditures 15-22'!E11</f>
        <v>7806</v>
      </c>
      <c r="D7259" s="2" t="str">
        <f t="shared" si="112"/>
        <v>Error?</v>
      </c>
    </row>
    <row r="7260" spans="1:4" x14ac:dyDescent="0.2">
      <c r="A7260">
        <f t="shared" si="113"/>
        <v>7199</v>
      </c>
      <c r="B7260" s="138">
        <f>'Expenditures 15-22'!F11</f>
        <v>96080</v>
      </c>
      <c r="D7260" s="2" t="str">
        <f t="shared" si="112"/>
        <v>Error?</v>
      </c>
    </row>
    <row r="7261" spans="1:4" x14ac:dyDescent="0.2">
      <c r="A7261">
        <f t="shared" si="113"/>
        <v>7200</v>
      </c>
      <c r="B7261" s="138">
        <f>'Expenditures 15-22'!G11</f>
        <v>4468</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1435981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55476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1727215</v>
      </c>
      <c r="D7748" s="2" t="str">
        <f t="shared" si="127"/>
        <v>Error?</v>
      </c>
      <c r="E7748" s="4" t="s">
        <v>1400</v>
      </c>
    </row>
    <row r="7749" spans="1:6" x14ac:dyDescent="0.2">
      <c r="A7749">
        <v>7688</v>
      </c>
      <c r="B7749" s="138">
        <f>'Acct Summary 7-8'!D25</f>
        <v>1000000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772509</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396261.63</v>
      </c>
      <c r="D7797" s="2" t="str">
        <f t="shared" si="127"/>
        <v>Error?</v>
      </c>
      <c r="E7797" s="4" t="s">
        <v>2016</v>
      </c>
    </row>
    <row r="7798" spans="1:5" x14ac:dyDescent="0.2">
      <c r="A7798">
        <v>7737</v>
      </c>
      <c r="B7798" s="138">
        <f>'Contracts Paid in CY 29'!F141</f>
        <v>281831.63</v>
      </c>
      <c r="D7798" s="2" t="str">
        <f t="shared" si="127"/>
        <v>Error?</v>
      </c>
      <c r="E7798" s="4" t="s">
        <v>2016</v>
      </c>
    </row>
    <row r="7799" spans="1:5" x14ac:dyDescent="0.2">
      <c r="A7799">
        <v>7738</v>
      </c>
      <c r="B7799" s="138">
        <f>'Contracts Paid in CY 29'!G141</f>
        <v>114430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14" customWidth="1"/>
    <col min="2" max="2" width="3.140625" style="1114" customWidth="1"/>
    <col min="3" max="3" width="96.140625" style="1054" customWidth="1"/>
    <col min="4" max="4" width="42.140625" style="242" customWidth="1"/>
    <col min="5" max="5" width="2.7109375" style="1073" customWidth="1"/>
    <col min="6" max="6" width="1" style="1073" customWidth="1"/>
    <col min="7" max="16384" width="9.140625" style="1073"/>
  </cols>
  <sheetData>
    <row r="1" spans="1:4" ht="4.5" customHeight="1" thickBot="1" x14ac:dyDescent="0.25">
      <c r="A1" s="1069"/>
      <c r="B1" s="1070"/>
      <c r="C1" s="1071"/>
      <c r="D1" s="1072"/>
    </row>
    <row r="2" spans="1:4" ht="7.5" customHeight="1" thickTop="1" x14ac:dyDescent="0.2">
      <c r="A2" s="1898"/>
      <c r="B2" s="1899"/>
      <c r="C2" s="1900"/>
      <c r="D2" s="1901"/>
    </row>
    <row r="3" spans="1:4" ht="36" customHeight="1" x14ac:dyDescent="0.2">
      <c r="A3" s="2415" t="s">
        <v>686</v>
      </c>
      <c r="B3" s="2416"/>
      <c r="C3" s="2416"/>
      <c r="D3" s="2417"/>
    </row>
    <row r="4" spans="1:4" x14ac:dyDescent="0.2">
      <c r="A4" s="1133" t="s">
        <v>1793</v>
      </c>
      <c r="B4" s="1134"/>
      <c r="C4" s="1135"/>
      <c r="D4" s="1136"/>
    </row>
    <row r="5" spans="1:4" ht="21" customHeight="1" x14ac:dyDescent="0.2">
      <c r="A5" s="1129"/>
      <c r="B5" s="1130">
        <v>1</v>
      </c>
      <c r="C5" s="1131" t="s">
        <v>1942</v>
      </c>
      <c r="D5" s="1132"/>
    </row>
    <row r="6" spans="1:4" s="652" customFormat="1" ht="14.25" customHeight="1" x14ac:dyDescent="0.2">
      <c r="A6" s="1119"/>
      <c r="B6" s="1074">
        <f t="shared" ref="B6:B13" si="0">B5+1</f>
        <v>2</v>
      </c>
      <c r="C6" s="1075" t="s">
        <v>919</v>
      </c>
      <c r="D6" s="1076"/>
    </row>
    <row r="7" spans="1:4" s="652" customFormat="1" ht="12.75" x14ac:dyDescent="0.2">
      <c r="A7" s="1119"/>
      <c r="B7" s="1074">
        <f t="shared" si="0"/>
        <v>3</v>
      </c>
      <c r="C7" s="2426" t="s">
        <v>1584</v>
      </c>
      <c r="D7" s="2427"/>
    </row>
    <row r="8" spans="1:4" s="652" customFormat="1" ht="12.75" x14ac:dyDescent="0.2">
      <c r="A8" s="1119"/>
      <c r="B8" s="1074"/>
      <c r="C8" s="1077" t="s">
        <v>1583</v>
      </c>
      <c r="D8" s="1078"/>
    </row>
    <row r="9" spans="1:4" s="652" customFormat="1" ht="14.25" customHeight="1" x14ac:dyDescent="0.2">
      <c r="A9" s="1119"/>
      <c r="B9" s="1074">
        <f>B7+1</f>
        <v>4</v>
      </c>
      <c r="C9" s="1075" t="s">
        <v>2045</v>
      </c>
      <c r="D9" s="1076"/>
    </row>
    <row r="10" spans="1:4" s="652" customFormat="1" ht="14.25" customHeight="1" x14ac:dyDescent="0.2">
      <c r="A10" s="1119"/>
      <c r="B10" s="1074">
        <f t="shared" si="0"/>
        <v>5</v>
      </c>
      <c r="C10" s="1075" t="s">
        <v>660</v>
      </c>
      <c r="D10" s="1076"/>
    </row>
    <row r="11" spans="1:4" s="652" customFormat="1" ht="14.25" customHeight="1" x14ac:dyDescent="0.2">
      <c r="A11" s="1119"/>
      <c r="B11" s="1074">
        <f t="shared" si="0"/>
        <v>6</v>
      </c>
      <c r="C11" s="1075" t="s">
        <v>811</v>
      </c>
      <c r="D11" s="1076"/>
    </row>
    <row r="12" spans="1:4" s="652" customFormat="1" ht="14.25" customHeight="1" x14ac:dyDescent="0.2">
      <c r="A12" s="1119"/>
      <c r="B12" s="1074">
        <f t="shared" si="0"/>
        <v>7</v>
      </c>
      <c r="C12" s="1075" t="s">
        <v>1122</v>
      </c>
      <c r="D12" s="1076"/>
    </row>
    <row r="13" spans="1:4" s="652" customFormat="1" ht="14.25" customHeight="1" x14ac:dyDescent="0.2">
      <c r="A13" s="1119"/>
      <c r="B13" s="1074">
        <f t="shared" si="0"/>
        <v>8</v>
      </c>
      <c r="C13" s="1115" t="s">
        <v>812</v>
      </c>
      <c r="D13" s="1076"/>
    </row>
    <row r="14" spans="1:4" s="652" customFormat="1" ht="14.25" customHeight="1" x14ac:dyDescent="0.2">
      <c r="A14" s="1119"/>
      <c r="B14" s="1116">
        <v>9</v>
      </c>
      <c r="C14" s="1117" t="s">
        <v>1585</v>
      </c>
      <c r="D14" s="1118"/>
    </row>
    <row r="15" spans="1:4" s="652" customFormat="1" ht="21.75" customHeight="1" x14ac:dyDescent="0.2">
      <c r="A15" s="2418" t="s">
        <v>1065</v>
      </c>
      <c r="B15" s="2419"/>
      <c r="C15" s="2419"/>
      <c r="D15" s="2420"/>
    </row>
    <row r="16" spans="1:4" s="652" customFormat="1" ht="24" customHeight="1" x14ac:dyDescent="0.2">
      <c r="A16" s="2421" t="s">
        <v>684</v>
      </c>
      <c r="B16" s="2422"/>
      <c r="C16" s="2422"/>
      <c r="D16" s="2423"/>
    </row>
    <row r="17" spans="1:10" s="652" customFormat="1" ht="12.75" customHeight="1" x14ac:dyDescent="0.2">
      <c r="A17" s="1137" t="s">
        <v>1794</v>
      </c>
      <c r="B17" s="1138"/>
      <c r="C17" s="1139"/>
      <c r="D17" s="1140"/>
    </row>
    <row r="18" spans="1:10" s="652" customFormat="1" ht="12.75" customHeight="1" x14ac:dyDescent="0.2">
      <c r="A18" s="1141" t="s">
        <v>1795</v>
      </c>
      <c r="B18" s="1142"/>
      <c r="C18" s="1143"/>
      <c r="D18" s="1144"/>
    </row>
    <row r="19" spans="1:10" ht="6.75" customHeight="1" thickBot="1" x14ac:dyDescent="0.25">
      <c r="A19" s="1145"/>
      <c r="B19" s="1146"/>
      <c r="C19" s="1147"/>
      <c r="D19" s="1148"/>
    </row>
    <row r="20" spans="1:10" s="1152" customFormat="1" ht="12.75" thickTop="1" x14ac:dyDescent="0.2">
      <c r="A20" s="1149"/>
      <c r="B20" s="1150" t="s">
        <v>1796</v>
      </c>
      <c r="C20" s="1151"/>
      <c r="D20" s="1154" t="s">
        <v>734</v>
      </c>
    </row>
    <row r="21" spans="1:10" x14ac:dyDescent="0.2">
      <c r="A21" s="1079"/>
      <c r="B21" s="1080">
        <v>1</v>
      </c>
      <c r="C21" s="2430" t="s">
        <v>332</v>
      </c>
      <c r="D21" s="2431"/>
    </row>
    <row r="22" spans="1:10" ht="12.75" x14ac:dyDescent="0.2">
      <c r="A22" s="1120"/>
      <c r="B22" s="1121">
        <v>2</v>
      </c>
      <c r="C22" s="2428" t="s">
        <v>1605</v>
      </c>
      <c r="D22" s="2429"/>
    </row>
    <row r="23" spans="1:10" ht="12.2" customHeight="1" x14ac:dyDescent="0.2">
      <c r="A23" s="1120"/>
      <c r="B23" s="1121"/>
      <c r="C23" s="1122" t="s">
        <v>1011</v>
      </c>
      <c r="D23" s="1123" t="str">
        <f>IF(COVER!O11="X","CASH",IF(COVER!O12="X","ACCRUAL ","PLEASE CHECK AN ACCOUNTING BASIS."))</f>
        <v>CASH</v>
      </c>
    </row>
    <row r="24" spans="1:10" ht="12.2" customHeight="1" x14ac:dyDescent="0.2">
      <c r="A24" s="1120"/>
      <c r="B24" s="1121"/>
      <c r="C24" s="1122" t="s">
        <v>1399</v>
      </c>
      <c r="D24" s="1123" t="str">
        <f>IF(COVER!O11="X","OK",IF(AND('Aud Quest 2'!J90=0,'Aud Quest 2'!I77&lt;DATE(2017,12,31)),"ENTER ACCOUNTING INFO",IF(AND('Aud Quest 2'!J90&gt;0,'Aud Quest 2'!I77&lt;DATE(2017,12,31)),"OK")))</f>
        <v>OK</v>
      </c>
    </row>
    <row r="25" spans="1:10" x14ac:dyDescent="0.2">
      <c r="A25" s="1081"/>
      <c r="B25" s="1082"/>
      <c r="C25" s="1083" t="s">
        <v>1607</v>
      </c>
      <c r="D25" s="1084" t="str">
        <f>IF(AND(COVER!J29="X",COVER!J30="X",COVER!L30&lt;&gt;"X"),"OK",IF(AND(COVER!J29="X",COVER!J30&lt;&gt;"X",COVER!L30="X"),"OK",IF(AND(COVER!L29="X",COVER!J30&lt;&gt;"X"),"OK","PLEASE CHECK YES or NO.")))</f>
        <v>OK</v>
      </c>
    </row>
    <row r="26" spans="1:10" x14ac:dyDescent="0.2">
      <c r="A26" s="1081"/>
      <c r="B26" s="1124"/>
      <c r="C26" s="1085" t="s">
        <v>1606</v>
      </c>
      <c r="D26" s="1086" t="str">
        <f>IF(AND(COVER!J29="X",COVER!J30="X",COVER!L29&lt;&gt;"X"),"OK",IF(AND(COVER!J29="X",COVER!J30&lt;&gt;"X",COVER!L30="X"),"SENDING AN A-133 SEPERATELY!",IF(AND(COVER!L29="X",COVER!J30&lt;&gt;"X"),"OK","PLEASE CHECK YES or NO.")))</f>
        <v>OK</v>
      </c>
    </row>
    <row r="27" spans="1:10" ht="12" hidden="1" customHeight="1" x14ac:dyDescent="0.2">
      <c r="A27" s="1087"/>
      <c r="B27" s="1124"/>
      <c r="C27" s="1083" t="s">
        <v>1032</v>
      </c>
      <c r="D27" s="1086" t="str">
        <f>IF(AND(COVER!J29="X",COVER!J31="X",COVER!L29&lt;&gt;"X"),"OK",IF(AND(COVER!J29="X",COVER!J31&lt;&gt;"X",COVER!L31="X"),"NO FINDINGS WERE ISSUED",IF(AND(COVER!L29="X",COVER!J31&lt;&gt;"X"),"OK","PLEASE CHECK YES or NO.")))</f>
        <v>OK</v>
      </c>
    </row>
    <row r="28" spans="1:10" ht="24" hidden="1" customHeight="1" x14ac:dyDescent="0.2">
      <c r="A28" s="1087"/>
      <c r="B28" s="1124"/>
      <c r="C28" s="1083" t="s">
        <v>897</v>
      </c>
      <c r="D28" s="1088" t="b">
        <f>IF('Aud Quest 2'!B53="X",IF('Aud Quest 2'!F53&gt;"00/00/00 ","Enter Effective Date","ok"))</f>
        <v>0</v>
      </c>
    </row>
    <row r="29" spans="1:10" x14ac:dyDescent="0.2">
      <c r="A29" s="1081"/>
      <c r="B29" s="1124"/>
      <c r="C29" s="1085" t="s">
        <v>1440</v>
      </c>
      <c r="D29" s="108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9"/>
      <c r="B30" s="1121">
        <f>B22+1</f>
        <v>3</v>
      </c>
      <c r="C30" s="1089" t="s">
        <v>879</v>
      </c>
      <c r="D30" s="1090"/>
    </row>
    <row r="31" spans="1:10" x14ac:dyDescent="0.2">
      <c r="A31" s="1081"/>
      <c r="B31" s="1091"/>
      <c r="C31" s="1125" t="s">
        <v>271</v>
      </c>
      <c r="D31" s="1092" t="str">
        <f>IF(SUM('FP Info 3'!J10:L10)&lt;=0.0999999,"OK","CORRECT THE TAX RATES BY MOVING THE DECIMAL TWO PLACES TO THE LEFT.")</f>
        <v>OK</v>
      </c>
      <c r="E31" s="359"/>
      <c r="F31" s="359"/>
      <c r="G31" s="359"/>
      <c r="H31" s="359"/>
      <c r="I31" s="359"/>
      <c r="J31" s="359"/>
    </row>
    <row r="32" spans="1:10" x14ac:dyDescent="0.2">
      <c r="A32" s="1081"/>
      <c r="B32" s="1126"/>
      <c r="C32" s="1093" t="s">
        <v>1035</v>
      </c>
      <c r="D32" s="1084" t="str">
        <f>IF(OR(COVER!B6="x",'FP Info 3'!B31="X",'FP Info 3'!B32="X"),"OK","ENTRY IS REQUIRED!")</f>
        <v>OK</v>
      </c>
    </row>
    <row r="33" spans="1:12" s="1097" customFormat="1" ht="12.75" customHeight="1" x14ac:dyDescent="0.2">
      <c r="A33" s="1094"/>
      <c r="B33" s="1121">
        <f>B30+1</f>
        <v>4</v>
      </c>
      <c r="C33" s="1095" t="s">
        <v>813</v>
      </c>
      <c r="D33" s="1096"/>
    </row>
    <row r="34" spans="1:12" s="1097" customFormat="1" x14ac:dyDescent="0.2">
      <c r="A34" s="1098"/>
      <c r="B34" s="1121"/>
      <c r="C34" s="1099" t="s">
        <v>880</v>
      </c>
      <c r="D34" s="1084" t="str">
        <f>IF('Assets-Liab 5-6'!C4&lt;-0.49, "ERROR!","OK")</f>
        <v>OK</v>
      </c>
    </row>
    <row r="35" spans="1:12" x14ac:dyDescent="0.2">
      <c r="A35" s="1098"/>
      <c r="B35" s="1121"/>
      <c r="C35" s="1099" t="s">
        <v>324</v>
      </c>
      <c r="D35" s="1084" t="str">
        <f>IF('Assets-Liab 5-6'!D4&lt;-0.49, "ERROR!","OK")</f>
        <v>OK</v>
      </c>
      <c r="L35" s="1153"/>
    </row>
    <row r="36" spans="1:12" x14ac:dyDescent="0.2">
      <c r="A36" s="1098"/>
      <c r="B36" s="1121"/>
      <c r="C36" s="1099" t="s">
        <v>814</v>
      </c>
      <c r="D36" s="1084" t="str">
        <f>IF('Assets-Liab 5-6'!E4&lt;-0.49, "ERROR!","OK")</f>
        <v>OK</v>
      </c>
    </row>
    <row r="37" spans="1:12" x14ac:dyDescent="0.2">
      <c r="A37" s="1098"/>
      <c r="B37" s="1121"/>
      <c r="C37" s="1099" t="s">
        <v>325</v>
      </c>
      <c r="D37" s="1084" t="str">
        <f>IF('Assets-Liab 5-6'!F4&lt;-0.49, "ERROR!","OK")</f>
        <v>OK</v>
      </c>
    </row>
    <row r="38" spans="1:12" x14ac:dyDescent="0.2">
      <c r="A38" s="1098"/>
      <c r="B38" s="1121"/>
      <c r="C38" s="1099" t="s">
        <v>326</v>
      </c>
      <c r="D38" s="1084" t="str">
        <f>IF('Assets-Liab 5-6'!G4&lt;-0.49, "ERROR!","OK")</f>
        <v>OK</v>
      </c>
    </row>
    <row r="39" spans="1:12" x14ac:dyDescent="0.2">
      <c r="A39" s="1098"/>
      <c r="B39" s="1121"/>
      <c r="C39" s="1099" t="s">
        <v>815</v>
      </c>
      <c r="D39" s="1084" t="str">
        <f>IF('Assets-Liab 5-6'!H4&lt;-0.49, "ERROR!","OK")</f>
        <v>OK</v>
      </c>
    </row>
    <row r="40" spans="1:12" x14ac:dyDescent="0.2">
      <c r="A40" s="1098"/>
      <c r="B40" s="1121"/>
      <c r="C40" s="1099" t="s">
        <v>327</v>
      </c>
      <c r="D40" s="1084" t="str">
        <f>IF('Assets-Liab 5-6'!I4&lt;-0.49, "ERROR!","OK")</f>
        <v>OK</v>
      </c>
    </row>
    <row r="41" spans="1:12" x14ac:dyDescent="0.2">
      <c r="A41" s="1098"/>
      <c r="B41" s="1121"/>
      <c r="C41" s="1099" t="s">
        <v>816</v>
      </c>
      <c r="D41" s="1084" t="str">
        <f>IF('Assets-Liab 5-6'!J4&lt;-0.49, "ERROR!","OK")</f>
        <v>OK</v>
      </c>
    </row>
    <row r="42" spans="1:12" x14ac:dyDescent="0.2">
      <c r="A42" s="1098"/>
      <c r="B42" s="1121"/>
      <c r="C42" s="1099" t="s">
        <v>328</v>
      </c>
      <c r="D42" s="1084" t="str">
        <f>IF('Assets-Liab 5-6'!K4&lt;-0.49, "ERROR!","OK")</f>
        <v>OK</v>
      </c>
    </row>
    <row r="43" spans="1:12" x14ac:dyDescent="0.2">
      <c r="A43" s="1100"/>
      <c r="B43" s="1101">
        <f>B33+1</f>
        <v>5</v>
      </c>
      <c r="C43" s="2432" t="s">
        <v>557</v>
      </c>
      <c r="D43" s="2433"/>
    </row>
    <row r="44" spans="1:12" x14ac:dyDescent="0.2">
      <c r="A44" s="1100"/>
      <c r="B44" s="1102"/>
      <c r="C44" s="1103" t="s">
        <v>1402</v>
      </c>
      <c r="D44" s="1104" t="str">
        <f>IF(SUM('Assets-Liab 5-6'!C13)&lt;&gt;SUM('Assets-Liab 5-6'!C41),"ERROR!","OK")</f>
        <v>OK</v>
      </c>
    </row>
    <row r="45" spans="1:12" x14ac:dyDescent="0.2">
      <c r="A45" s="1100"/>
      <c r="B45" s="1102"/>
      <c r="C45" s="1103" t="s">
        <v>1403</v>
      </c>
      <c r="D45" s="1104" t="str">
        <f>IF(SUM('Assets-Liab 5-6'!D13)&lt;&gt;SUM('Assets-Liab 5-6'!D41),"ERROR!","OK")</f>
        <v>OK</v>
      </c>
    </row>
    <row r="46" spans="1:12" x14ac:dyDescent="0.2">
      <c r="A46" s="1100"/>
      <c r="B46" s="1102"/>
      <c r="C46" s="1103" t="s">
        <v>1404</v>
      </c>
      <c r="D46" s="1104" t="str">
        <f>IF(SUM('Assets-Liab 5-6'!E13)&lt;&gt;SUM('Assets-Liab 5-6'!E41),"ERROR!","OK")</f>
        <v>OK</v>
      </c>
    </row>
    <row r="47" spans="1:12" x14ac:dyDescent="0.2">
      <c r="A47" s="1100"/>
      <c r="B47" s="1102"/>
      <c r="C47" s="1103" t="s">
        <v>1405</v>
      </c>
      <c r="D47" s="1104" t="str">
        <f>IF(SUM('Assets-Liab 5-6'!F13)&lt;&gt;SUM('Assets-Liab 5-6'!F41),"ERROR!","OK")</f>
        <v>OK</v>
      </c>
    </row>
    <row r="48" spans="1:12" x14ac:dyDescent="0.2">
      <c r="A48" s="1100"/>
      <c r="B48" s="1102"/>
      <c r="C48" s="1103" t="s">
        <v>1406</v>
      </c>
      <c r="D48" s="1104" t="str">
        <f>IF(SUM('Assets-Liab 5-6'!G13)&lt;&gt;SUM('Assets-Liab 5-6'!G41),"ERROR!","OK")</f>
        <v>OK</v>
      </c>
    </row>
    <row r="49" spans="1:4" x14ac:dyDescent="0.2">
      <c r="A49" s="1100"/>
      <c r="B49" s="1102"/>
      <c r="C49" s="1103" t="s">
        <v>1407</v>
      </c>
      <c r="D49" s="1104" t="str">
        <f>IF(SUM('Assets-Liab 5-6'!H13)&lt;&gt;SUM('Assets-Liab 5-6'!H41),"ERROR!","OK")</f>
        <v>OK</v>
      </c>
    </row>
    <row r="50" spans="1:4" x14ac:dyDescent="0.2">
      <c r="A50" s="1100"/>
      <c r="B50" s="1102"/>
      <c r="C50" s="1103" t="s">
        <v>1408</v>
      </c>
      <c r="D50" s="1104" t="str">
        <f>IF(SUM('Assets-Liab 5-6'!I13)&lt;&gt;SUM('Assets-Liab 5-6'!I41),"ERROR!","OK")</f>
        <v>OK</v>
      </c>
    </row>
    <row r="51" spans="1:4" x14ac:dyDescent="0.2">
      <c r="A51" s="1100"/>
      <c r="B51" s="1102"/>
      <c r="C51" s="1103" t="s">
        <v>1409</v>
      </c>
      <c r="D51" s="1104" t="str">
        <f>IF(SUM('Assets-Liab 5-6'!J13)&lt;&gt;SUM('Assets-Liab 5-6'!J41),"ERROR!","OK")</f>
        <v>OK</v>
      </c>
    </row>
    <row r="52" spans="1:4" x14ac:dyDescent="0.2">
      <c r="A52" s="1100"/>
      <c r="B52" s="1102"/>
      <c r="C52" s="1103" t="s">
        <v>1410</v>
      </c>
      <c r="D52" s="1104" t="str">
        <f>IF(SUM('Assets-Liab 5-6'!K13)&lt;&gt;SUM('Assets-Liab 5-6'!K41),"ERROR!","OK")</f>
        <v>OK</v>
      </c>
    </row>
    <row r="53" spans="1:4" x14ac:dyDescent="0.2">
      <c r="A53" s="1100"/>
      <c r="B53" s="1102"/>
      <c r="C53" s="1103" t="s">
        <v>1411</v>
      </c>
      <c r="D53" s="1104" t="str">
        <f>IF(SUM('Assets-Liab 5-6'!L13)&lt;&gt;('Assets-Liab 5-6'!L41),"ERROR!","OK")</f>
        <v>OK</v>
      </c>
    </row>
    <row r="54" spans="1:4" x14ac:dyDescent="0.2">
      <c r="A54" s="1100"/>
      <c r="B54" s="1102"/>
      <c r="C54" s="1103" t="s">
        <v>1412</v>
      </c>
      <c r="D54" s="1104" t="str">
        <f>IF(SUM('Assets-Liab 5-6'!M23)&lt;&gt;('Assets-Liab 5-6'!M41),"ERROR!","OK")</f>
        <v>OK</v>
      </c>
    </row>
    <row r="55" spans="1:4" x14ac:dyDescent="0.2">
      <c r="A55" s="1100"/>
      <c r="B55" s="1102"/>
      <c r="C55" s="1103" t="s">
        <v>1413</v>
      </c>
      <c r="D55" s="1104" t="str">
        <f>IF(SUM('Assets-Liab 5-6'!N23)&lt;&gt;('Assets-Liab 5-6'!N41),"ERROR!","OK")</f>
        <v>OK</v>
      </c>
    </row>
    <row r="56" spans="1:4" x14ac:dyDescent="0.2">
      <c r="A56" s="1081"/>
      <c r="B56" s="1101">
        <f>B43+1</f>
        <v>6</v>
      </c>
      <c r="C56" s="2424" t="s">
        <v>817</v>
      </c>
      <c r="D56" s="2425"/>
    </row>
    <row r="57" spans="1:4" s="1097" customFormat="1" x14ac:dyDescent="0.2">
      <c r="A57" s="1081"/>
      <c r="B57" s="1091"/>
      <c r="C57" s="1099" t="s">
        <v>1414</v>
      </c>
      <c r="D57" s="1105" t="str">
        <f>IF('Assets-Liab 5-6'!C38+'Assets-Liab 5-6'!C39='Acct Summary 7-8'!C81,"OK","ERROR!")</f>
        <v>OK</v>
      </c>
    </row>
    <row r="58" spans="1:4" x14ac:dyDescent="0.2">
      <c r="A58" s="1081"/>
      <c r="B58" s="1091"/>
      <c r="C58" s="1099" t="s">
        <v>1415</v>
      </c>
      <c r="D58" s="1105" t="str">
        <f>IF((('Assets-Liab 5-6'!D38+'Assets-Liab 5-6'!D39) ='Acct Summary 7-8'!D81), "OK", "ERROR!" )</f>
        <v>OK</v>
      </c>
    </row>
    <row r="59" spans="1:4" s="1097" customFormat="1" x14ac:dyDescent="0.2">
      <c r="A59" s="1081"/>
      <c r="B59" s="1091"/>
      <c r="C59" s="1099" t="s">
        <v>1416</v>
      </c>
      <c r="D59" s="1105" t="str">
        <f>IF((('Assets-Liab 5-6'!E38 + 'Assets-Liab 5-6'!E39) ='Acct Summary 7-8'!E81), "OK", "ERROR!" )</f>
        <v>OK</v>
      </c>
    </row>
    <row r="60" spans="1:4" x14ac:dyDescent="0.2">
      <c r="A60" s="1081"/>
      <c r="B60" s="1091"/>
      <c r="C60" s="1099" t="s">
        <v>1417</v>
      </c>
      <c r="D60" s="1105" t="str">
        <f>IF((('Assets-Liab 5-6'!F38 + 'Assets-Liab 5-6'!F39) ='Acct Summary 7-8'!F81), "OK", "ERROR!" )</f>
        <v>OK</v>
      </c>
    </row>
    <row r="61" spans="1:4" ht="12.75" customHeight="1" x14ac:dyDescent="0.2">
      <c r="A61" s="1081"/>
      <c r="B61" s="1091"/>
      <c r="C61" s="1099" t="s">
        <v>1430</v>
      </c>
      <c r="D61" s="1105" t="str">
        <f>IF((('Assets-Liab 5-6'!G38 + 'Assets-Liab 5-6'!G39) ='Acct Summary 7-8'!G81), "OK", "ERROR!" )</f>
        <v>OK</v>
      </c>
    </row>
    <row r="62" spans="1:4" x14ac:dyDescent="0.2">
      <c r="A62" s="1081"/>
      <c r="B62" s="1091"/>
      <c r="C62" s="1099" t="s">
        <v>1418</v>
      </c>
      <c r="D62" s="1105" t="str">
        <f>IF((('Assets-Liab 5-6'!H38 + 'Assets-Liab 5-6'!H39) ='Acct Summary 7-8'!H81), "OK", "ERROR!" )</f>
        <v>OK</v>
      </c>
    </row>
    <row r="63" spans="1:4" ht="12.75" customHeight="1" x14ac:dyDescent="0.2">
      <c r="A63" s="1081"/>
      <c r="B63" s="1091"/>
      <c r="C63" s="1099" t="s">
        <v>1419</v>
      </c>
      <c r="D63" s="1105" t="str">
        <f>IF((('Assets-Liab 5-6'!I38 + 'Assets-Liab 5-6'!I39) ='Acct Summary 7-8'!I81), "OK", "ERROR!" )</f>
        <v>OK</v>
      </c>
    </row>
    <row r="64" spans="1:4" x14ac:dyDescent="0.2">
      <c r="A64" s="1081"/>
      <c r="B64" s="1091"/>
      <c r="C64" s="1099" t="s">
        <v>1420</v>
      </c>
      <c r="D64" s="1105" t="str">
        <f>IF((('Assets-Liab 5-6'!J38 + 'Assets-Liab 5-6'!J39) ='Acct Summary 7-8'!J81), "OK", "ERROR!" )</f>
        <v>OK</v>
      </c>
    </row>
    <row r="65" spans="1:4" x14ac:dyDescent="0.2">
      <c r="A65" s="1098"/>
      <c r="B65" s="1091"/>
      <c r="C65" s="1099" t="s">
        <v>1431</v>
      </c>
      <c r="D65" s="1105" t="str">
        <f>IF((('Assets-Liab 5-6'!K38 + 'Assets-Liab 5-6'!K39) ='Acct Summary 7-8'!K81), "OK", "ERROR!" )</f>
        <v>OK</v>
      </c>
    </row>
    <row r="66" spans="1:4" x14ac:dyDescent="0.2">
      <c r="A66" s="1079"/>
      <c r="B66" s="1121">
        <f>B56+1+1</f>
        <v>8</v>
      </c>
      <c r="C66" s="1127" t="s">
        <v>2046</v>
      </c>
      <c r="D66" s="1106"/>
    </row>
    <row r="67" spans="1:4" x14ac:dyDescent="0.2">
      <c r="A67" s="1100"/>
      <c r="B67" s="1121"/>
      <c r="C67" s="1128" t="s">
        <v>1079</v>
      </c>
      <c r="D67" s="1106"/>
    </row>
    <row r="68" spans="1:4" x14ac:dyDescent="0.2">
      <c r="A68" s="1081"/>
      <c r="B68" s="1091"/>
      <c r="C68" s="1083" t="s">
        <v>2047</v>
      </c>
      <c r="D68" s="1105" t="str">
        <f>IF('Short-Term Long-Term Debt 24'!F49=SUM(,'Acct Summary 7-8'!C33:K33),"OK","ERROR!")</f>
        <v>OK</v>
      </c>
    </row>
    <row r="69" spans="1:4" x14ac:dyDescent="0.2">
      <c r="A69" s="1081"/>
      <c r="B69" s="1091"/>
      <c r="C69" s="1083" t="s">
        <v>2048</v>
      </c>
      <c r="D69" s="1105" t="str">
        <f>IF('Expenditures 15-22'!H170&lt;&gt;'Short-Term Long-Term Debt 24'!H49,"ERROR!","OK")</f>
        <v>OK</v>
      </c>
    </row>
    <row r="70" spans="1:4" x14ac:dyDescent="0.2">
      <c r="A70" s="1079"/>
      <c r="B70" s="1101">
        <f>B66+1</f>
        <v>9</v>
      </c>
      <c r="C70" s="2424" t="s">
        <v>1797</v>
      </c>
      <c r="D70" s="2425"/>
    </row>
    <row r="71" spans="1:4" x14ac:dyDescent="0.2">
      <c r="A71" s="1079"/>
      <c r="B71" s="1101"/>
      <c r="C71" s="1083" t="s">
        <v>1421</v>
      </c>
      <c r="D71" s="1107" t="str">
        <f>IF(SUM('Acct Summary 7-8'!C27:K27) =SUM( 'Acct Summary 7-8'!C49:K49),"OK", "ERROR")</f>
        <v>OK</v>
      </c>
    </row>
    <row r="72" spans="1:4" x14ac:dyDescent="0.2">
      <c r="A72" s="1081"/>
      <c r="B72" s="1091"/>
      <c r="C72" s="1099" t="s">
        <v>1422</v>
      </c>
      <c r="D72" s="1105" t="str">
        <f>IF(SUM('Acct Summary 7-8'!C28:K28)=SUM('Acct Summary 7-8'!C50:K50),"OK","ERROR!")</f>
        <v>OK</v>
      </c>
    </row>
    <row r="73" spans="1:4" ht="24" x14ac:dyDescent="0.2">
      <c r="A73" s="1108"/>
      <c r="B73" s="1091"/>
      <c r="C73" s="1099" t="s">
        <v>1798</v>
      </c>
      <c r="D73" s="1107" t="str">
        <f>IF(SUM('Acct Summary 7-8'!C42:K42)&gt;=SUM( 'Acct Summary 7-8'!C74:K74),"OK", "ERROR")</f>
        <v>OK</v>
      </c>
    </row>
    <row r="74" spans="1:4" x14ac:dyDescent="0.2">
      <c r="A74" s="1079"/>
      <c r="B74" s="1101">
        <f>B70+1</f>
        <v>10</v>
      </c>
      <c r="C74" s="1095" t="s">
        <v>2049</v>
      </c>
      <c r="D74" s="1109"/>
    </row>
    <row r="75" spans="1:4" x14ac:dyDescent="0.2">
      <c r="A75" s="1081"/>
      <c r="B75" s="1091"/>
      <c r="C75" s="1099" t="s">
        <v>1444</v>
      </c>
      <c r="D75" s="1105" t="str">
        <f>IF(SUM('Assets-Liab 5-6'!C38:H38)&gt;=SUM('Rest Tax Levies-Tort Im 25'!G25:K25),"OK","ERROR")</f>
        <v>OK</v>
      </c>
    </row>
    <row r="76" spans="1:4" x14ac:dyDescent="0.2">
      <c r="A76" s="1081"/>
      <c r="B76" s="1091"/>
      <c r="C76" s="1099" t="s">
        <v>1490</v>
      </c>
      <c r="D76" s="1105" t="str">
        <f>IF(SUM('Assets-Liab 5-6'!C39:K39)&gt;0,"OK","ENTRY IS REQUIRED!")</f>
        <v>OK</v>
      </c>
    </row>
    <row r="77" spans="1:4" x14ac:dyDescent="0.2">
      <c r="A77" s="1081"/>
      <c r="B77" s="1110">
        <f>B74+1</f>
        <v>11</v>
      </c>
      <c r="C77" s="1155" t="s">
        <v>1445</v>
      </c>
      <c r="D77" s="1105"/>
    </row>
    <row r="78" spans="1:4" x14ac:dyDescent="0.2">
      <c r="A78" s="1081"/>
      <c r="B78" s="1091"/>
      <c r="C78" s="1099" t="s">
        <v>2050</v>
      </c>
      <c r="D78" s="1105" t="str">
        <f>IF(ISNUMBER('Acct Summary 7-8'!C9),"OK","ENTRY IS REQUIRED!")</f>
        <v>OK</v>
      </c>
    </row>
    <row r="79" spans="1:4" x14ac:dyDescent="0.2">
      <c r="A79" s="1100"/>
      <c r="B79" s="1101">
        <f>B74+1+1</f>
        <v>12</v>
      </c>
      <c r="C79" s="1111" t="s">
        <v>2015</v>
      </c>
      <c r="D79" s="1112" t="str">
        <f>IF(OR(COVER!$B$6="X",'PCTC-OEPP 27-28'!F78&gt;0),"OK","PLEASE ENTER 9 MO ADA.")</f>
        <v>OK</v>
      </c>
    </row>
    <row r="80" spans="1:4" x14ac:dyDescent="0.2">
      <c r="A80" s="1079"/>
      <c r="B80" s="1101">
        <v>13</v>
      </c>
      <c r="C80" s="1111" t="s">
        <v>2051</v>
      </c>
      <c r="D80" s="1112" t="str">
        <f>IF('Contracts Paid in CY 29'!D141&gt;0,"OK","PLEASE ENTER CONTRACTS PAID IN CURRENT YEAR.")</f>
        <v>OK</v>
      </c>
    </row>
    <row r="81" spans="1:4" x14ac:dyDescent="0.2">
      <c r="A81" s="1079"/>
      <c r="B81" s="1101">
        <v>14</v>
      </c>
      <c r="C81" s="1111" t="s">
        <v>1496</v>
      </c>
      <c r="D81" s="1104" t="str">
        <f>IF('Shared Outsourced Services 31'!B8="X","OK",IF('Shared Outsourced Services 31'!K34&gt;0,"OK","ENTRY REQUIRED!"))</f>
        <v>OK</v>
      </c>
    </row>
    <row r="82" spans="1:4" x14ac:dyDescent="0.2">
      <c r="A82" s="1100"/>
      <c r="B82" s="1101">
        <v>15</v>
      </c>
      <c r="C82" s="1111" t="s">
        <v>1495</v>
      </c>
      <c r="D82" s="111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M11" sqref="M11"/>
    </sheetView>
  </sheetViews>
  <sheetFormatPr defaultColWidth="9.140625" defaultRowHeight="12.75" x14ac:dyDescent="0.2"/>
  <cols>
    <col min="1" max="1" width="7.85546875" style="1161" customWidth="1"/>
    <col min="2" max="2" width="2.28515625" style="1157" customWidth="1"/>
    <col min="3" max="3" width="9.140625" style="1161"/>
    <col min="4" max="4" width="13" style="1161" customWidth="1"/>
    <col min="5" max="5" width="16" style="1161" customWidth="1"/>
    <col min="6" max="6" width="4.140625" style="1161" customWidth="1"/>
    <col min="7" max="7" width="3.7109375" style="1161" customWidth="1"/>
    <col min="8" max="8" width="9.7109375" style="1161" customWidth="1"/>
    <col min="9" max="9" width="10.7109375" style="1161" customWidth="1"/>
    <col min="10" max="10" width="5" style="1161" customWidth="1"/>
    <col min="11" max="11" width="6.5703125" style="1161" customWidth="1"/>
    <col min="12" max="12" width="12.85546875" style="1161" customWidth="1"/>
    <col min="13" max="13" width="2.7109375" style="1161" customWidth="1"/>
    <col min="14" max="14" width="13.140625" style="1161" customWidth="1"/>
    <col min="15" max="15" width="7.140625" style="1161" customWidth="1"/>
    <col min="16" max="16" width="7" style="1161" customWidth="1"/>
    <col min="17" max="17" width="9.7109375" style="1161" customWidth="1"/>
    <col min="18" max="19" width="9.85546875" style="1161" customWidth="1"/>
    <col min="20" max="16384" width="9.140625" style="1161"/>
  </cols>
  <sheetData>
    <row r="1" spans="1:29" x14ac:dyDescent="0.2">
      <c r="A1" s="1156"/>
      <c r="C1" s="1156"/>
      <c r="D1" s="1156"/>
      <c r="E1" s="1156"/>
      <c r="F1" s="1158"/>
      <c r="G1" s="1158"/>
      <c r="H1" s="1156"/>
      <c r="I1" s="1156"/>
      <c r="J1" s="1156"/>
      <c r="K1" s="1156"/>
      <c r="L1" s="1159"/>
      <c r="M1" s="1160"/>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65" t="s">
        <v>1252</v>
      </c>
      <c r="B3" s="2465"/>
      <c r="C3" s="2465"/>
      <c r="D3" s="2465"/>
      <c r="E3" s="2465"/>
      <c r="F3" s="2465"/>
      <c r="G3" s="2465"/>
      <c r="H3" s="2465"/>
      <c r="I3" s="2465"/>
      <c r="J3" s="2465"/>
      <c r="K3" s="2465"/>
      <c r="L3" s="2465"/>
    </row>
    <row r="4" spans="1:29" ht="13.5" customHeight="1" x14ac:dyDescent="0.2">
      <c r="A4" s="2434" t="s">
        <v>1799</v>
      </c>
      <c r="B4" s="2455"/>
      <c r="C4" s="2455"/>
      <c r="D4" s="2455"/>
      <c r="E4" s="2455"/>
      <c r="F4" s="2455"/>
      <c r="G4" s="2455"/>
      <c r="H4" s="2455"/>
      <c r="I4" s="2455"/>
      <c r="J4" s="2455"/>
      <c r="K4" s="2455"/>
      <c r="L4" s="2455"/>
    </row>
    <row r="5" spans="1:29" ht="29.85" customHeight="1" x14ac:dyDescent="0.2">
      <c r="A5" s="1162"/>
      <c r="B5" s="1163"/>
      <c r="C5" s="1162"/>
      <c r="D5" s="1162"/>
      <c r="E5" s="1162"/>
      <c r="F5" s="1162"/>
      <c r="G5" s="1162"/>
      <c r="H5" s="1162"/>
      <c r="I5" s="1162"/>
      <c r="J5" s="1162"/>
      <c r="K5" s="1162"/>
      <c r="L5" s="1162"/>
      <c r="V5" s="1164"/>
      <c r="W5" s="1164"/>
      <c r="X5" s="1164"/>
      <c r="Y5" s="1164"/>
      <c r="Z5" s="1164"/>
      <c r="AA5" s="1164"/>
      <c r="AB5" s="1164"/>
      <c r="AC5" s="1164"/>
    </row>
    <row r="6" spans="1:29" ht="13.5" customHeight="1" x14ac:dyDescent="0.2">
      <c r="A6" s="1165" t="s">
        <v>1251</v>
      </c>
      <c r="B6" s="1166"/>
      <c r="C6" s="1167"/>
      <c r="D6" s="1167"/>
      <c r="E6" s="1168" t="s">
        <v>1250</v>
      </c>
      <c r="F6" s="1169"/>
      <c r="G6" s="1170" t="s">
        <v>1249</v>
      </c>
      <c r="H6" s="1167"/>
      <c r="I6" s="1167"/>
      <c r="J6" s="1167"/>
      <c r="K6" s="1167"/>
      <c r="L6" s="1171"/>
      <c r="V6" s="1164"/>
      <c r="W6" s="1164"/>
      <c r="X6" s="1164"/>
      <c r="Y6" s="1164"/>
      <c r="Z6" s="1164"/>
      <c r="AA6" s="1164"/>
      <c r="AB6" s="1164"/>
      <c r="AC6" s="1164"/>
    </row>
    <row r="7" spans="1:29" ht="16.5" customHeight="1" x14ac:dyDescent="0.2">
      <c r="A7" s="2456" t="str">
        <f>COVER!A17</f>
        <v>Ottawa ESD 141</v>
      </c>
      <c r="B7" s="2457"/>
      <c r="C7" s="2457"/>
      <c r="D7" s="2458"/>
      <c r="E7" s="2459">
        <f>COVER!A13</f>
        <v>35050141002</v>
      </c>
      <c r="F7" s="2460"/>
      <c r="G7" s="2466" t="str">
        <f>COVER!T23</f>
        <v>060-003995</v>
      </c>
      <c r="H7" s="2467"/>
      <c r="I7" s="2467"/>
      <c r="J7" s="2467"/>
      <c r="K7" s="2467"/>
      <c r="L7" s="2468"/>
    </row>
    <row r="8" spans="1:29" ht="13.5" customHeight="1" x14ac:dyDescent="0.2">
      <c r="A8" s="1165" t="s">
        <v>1597</v>
      </c>
      <c r="B8" s="1166"/>
      <c r="C8" s="1167"/>
      <c r="D8" s="1167"/>
      <c r="E8" s="1172"/>
      <c r="F8" s="1171"/>
      <c r="G8" s="1173" t="s">
        <v>1248</v>
      </c>
      <c r="H8" s="1174"/>
      <c r="I8" s="1174"/>
      <c r="J8" s="1174"/>
      <c r="K8" s="1174"/>
      <c r="L8" s="1175"/>
    </row>
    <row r="9" spans="1:29" ht="13.5" customHeight="1" x14ac:dyDescent="0.2">
      <c r="A9" s="2469"/>
      <c r="B9" s="2470"/>
      <c r="C9" s="2470"/>
      <c r="D9" s="2470"/>
      <c r="E9" s="2470"/>
      <c r="F9" s="2471"/>
      <c r="G9" s="2440" t="str">
        <f>COVER!T13</f>
        <v>Roenfeldt &amp; Lockas, P.C.</v>
      </c>
      <c r="H9" s="2472"/>
      <c r="I9" s="2472"/>
      <c r="J9" s="2472"/>
      <c r="K9" s="2472"/>
      <c r="L9" s="2473"/>
    </row>
    <row r="10" spans="1:29" ht="13.5" customHeight="1" x14ac:dyDescent="0.2">
      <c r="A10" s="2446" t="str">
        <f>COVER!A38</f>
        <v>Cleve Threadgill</v>
      </c>
      <c r="B10" s="2447"/>
      <c r="C10" s="2447"/>
      <c r="D10" s="2447"/>
      <c r="E10" s="2447"/>
      <c r="F10" s="2448"/>
      <c r="G10" s="2440" t="str">
        <f>COVER!T17</f>
        <v>1100 Columbus Street</v>
      </c>
      <c r="H10" s="2441"/>
      <c r="I10" s="2441"/>
      <c r="J10" s="2441"/>
      <c r="K10" s="2441"/>
      <c r="L10" s="2442"/>
    </row>
    <row r="11" spans="1:29" ht="13.5" customHeight="1" x14ac:dyDescent="0.2">
      <c r="A11" s="1165" t="s">
        <v>1599</v>
      </c>
      <c r="B11" s="1166"/>
      <c r="C11" s="1167"/>
      <c r="D11" s="1172"/>
      <c r="E11" s="1167"/>
      <c r="F11" s="1171"/>
      <c r="G11" s="2440" t="str">
        <f>COVER!T19</f>
        <v>Ottawa</v>
      </c>
      <c r="H11" s="2441"/>
      <c r="I11" s="2441"/>
      <c r="J11" s="2441"/>
      <c r="K11" s="2441"/>
      <c r="L11" s="2442"/>
    </row>
    <row r="12" spans="1:29" ht="13.5" customHeight="1" x14ac:dyDescent="0.2">
      <c r="A12" s="2449" t="s">
        <v>1598</v>
      </c>
      <c r="B12" s="2450"/>
      <c r="C12" s="2450"/>
      <c r="D12" s="2450"/>
      <c r="E12" s="2450"/>
      <c r="F12" s="2451"/>
      <c r="G12" s="2443"/>
      <c r="H12" s="2444"/>
      <c r="I12" s="2444"/>
      <c r="J12" s="2444"/>
      <c r="K12" s="2444"/>
      <c r="L12" s="2445"/>
    </row>
    <row r="13" spans="1:29" ht="13.5" customHeight="1" x14ac:dyDescent="0.2">
      <c r="A13" s="2440"/>
      <c r="B13" s="2441"/>
      <c r="C13" s="2441"/>
      <c r="D13" s="2441"/>
      <c r="E13" s="2441"/>
      <c r="F13" s="2442"/>
      <c r="G13" s="2435" t="s">
        <v>1600</v>
      </c>
      <c r="H13" s="2436"/>
      <c r="I13" s="2452" t="str">
        <f>COVER!T25</f>
        <v>admin@roenfeldtlockas.com</v>
      </c>
      <c r="J13" s="2453"/>
      <c r="K13" s="2453"/>
      <c r="L13" s="2454"/>
    </row>
    <row r="14" spans="1:29" ht="13.5" customHeight="1" x14ac:dyDescent="0.2">
      <c r="A14" s="2440" t="str">
        <f>COVER!A19</f>
        <v>320 West Main Street</v>
      </c>
      <c r="B14" s="2441"/>
      <c r="C14" s="2441"/>
      <c r="D14" s="2441"/>
      <c r="E14" s="2441"/>
      <c r="F14" s="2442"/>
      <c r="G14" s="1176" t="s">
        <v>1247</v>
      </c>
      <c r="H14" s="1174"/>
      <c r="I14" s="1174"/>
      <c r="J14" s="1174"/>
      <c r="K14" s="1174"/>
      <c r="L14" s="1175"/>
    </row>
    <row r="15" spans="1:29" ht="13.5" customHeight="1" x14ac:dyDescent="0.2">
      <c r="A15" s="2440" t="str">
        <f>COVER!A21</f>
        <v>Ottawa</v>
      </c>
      <c r="B15" s="2441"/>
      <c r="C15" s="2441"/>
      <c r="D15" s="2441"/>
      <c r="E15" s="2441"/>
      <c r="F15" s="2442"/>
      <c r="G15" s="2437" t="str">
        <f>COVER!T15</f>
        <v>Duane K. Lockas, C.P.A.</v>
      </c>
      <c r="H15" s="2438"/>
      <c r="I15" s="2438"/>
      <c r="J15" s="2438"/>
      <c r="K15" s="2438"/>
      <c r="L15" s="2439"/>
    </row>
    <row r="16" spans="1:29" ht="12.2" customHeight="1" x14ac:dyDescent="0.2">
      <c r="A16" s="2462">
        <f>COVER!A25</f>
        <v>61350</v>
      </c>
      <c r="B16" s="2463"/>
      <c r="C16" s="2463"/>
      <c r="D16" s="2463"/>
      <c r="E16" s="2463"/>
      <c r="F16" s="2464"/>
      <c r="G16" s="2474"/>
      <c r="H16" s="2475"/>
      <c r="I16" s="2475"/>
      <c r="J16" s="2475"/>
      <c r="K16" s="2475"/>
      <c r="L16" s="2476"/>
    </row>
    <row r="17" spans="1:13" ht="12.2" customHeight="1" x14ac:dyDescent="0.2">
      <c r="A17" s="2477"/>
      <c r="B17" s="2463"/>
      <c r="C17" s="2463"/>
      <c r="D17" s="2463"/>
      <c r="E17" s="2463"/>
      <c r="F17" s="2464"/>
      <c r="G17" s="1176" t="s">
        <v>1246</v>
      </c>
      <c r="H17" s="1174"/>
      <c r="I17" s="1174"/>
      <c r="J17" s="1174"/>
      <c r="K17" s="1178" t="s">
        <v>1245</v>
      </c>
      <c r="L17" s="1171"/>
      <c r="M17" s="1164"/>
    </row>
    <row r="18" spans="1:13" ht="12.2" customHeight="1" x14ac:dyDescent="0.2">
      <c r="A18" s="2446"/>
      <c r="B18" s="2447"/>
      <c r="C18" s="2447"/>
      <c r="D18" s="2447"/>
      <c r="E18" s="2447"/>
      <c r="F18" s="2448"/>
      <c r="G18" s="2456" t="str">
        <f>COVER!T21</f>
        <v>815-433-0464</v>
      </c>
      <c r="H18" s="2457"/>
      <c r="I18" s="2457"/>
      <c r="J18" s="2457"/>
      <c r="K18" s="2456" t="str">
        <f>COVER!X21</f>
        <v>815-433-6464</v>
      </c>
      <c r="L18" s="2461"/>
    </row>
    <row r="19" spans="1:13" ht="12.2" customHeight="1" x14ac:dyDescent="0.2">
      <c r="A19" s="1179"/>
      <c r="C19" s="1179"/>
      <c r="D19" s="1179"/>
      <c r="E19" s="1179"/>
      <c r="F19" s="1179"/>
      <c r="G19" s="1179"/>
      <c r="H19" s="1179"/>
      <c r="I19" s="1179"/>
      <c r="J19" s="1179"/>
      <c r="K19" s="1179"/>
      <c r="L19" s="1179"/>
    </row>
    <row r="20" spans="1:13" ht="12.2" customHeight="1" x14ac:dyDescent="0.2">
      <c r="A20" s="1179"/>
      <c r="C20" s="1179"/>
      <c r="D20" s="1179"/>
      <c r="E20" s="1179"/>
      <c r="F20" s="1179"/>
      <c r="G20" s="1179"/>
      <c r="H20" s="1179"/>
      <c r="I20" s="1179"/>
      <c r="J20" s="1179" t="s">
        <v>1231</v>
      </c>
      <c r="K20" s="1157" t="s">
        <v>1231</v>
      </c>
    </row>
    <row r="21" spans="1:13" ht="12.2" customHeight="1" x14ac:dyDescent="0.2">
      <c r="A21" s="1180" t="s">
        <v>1800</v>
      </c>
    </row>
    <row r="22" spans="1:13" ht="12.2" customHeight="1" x14ac:dyDescent="0.2">
      <c r="A22" s="1181"/>
    </row>
    <row r="23" spans="1:13" ht="12.2" customHeight="1" x14ac:dyDescent="0.2">
      <c r="A23" s="1181"/>
      <c r="B23" s="1182" t="s">
        <v>2084</v>
      </c>
      <c r="C23" s="1183" t="s">
        <v>1244</v>
      </c>
    </row>
    <row r="24" spans="1:13" ht="10.15" customHeight="1" x14ac:dyDescent="0.2">
      <c r="A24" s="1181"/>
      <c r="C24" s="1183" t="s">
        <v>1243</v>
      </c>
    </row>
    <row r="25" spans="1:13" ht="9" customHeight="1" x14ac:dyDescent="0.2">
      <c r="B25" s="1184" t="s">
        <v>1231</v>
      </c>
      <c r="C25" s="1185"/>
    </row>
    <row r="26" spans="1:13" s="1179" customFormat="1" ht="12.2" customHeight="1" x14ac:dyDescent="0.2">
      <c r="B26" s="1182" t="s">
        <v>2084</v>
      </c>
      <c r="C26" s="1183" t="s">
        <v>1801</v>
      </c>
    </row>
    <row r="27" spans="1:13" s="1179" customFormat="1" ht="9" customHeight="1" x14ac:dyDescent="0.2">
      <c r="B27" s="1184"/>
      <c r="C27" s="1183"/>
    </row>
    <row r="28" spans="1:13" s="1179" customFormat="1" ht="12.2" customHeight="1" x14ac:dyDescent="0.2">
      <c r="A28" s="1186"/>
      <c r="B28" s="1182" t="s">
        <v>2084</v>
      </c>
      <c r="C28" s="1183" t="s">
        <v>1802</v>
      </c>
    </row>
    <row r="29" spans="1:13" s="1179" customFormat="1" ht="9" customHeight="1" x14ac:dyDescent="0.2">
      <c r="A29" s="1186"/>
      <c r="B29" s="1184"/>
      <c r="C29" s="1183"/>
    </row>
    <row r="30" spans="1:13" s="1179" customFormat="1" ht="12.2" customHeight="1" x14ac:dyDescent="0.2">
      <c r="B30" s="1182" t="s">
        <v>2084</v>
      </c>
      <c r="C30" s="1183" t="s">
        <v>1643</v>
      </c>
      <c r="D30" s="1177"/>
      <c r="E30" s="1177"/>
    </row>
    <row r="31" spans="1:13" s="1179" customFormat="1" ht="9" customHeight="1" x14ac:dyDescent="0.2">
      <c r="B31" s="1184"/>
      <c r="C31" s="1183"/>
      <c r="D31" s="1177"/>
      <c r="E31" s="1177"/>
    </row>
    <row r="32" spans="1:13" s="1179" customFormat="1" ht="12.2" customHeight="1" x14ac:dyDescent="0.2">
      <c r="B32" s="1182" t="s">
        <v>2084</v>
      </c>
      <c r="C32" s="1183" t="s">
        <v>1644</v>
      </c>
      <c r="D32" s="1177"/>
      <c r="E32" s="1177"/>
    </row>
    <row r="33" spans="1:8" s="1179" customFormat="1" ht="10.9" customHeight="1" x14ac:dyDescent="0.2">
      <c r="B33" s="1184"/>
      <c r="C33" s="1187" t="s">
        <v>1803</v>
      </c>
      <c r="D33" s="1177"/>
      <c r="E33" s="1177"/>
    </row>
    <row r="34" spans="1:8" ht="9" customHeight="1" x14ac:dyDescent="0.2">
      <c r="B34" s="1184"/>
      <c r="C34" s="1187"/>
    </row>
    <row r="35" spans="1:8" s="1179" customFormat="1" ht="13.5" customHeight="1" x14ac:dyDescent="0.2">
      <c r="B35" s="1182" t="s">
        <v>2084</v>
      </c>
      <c r="C35" s="1183" t="s">
        <v>1645</v>
      </c>
    </row>
    <row r="36" spans="1:8" s="1179" customFormat="1" ht="10.9" customHeight="1" x14ac:dyDescent="0.2">
      <c r="B36" s="1184"/>
      <c r="C36" s="1187" t="s">
        <v>1646</v>
      </c>
    </row>
    <row r="37" spans="1:8" ht="9" customHeight="1" x14ac:dyDescent="0.2">
      <c r="B37" s="1184"/>
      <c r="C37" s="1187"/>
    </row>
    <row r="38" spans="1:8" s="1179" customFormat="1" ht="12.2" customHeight="1" x14ac:dyDescent="0.2">
      <c r="B38" s="1182" t="s">
        <v>2084</v>
      </c>
      <c r="C38" s="1183" t="s">
        <v>1647</v>
      </c>
    </row>
    <row r="39" spans="1:8" ht="9" customHeight="1" x14ac:dyDescent="0.2">
      <c r="B39" s="1184"/>
      <c r="C39" s="1187"/>
    </row>
    <row r="40" spans="1:8" s="1179" customFormat="1" ht="13.5" customHeight="1" x14ac:dyDescent="0.2">
      <c r="B40" s="1182" t="s">
        <v>2084</v>
      </c>
      <c r="C40" s="1183" t="s">
        <v>1648</v>
      </c>
    </row>
    <row r="41" spans="1:8" ht="9" customHeight="1" x14ac:dyDescent="0.2">
      <c r="A41" s="1188"/>
      <c r="B41" s="1184"/>
      <c r="C41" s="1187"/>
    </row>
    <row r="42" spans="1:8" s="1179" customFormat="1" ht="13.5" customHeight="1" x14ac:dyDescent="0.2">
      <c r="B42" s="1182" t="s">
        <v>2084</v>
      </c>
      <c r="C42" s="1183" t="s">
        <v>1943</v>
      </c>
      <c r="D42" s="1177"/>
      <c r="E42" s="1177"/>
      <c r="F42" s="1177"/>
      <c r="G42" s="1177"/>
      <c r="H42" s="1177"/>
    </row>
    <row r="43" spans="1:8" s="1179" customFormat="1" ht="12.95" customHeight="1" x14ac:dyDescent="0.2">
      <c r="B43" s="1184"/>
      <c r="C43" s="1174"/>
      <c r="D43" s="1177"/>
      <c r="E43" s="1177"/>
      <c r="F43" s="1177"/>
      <c r="G43" s="1177"/>
      <c r="H43" s="1177"/>
    </row>
    <row r="44" spans="1:8" s="1179" customFormat="1" ht="13.5" customHeight="1" x14ac:dyDescent="0.2">
      <c r="A44" s="1180" t="s">
        <v>1242</v>
      </c>
      <c r="B44" s="1184"/>
      <c r="D44" s="1177"/>
      <c r="E44" s="1177"/>
      <c r="F44" s="1177"/>
      <c r="G44" s="1177"/>
      <c r="H44" s="1177"/>
    </row>
    <row r="45" spans="1:8" ht="12" customHeight="1" x14ac:dyDescent="0.2">
      <c r="B45" s="1184"/>
      <c r="D45" s="1189"/>
      <c r="E45" s="1189"/>
      <c r="F45" s="1189"/>
      <c r="G45" s="1189"/>
      <c r="H45" s="1189"/>
    </row>
    <row r="46" spans="1:8" s="1179" customFormat="1" ht="12.2" customHeight="1" x14ac:dyDescent="0.2">
      <c r="B46" s="1182"/>
      <c r="C46" s="1190" t="s">
        <v>1649</v>
      </c>
      <c r="D46" s="1177"/>
      <c r="E46" s="1177"/>
      <c r="F46" s="1177"/>
      <c r="G46" s="1177"/>
      <c r="H46" s="1177"/>
    </row>
    <row r="47" spans="1:8" ht="9" customHeight="1" x14ac:dyDescent="0.2"/>
    <row r="48" spans="1:8" ht="12.2" customHeight="1" x14ac:dyDescent="0.2">
      <c r="B48" s="1191"/>
      <c r="C48" s="1192" t="s">
        <v>1650</v>
      </c>
    </row>
    <row r="49" spans="1:12" ht="9" customHeight="1" x14ac:dyDescent="0.2"/>
    <row r="50" spans="1:12" ht="6" customHeight="1" x14ac:dyDescent="0.2">
      <c r="C50" s="1192"/>
    </row>
    <row r="51" spans="1:12" ht="12.2" customHeight="1" x14ac:dyDescent="0.2">
      <c r="A51" s="1194" t="s">
        <v>1804</v>
      </c>
    </row>
    <row r="52" spans="1:12" ht="12.2" customHeight="1" x14ac:dyDescent="0.2">
      <c r="A52" s="1189"/>
    </row>
    <row r="53" spans="1:12" ht="12.2" customHeight="1" x14ac:dyDescent="0.2"/>
    <row r="54" spans="1:12" ht="12.2" customHeight="1" x14ac:dyDescent="0.2"/>
    <row r="55" spans="1:12" ht="12.2" customHeight="1" x14ac:dyDescent="0.2"/>
    <row r="56" spans="1:12" ht="12.2" customHeight="1" x14ac:dyDescent="0.2">
      <c r="A56" s="1193"/>
    </row>
    <row r="59" spans="1:12" ht="12.75" customHeight="1" x14ac:dyDescent="0.2"/>
    <row r="60" spans="1:12" ht="36" customHeight="1" x14ac:dyDescent="0.2">
      <c r="L60" s="115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8" zoomScale="125" zoomScaleNormal="125" workbookViewId="0">
      <selection activeCell="M11" sqref="M11"/>
    </sheetView>
  </sheetViews>
  <sheetFormatPr defaultColWidth="10.7109375" defaultRowHeight="11.25" x14ac:dyDescent="0.2"/>
  <cols>
    <col min="1" max="1" width="1.7109375" style="1198" customWidth="1"/>
    <col min="2" max="2" width="2.7109375" style="1202" customWidth="1"/>
    <col min="3" max="3" width="3.28515625" style="1212" customWidth="1"/>
    <col min="4" max="4" width="97.7109375" style="1202" customWidth="1"/>
    <col min="5" max="5" width="4.140625" style="1202" customWidth="1"/>
    <col min="6" max="16384" width="10.7109375" style="1202"/>
  </cols>
  <sheetData>
    <row r="1" spans="1:11" s="1195" customFormat="1" ht="12.75" x14ac:dyDescent="0.2">
      <c r="A1" s="2478" t="str">
        <f>'Single Audit Cover'!A7</f>
        <v>Ottawa ESD 141</v>
      </c>
      <c r="B1" s="2455"/>
      <c r="C1" s="2455"/>
      <c r="D1" s="2455"/>
    </row>
    <row r="2" spans="1:11" s="1195" customFormat="1" ht="12.75" x14ac:dyDescent="0.2">
      <c r="A2" s="2479">
        <f>'Single Audit Cover'!E7</f>
        <v>35050141002</v>
      </c>
      <c r="B2" s="2480"/>
      <c r="C2" s="2480"/>
      <c r="D2" s="2480"/>
    </row>
    <row r="3" spans="1:11" s="1195" customFormat="1" ht="12.75" x14ac:dyDescent="0.2">
      <c r="A3" s="2478" t="s">
        <v>1593</v>
      </c>
      <c r="B3" s="2455"/>
      <c r="C3" s="2455"/>
      <c r="D3" s="2455"/>
    </row>
    <row r="4" spans="1:11" s="1195" customFormat="1" ht="4.5" customHeight="1" x14ac:dyDescent="0.2">
      <c r="A4" s="1196"/>
      <c r="B4" s="1197"/>
      <c r="C4" s="1197"/>
      <c r="D4" s="1197"/>
    </row>
    <row r="5" spans="1:11" x14ac:dyDescent="0.2">
      <c r="B5" s="1199" t="s">
        <v>1594</v>
      </c>
      <c r="C5" s="1200"/>
      <c r="D5" s="1201"/>
    </row>
    <row r="6" spans="1:11" x14ac:dyDescent="0.2">
      <c r="B6" s="1199" t="s">
        <v>1287</v>
      </c>
      <c r="C6" s="1200"/>
      <c r="D6" s="1201"/>
    </row>
    <row r="7" spans="1:11" x14ac:dyDescent="0.2">
      <c r="B7" s="1199" t="s">
        <v>1595</v>
      </c>
      <c r="C7" s="1200"/>
      <c r="D7" s="1201"/>
    </row>
    <row r="8" spans="1:11" ht="4.5" customHeight="1" x14ac:dyDescent="0.2">
      <c r="B8" s="1199"/>
      <c r="C8" s="1200"/>
      <c r="D8" s="1201"/>
    </row>
    <row r="9" spans="1:11" x14ac:dyDescent="0.2">
      <c r="B9" s="1203" t="s">
        <v>1286</v>
      </c>
      <c r="C9" s="1204"/>
      <c r="D9" s="1201"/>
    </row>
    <row r="10" spans="1:11" ht="4.5" customHeight="1" x14ac:dyDescent="0.2">
      <c r="B10" s="1203"/>
      <c r="C10" s="1204"/>
      <c r="D10" s="1201"/>
    </row>
    <row r="11" spans="1:11" x14ac:dyDescent="0.2">
      <c r="B11" s="1205"/>
      <c r="C11" s="1206">
        <v>1</v>
      </c>
      <c r="D11" s="1207" t="s">
        <v>1805</v>
      </c>
      <c r="E11" s="1208"/>
      <c r="F11" s="1208"/>
      <c r="G11" s="1208"/>
      <c r="H11" s="1208"/>
      <c r="I11" s="1208"/>
      <c r="J11" s="1208"/>
      <c r="K11" s="1208"/>
    </row>
    <row r="12" spans="1:11" ht="3" customHeight="1" x14ac:dyDescent="0.2">
      <c r="B12" s="1209"/>
      <c r="C12" s="1206"/>
      <c r="D12" s="1207"/>
      <c r="E12" s="1208"/>
      <c r="F12" s="1208"/>
      <c r="G12" s="1208"/>
      <c r="H12" s="1208"/>
      <c r="I12" s="1208"/>
      <c r="J12" s="1208"/>
      <c r="K12" s="1208"/>
    </row>
    <row r="13" spans="1:11" x14ac:dyDescent="0.2">
      <c r="B13" s="1205"/>
      <c r="C13" s="1206">
        <f>C11+1</f>
        <v>2</v>
      </c>
      <c r="D13" s="1210" t="s">
        <v>1806</v>
      </c>
      <c r="E13" s="1208"/>
      <c r="F13" s="1208"/>
      <c r="G13" s="1208"/>
      <c r="H13" s="1208"/>
      <c r="I13" s="1208"/>
      <c r="J13" s="1208"/>
      <c r="K13" s="1208"/>
    </row>
    <row r="14" spans="1:11" ht="3" customHeight="1" x14ac:dyDescent="0.2">
      <c r="B14" s="1209"/>
      <c r="C14" s="1206"/>
      <c r="D14" s="1210"/>
      <c r="E14" s="1208"/>
      <c r="F14" s="1208"/>
      <c r="G14" s="1208"/>
      <c r="H14" s="1208"/>
      <c r="I14" s="1208"/>
      <c r="J14" s="1208"/>
      <c r="K14" s="1208"/>
    </row>
    <row r="15" spans="1:11" x14ac:dyDescent="0.2">
      <c r="B15" s="1205"/>
      <c r="C15" s="1206">
        <f>C13+1</f>
        <v>3</v>
      </c>
      <c r="D15" s="1207" t="s">
        <v>1807</v>
      </c>
      <c r="E15" s="1208"/>
      <c r="F15" s="1208"/>
      <c r="G15" s="1208"/>
      <c r="H15" s="1208"/>
      <c r="I15" s="1208"/>
      <c r="J15" s="1208"/>
      <c r="K15" s="1208"/>
    </row>
    <row r="16" spans="1:11" ht="10.5" customHeight="1" x14ac:dyDescent="0.2">
      <c r="B16" s="1211"/>
      <c r="D16" s="1210" t="s">
        <v>1285</v>
      </c>
      <c r="E16" s="1208"/>
      <c r="F16" s="1208"/>
      <c r="G16" s="1208"/>
      <c r="H16" s="1208"/>
      <c r="I16" s="1208"/>
      <c r="J16" s="1208"/>
      <c r="K16" s="1208"/>
    </row>
    <row r="17" spans="1:11" ht="3" customHeight="1" x14ac:dyDescent="0.2">
      <c r="B17" s="1211"/>
      <c r="D17" s="1210"/>
      <c r="E17" s="1208"/>
      <c r="F17" s="1208"/>
      <c r="G17" s="1208"/>
      <c r="H17" s="1208"/>
      <c r="I17" s="1208"/>
      <c r="J17" s="1208"/>
      <c r="K17" s="1208"/>
    </row>
    <row r="18" spans="1:11" x14ac:dyDescent="0.2">
      <c r="B18" s="1205"/>
      <c r="C18" s="1206">
        <f>C15+1</f>
        <v>4</v>
      </c>
      <c r="D18" s="1213" t="s">
        <v>1808</v>
      </c>
      <c r="E18" s="1208"/>
      <c r="F18" s="1208"/>
      <c r="G18" s="1208"/>
      <c r="H18" s="1208"/>
      <c r="I18" s="1208"/>
      <c r="J18" s="1208"/>
      <c r="K18" s="1208"/>
    </row>
    <row r="19" spans="1:11" ht="9.75" customHeight="1" x14ac:dyDescent="0.2">
      <c r="A19" s="1202"/>
      <c r="B19" s="1211"/>
      <c r="D19" s="1210" t="s">
        <v>1284</v>
      </c>
      <c r="E19" s="1208"/>
      <c r="F19" s="1208"/>
      <c r="G19" s="1208"/>
      <c r="H19" s="1208"/>
      <c r="I19" s="1208"/>
      <c r="J19" s="1208"/>
      <c r="K19" s="1208"/>
    </row>
    <row r="20" spans="1:11" ht="3" customHeight="1" x14ac:dyDescent="0.2">
      <c r="A20" s="1202"/>
      <c r="B20" s="1211"/>
      <c r="D20" s="1210"/>
      <c r="E20" s="1208"/>
      <c r="F20" s="1208"/>
      <c r="G20" s="1208"/>
      <c r="H20" s="1208"/>
      <c r="I20" s="1208"/>
      <c r="J20" s="1208"/>
      <c r="K20" s="1208"/>
    </row>
    <row r="21" spans="1:11" x14ac:dyDescent="0.2">
      <c r="A21" s="1202"/>
      <c r="B21" s="1205"/>
      <c r="C21" s="1206">
        <f>C18+1</f>
        <v>5</v>
      </c>
      <c r="D21" s="1210" t="s">
        <v>1283</v>
      </c>
      <c r="E21" s="1208"/>
      <c r="F21" s="1208"/>
      <c r="G21" s="1208"/>
      <c r="H21" s="1208"/>
      <c r="I21" s="1208"/>
      <c r="J21" s="1208"/>
      <c r="K21" s="1208"/>
    </row>
    <row r="22" spans="1:11" ht="10.5" customHeight="1" x14ac:dyDescent="0.2">
      <c r="A22" s="1202"/>
      <c r="B22" s="1211"/>
      <c r="D22" s="1210" t="s">
        <v>1282</v>
      </c>
      <c r="E22" s="1208"/>
      <c r="F22" s="1208"/>
      <c r="G22" s="1208"/>
      <c r="H22" s="1208"/>
      <c r="I22" s="1208"/>
      <c r="J22" s="1208"/>
      <c r="K22" s="1208"/>
    </row>
    <row r="23" spans="1:11" ht="3" customHeight="1" x14ac:dyDescent="0.2">
      <c r="A23" s="1202"/>
      <c r="B23" s="1211"/>
      <c r="D23" s="1210"/>
      <c r="E23" s="1208"/>
      <c r="F23" s="1208"/>
      <c r="G23" s="1208"/>
      <c r="H23" s="1208"/>
      <c r="I23" s="1208"/>
      <c r="J23" s="1208"/>
      <c r="K23" s="1208"/>
    </row>
    <row r="24" spans="1:11" x14ac:dyDescent="0.2">
      <c r="A24" s="1202"/>
      <c r="B24" s="1205"/>
      <c r="C24" s="1206">
        <f>C21+1</f>
        <v>6</v>
      </c>
      <c r="D24" s="1214" t="s">
        <v>1829</v>
      </c>
      <c r="E24" s="1208"/>
      <c r="F24" s="1208"/>
      <c r="G24" s="1208"/>
      <c r="H24" s="1208"/>
      <c r="I24" s="1208"/>
      <c r="J24" s="1208"/>
      <c r="K24" s="1208"/>
    </row>
    <row r="25" spans="1:11" x14ac:dyDescent="0.2">
      <c r="A25" s="1202"/>
      <c r="B25" s="1211"/>
      <c r="D25" s="1210" t="s">
        <v>1809</v>
      </c>
      <c r="E25" s="1208"/>
      <c r="F25" s="1208"/>
      <c r="G25" s="1208"/>
      <c r="H25" s="1208"/>
      <c r="I25" s="1208"/>
      <c r="J25" s="1208"/>
      <c r="K25" s="1208"/>
    </row>
    <row r="26" spans="1:11" x14ac:dyDescent="0.2">
      <c r="A26" s="1202"/>
      <c r="B26" s="1211"/>
      <c r="D26" s="1215" t="s">
        <v>1810</v>
      </c>
      <c r="E26" s="1208"/>
      <c r="F26" s="1208"/>
      <c r="G26" s="1208"/>
      <c r="H26" s="1208"/>
      <c r="I26" s="1208"/>
      <c r="J26" s="1208"/>
      <c r="K26" s="1208"/>
    </row>
    <row r="27" spans="1:11" ht="3" customHeight="1" x14ac:dyDescent="0.2">
      <c r="A27" s="1202"/>
      <c r="B27" s="1211"/>
      <c r="D27" s="1215"/>
      <c r="E27" s="1208"/>
      <c r="F27" s="1208"/>
      <c r="G27" s="1208"/>
      <c r="H27" s="1208"/>
      <c r="I27" s="1208"/>
      <c r="J27" s="1208"/>
      <c r="K27" s="1208"/>
    </row>
    <row r="28" spans="1:11" x14ac:dyDescent="0.2">
      <c r="A28" s="1202"/>
      <c r="B28" s="1205"/>
      <c r="C28" s="1212">
        <f>C24+1</f>
        <v>7</v>
      </c>
      <c r="D28" s="1215" t="s">
        <v>1651</v>
      </c>
      <c r="E28" s="1208"/>
      <c r="F28" s="1208"/>
      <c r="G28" s="1208"/>
      <c r="H28" s="1208"/>
      <c r="I28" s="1208"/>
      <c r="J28" s="1208"/>
      <c r="K28" s="1208"/>
    </row>
    <row r="29" spans="1:11" ht="10.5" customHeight="1" x14ac:dyDescent="0.2">
      <c r="A29" s="1202"/>
      <c r="D29" s="1216" t="s">
        <v>1652</v>
      </c>
    </row>
    <row r="30" spans="1:11" ht="6" customHeight="1" x14ac:dyDescent="0.2">
      <c r="A30" s="1202"/>
      <c r="D30" s="1201"/>
    </row>
    <row r="31" spans="1:11" x14ac:dyDescent="0.2">
      <c r="A31" s="1202"/>
      <c r="B31" s="1203" t="s">
        <v>1281</v>
      </c>
      <c r="C31" s="1204"/>
      <c r="D31" s="1201"/>
    </row>
    <row r="32" spans="1:11" ht="4.5" customHeight="1" x14ac:dyDescent="0.2">
      <c r="A32" s="1202"/>
      <c r="B32" s="1203"/>
      <c r="C32" s="1204"/>
      <c r="D32" s="1201"/>
    </row>
    <row r="33" spans="1:5" x14ac:dyDescent="0.2">
      <c r="A33" s="1202"/>
      <c r="B33" s="1205"/>
      <c r="C33" s="1206">
        <v>8</v>
      </c>
      <c r="D33" s="1217" t="s">
        <v>1280</v>
      </c>
    </row>
    <row r="34" spans="1:5" ht="10.5" customHeight="1" x14ac:dyDescent="0.2">
      <c r="A34" s="1202"/>
      <c r="B34" s="1218"/>
      <c r="C34" s="1206"/>
      <c r="D34" s="1217" t="s">
        <v>1653</v>
      </c>
    </row>
    <row r="35" spans="1:5" ht="3" customHeight="1" x14ac:dyDescent="0.2">
      <c r="A35" s="1202"/>
      <c r="B35" s="1211"/>
      <c r="D35" s="1201"/>
    </row>
    <row r="36" spans="1:5" x14ac:dyDescent="0.2">
      <c r="A36" s="1202"/>
      <c r="B36" s="1205"/>
      <c r="C36" s="1206">
        <f>C33+1</f>
        <v>9</v>
      </c>
      <c r="D36" s="1217" t="s">
        <v>1279</v>
      </c>
    </row>
    <row r="37" spans="1:5" ht="10.5" customHeight="1" x14ac:dyDescent="0.2">
      <c r="A37" s="1202"/>
      <c r="B37" s="1211"/>
      <c r="D37" s="1217" t="s">
        <v>1653</v>
      </c>
    </row>
    <row r="38" spans="1:5" ht="3" customHeight="1" x14ac:dyDescent="0.2">
      <c r="A38" s="1202"/>
      <c r="B38" s="1219"/>
      <c r="C38" s="1220"/>
      <c r="D38" s="1201"/>
    </row>
    <row r="39" spans="1:5" x14ac:dyDescent="0.2">
      <c r="A39" s="1202"/>
      <c r="B39" s="1221"/>
      <c r="C39" s="1212">
        <f>C36+1</f>
        <v>10</v>
      </c>
      <c r="D39" s="1201" t="s">
        <v>1278</v>
      </c>
    </row>
    <row r="40" spans="1:5" ht="10.5" customHeight="1" x14ac:dyDescent="0.2">
      <c r="A40" s="1202"/>
      <c r="B40" s="1222"/>
      <c r="C40" s="1220"/>
      <c r="D40" s="1201" t="s">
        <v>1654</v>
      </c>
    </row>
    <row r="41" spans="1:5" ht="3" customHeight="1" x14ac:dyDescent="0.2">
      <c r="A41" s="1202"/>
      <c r="B41" s="1219"/>
      <c r="C41" s="1220"/>
      <c r="D41" s="1201"/>
    </row>
    <row r="42" spans="1:5" ht="10.5" customHeight="1" x14ac:dyDescent="0.2">
      <c r="A42" s="1202"/>
      <c r="B42" s="1221"/>
      <c r="C42" s="1212">
        <v>11</v>
      </c>
      <c r="D42" s="1223" t="s">
        <v>1655</v>
      </c>
      <c r="E42" s="312"/>
    </row>
    <row r="43" spans="1:5" ht="3" customHeight="1" x14ac:dyDescent="0.2">
      <c r="A43" s="1202"/>
      <c r="B43" s="1219"/>
      <c r="C43" s="1220"/>
      <c r="D43" s="1201"/>
    </row>
    <row r="44" spans="1:5" x14ac:dyDescent="0.2">
      <c r="A44" s="1202"/>
      <c r="B44" s="1205"/>
      <c r="C44" s="1206">
        <f>C42+1</f>
        <v>12</v>
      </c>
      <c r="D44" s="1217" t="s">
        <v>1277</v>
      </c>
    </row>
    <row r="45" spans="1:5" ht="10.5" customHeight="1" x14ac:dyDescent="0.2">
      <c r="A45" s="1202"/>
      <c r="B45" s="1218"/>
      <c r="C45" s="1206"/>
      <c r="D45" s="1217" t="s">
        <v>1276</v>
      </c>
    </row>
    <row r="46" spans="1:5" ht="10.5" customHeight="1" x14ac:dyDescent="0.2">
      <c r="A46" s="1202"/>
      <c r="B46" s="1219"/>
      <c r="C46" s="1220"/>
      <c r="D46" s="1217" t="s">
        <v>1275</v>
      </c>
    </row>
    <row r="47" spans="1:5" ht="3" customHeight="1" x14ac:dyDescent="0.2">
      <c r="A47" s="1202"/>
      <c r="B47" s="1219"/>
      <c r="C47" s="1220"/>
      <c r="D47" s="1217"/>
    </row>
    <row r="48" spans="1:5" x14ac:dyDescent="0.2">
      <c r="A48" s="1202"/>
      <c r="B48" s="1205"/>
      <c r="C48" s="1206">
        <f>C44+1</f>
        <v>13</v>
      </c>
      <c r="D48" s="1217" t="s">
        <v>1656</v>
      </c>
    </row>
    <row r="49" spans="1:4" ht="3" customHeight="1" x14ac:dyDescent="0.2">
      <c r="A49" s="1202"/>
      <c r="B49" s="1209"/>
      <c r="C49" s="1206"/>
      <c r="D49" s="1217"/>
    </row>
    <row r="50" spans="1:4" x14ac:dyDescent="0.2">
      <c r="A50" s="1202"/>
      <c r="B50" s="1205"/>
      <c r="C50" s="1206">
        <f>C48+1</f>
        <v>14</v>
      </c>
      <c r="D50" s="1217" t="s">
        <v>1274</v>
      </c>
    </row>
    <row r="51" spans="1:4" ht="3" customHeight="1" x14ac:dyDescent="0.2">
      <c r="A51" s="1202"/>
      <c r="B51" s="1209"/>
      <c r="C51" s="1206"/>
      <c r="D51" s="1217"/>
    </row>
    <row r="52" spans="1:4" x14ac:dyDescent="0.2">
      <c r="A52" s="1202"/>
      <c r="B52" s="1205"/>
      <c r="C52" s="1206">
        <f>C50+1</f>
        <v>15</v>
      </c>
      <c r="D52" s="1217" t="s">
        <v>1273</v>
      </c>
    </row>
    <row r="53" spans="1:4" ht="3" customHeight="1" x14ac:dyDescent="0.2">
      <c r="A53" s="1202"/>
      <c r="B53" s="1209"/>
      <c r="C53" s="1206"/>
      <c r="D53" s="1217"/>
    </row>
    <row r="54" spans="1:4" x14ac:dyDescent="0.2">
      <c r="A54" s="1202"/>
      <c r="B54" s="1205"/>
      <c r="C54" s="1206">
        <f>C52+1</f>
        <v>16</v>
      </c>
      <c r="D54" s="1217" t="s">
        <v>1272</v>
      </c>
    </row>
    <row r="55" spans="1:4" ht="3" customHeight="1" x14ac:dyDescent="0.2">
      <c r="A55" s="1202"/>
      <c r="B55" s="1209"/>
      <c r="C55" s="1206"/>
      <c r="D55" s="1217"/>
    </row>
    <row r="56" spans="1:4" x14ac:dyDescent="0.2">
      <c r="A56" s="1202"/>
      <c r="B56" s="1205"/>
      <c r="C56" s="1206">
        <f>C54+1</f>
        <v>17</v>
      </c>
      <c r="D56" s="1201" t="s">
        <v>1811</v>
      </c>
    </row>
    <row r="57" spans="1:4" ht="10.5" customHeight="1" x14ac:dyDescent="0.2">
      <c r="A57" s="1202"/>
      <c r="D57" s="1217" t="s">
        <v>1812</v>
      </c>
    </row>
    <row r="58" spans="1:4" x14ac:dyDescent="0.2">
      <c r="A58" s="1202"/>
      <c r="C58" s="1224"/>
      <c r="D58" s="1217" t="s">
        <v>1813</v>
      </c>
    </row>
    <row r="59" spans="1:4" ht="10.5" customHeight="1" x14ac:dyDescent="0.2">
      <c r="A59" s="1202"/>
      <c r="D59" s="1201" t="s">
        <v>1271</v>
      </c>
    </row>
    <row r="60" spans="1:4" ht="10.5" customHeight="1" x14ac:dyDescent="0.2">
      <c r="A60" s="1202"/>
      <c r="D60" s="1225" t="s">
        <v>1681</v>
      </c>
    </row>
    <row r="61" spans="1:4" ht="10.5" customHeight="1" x14ac:dyDescent="0.2">
      <c r="A61" s="1202"/>
      <c r="C61" s="1224"/>
      <c r="D61" s="1217" t="s">
        <v>1814</v>
      </c>
    </row>
    <row r="62" spans="1:4" ht="10.5" customHeight="1" x14ac:dyDescent="0.2">
      <c r="A62" s="1202"/>
      <c r="D62" s="1226" t="s">
        <v>1270</v>
      </c>
    </row>
    <row r="63" spans="1:4" ht="10.5" customHeight="1" x14ac:dyDescent="0.2">
      <c r="A63" s="1202"/>
      <c r="D63" s="1201" t="s">
        <v>1657</v>
      </c>
    </row>
    <row r="64" spans="1:4" ht="10.5" customHeight="1" x14ac:dyDescent="0.2">
      <c r="A64" s="1202"/>
      <c r="D64" s="1225" t="s">
        <v>1680</v>
      </c>
    </row>
    <row r="65" spans="1:4" x14ac:dyDescent="0.2">
      <c r="A65" s="1202"/>
      <c r="C65" s="1224"/>
      <c r="D65" s="1217" t="s">
        <v>1815</v>
      </c>
    </row>
    <row r="66" spans="1:4" ht="10.5" customHeight="1" x14ac:dyDescent="0.2">
      <c r="A66" s="1202"/>
      <c r="D66" s="1227" t="s">
        <v>1269</v>
      </c>
    </row>
    <row r="67" spans="1:4" ht="10.5" customHeight="1" x14ac:dyDescent="0.2">
      <c r="A67" s="1202"/>
      <c r="D67" s="1201" t="s">
        <v>1658</v>
      </c>
    </row>
    <row r="68" spans="1:4" ht="10.5" customHeight="1" x14ac:dyDescent="0.2">
      <c r="A68" s="1202"/>
      <c r="D68" s="1225" t="s">
        <v>1680</v>
      </c>
    </row>
    <row r="69" spans="1:4" ht="10.5" customHeight="1" x14ac:dyDescent="0.2">
      <c r="A69" s="1202"/>
      <c r="C69" s="1224"/>
      <c r="D69" s="1217" t="s">
        <v>1816</v>
      </c>
    </row>
    <row r="70" spans="1:4" x14ac:dyDescent="0.2">
      <c r="A70" s="1202"/>
      <c r="D70" s="1226" t="s">
        <v>1268</v>
      </c>
    </row>
    <row r="71" spans="1:4" ht="3" customHeight="1" x14ac:dyDescent="0.2">
      <c r="A71" s="1202"/>
      <c r="D71" s="1201"/>
    </row>
    <row r="72" spans="1:4" x14ac:dyDescent="0.2">
      <c r="A72" s="1202"/>
      <c r="B72" s="1205"/>
      <c r="C72" s="1206">
        <f>C56+1</f>
        <v>18</v>
      </c>
      <c r="D72" s="1227" t="s">
        <v>1817</v>
      </c>
    </row>
    <row r="73" spans="1:4" ht="3" customHeight="1" x14ac:dyDescent="0.2">
      <c r="A73" s="1202"/>
      <c r="B73" s="1209"/>
      <c r="C73" s="1206"/>
      <c r="D73" s="1227"/>
    </row>
    <row r="74" spans="1:4" x14ac:dyDescent="0.2">
      <c r="A74" s="1202"/>
      <c r="B74" s="1205"/>
      <c r="C74" s="1206">
        <f>C72+1</f>
        <v>19</v>
      </c>
      <c r="D74" s="1217" t="s">
        <v>1267</v>
      </c>
    </row>
    <row r="75" spans="1:4" ht="3" customHeight="1" x14ac:dyDescent="0.2">
      <c r="A75" s="1202"/>
      <c r="B75" s="1209"/>
      <c r="C75" s="1206"/>
      <c r="D75" s="1217"/>
    </row>
    <row r="76" spans="1:4" x14ac:dyDescent="0.2">
      <c r="A76" s="1202"/>
      <c r="B76" s="1205"/>
      <c r="C76" s="1206">
        <f>C74+1</f>
        <v>20</v>
      </c>
      <c r="D76" s="1228" t="s">
        <v>1818</v>
      </c>
    </row>
    <row r="77" spans="1:4" ht="3" customHeight="1" x14ac:dyDescent="0.2">
      <c r="A77" s="1202"/>
      <c r="B77" s="1209"/>
      <c r="C77" s="1206"/>
      <c r="D77" s="1228"/>
    </row>
    <row r="78" spans="1:4" x14ac:dyDescent="0.2">
      <c r="A78" s="1202"/>
      <c r="B78" s="1205"/>
      <c r="C78" s="1206">
        <f>C76+1</f>
        <v>21</v>
      </c>
      <c r="D78" s="1201" t="s">
        <v>1819</v>
      </c>
    </row>
    <row r="79" spans="1:4" ht="3" customHeight="1" x14ac:dyDescent="0.2">
      <c r="A79" s="1202"/>
      <c r="B79" s="1209"/>
      <c r="C79" s="1206"/>
      <c r="D79" s="1201"/>
    </row>
    <row r="80" spans="1:4" x14ac:dyDescent="0.2">
      <c r="A80" s="1202"/>
      <c r="B80" s="1205"/>
      <c r="C80" s="1206">
        <f>C78+1</f>
        <v>22</v>
      </c>
      <c r="D80" s="1229" t="s">
        <v>1820</v>
      </c>
    </row>
    <row r="81" spans="1:4" ht="3" customHeight="1" x14ac:dyDescent="0.2">
      <c r="A81" s="1202"/>
      <c r="B81" s="1209"/>
      <c r="C81" s="1206"/>
      <c r="D81" s="1229"/>
    </row>
    <row r="82" spans="1:4" x14ac:dyDescent="0.2">
      <c r="A82" s="1202"/>
      <c r="B82" s="1205"/>
      <c r="C82" s="1206">
        <f>C80+1</f>
        <v>23</v>
      </c>
      <c r="D82" s="1228" t="s">
        <v>1821</v>
      </c>
    </row>
    <row r="83" spans="1:4" ht="10.5" customHeight="1" x14ac:dyDescent="0.2">
      <c r="A83" s="1202"/>
      <c r="B83" s="1211"/>
      <c r="D83" s="1217" t="s">
        <v>1266</v>
      </c>
    </row>
    <row r="84" spans="1:4" ht="3" customHeight="1" x14ac:dyDescent="0.2">
      <c r="A84" s="1202"/>
      <c r="B84" s="1211"/>
      <c r="D84" s="1217"/>
    </row>
    <row r="85" spans="1:4" x14ac:dyDescent="0.2">
      <c r="A85" s="1202"/>
      <c r="B85" s="1205"/>
      <c r="C85" s="1206">
        <f>C82+1</f>
        <v>24</v>
      </c>
      <c r="D85" s="1217" t="s">
        <v>1265</v>
      </c>
    </row>
    <row r="86" spans="1:4" ht="3" customHeight="1" x14ac:dyDescent="0.2">
      <c r="A86" s="1202"/>
      <c r="B86" s="1209"/>
      <c r="C86" s="1206"/>
      <c r="D86" s="1217"/>
    </row>
    <row r="87" spans="1:4" x14ac:dyDescent="0.2">
      <c r="A87" s="1202"/>
      <c r="B87" s="1205"/>
      <c r="C87" s="1206">
        <f>C85+1</f>
        <v>25</v>
      </c>
      <c r="D87" s="1217" t="s">
        <v>1264</v>
      </c>
    </row>
    <row r="88" spans="1:4" ht="3" customHeight="1" x14ac:dyDescent="0.2">
      <c r="A88" s="1202"/>
      <c r="B88" s="1209"/>
      <c r="C88" s="1206"/>
      <c r="D88" s="1217"/>
    </row>
    <row r="89" spans="1:4" x14ac:dyDescent="0.2">
      <c r="A89" s="1202"/>
      <c r="B89" s="1205"/>
      <c r="C89" s="1206">
        <f>C87+1</f>
        <v>26</v>
      </c>
      <c r="D89" s="1217" t="s">
        <v>1263</v>
      </c>
    </row>
    <row r="90" spans="1:4" ht="3" customHeight="1" x14ac:dyDescent="0.2">
      <c r="A90" s="1202"/>
      <c r="B90" s="1209"/>
      <c r="C90" s="1206"/>
      <c r="D90" s="1217"/>
    </row>
    <row r="91" spans="1:4" x14ac:dyDescent="0.2">
      <c r="A91" s="1202"/>
      <c r="B91" s="1205"/>
      <c r="C91" s="1206">
        <f>C89+1</f>
        <v>27</v>
      </c>
      <c r="D91" s="1217" t="s">
        <v>1822</v>
      </c>
    </row>
    <row r="92" spans="1:4" x14ac:dyDescent="0.2">
      <c r="A92" s="1202"/>
      <c r="B92" s="1230"/>
      <c r="C92" s="1224"/>
      <c r="D92" s="1217" t="s">
        <v>1262</v>
      </c>
    </row>
    <row r="93" spans="1:4" ht="4.5" customHeight="1" x14ac:dyDescent="0.2">
      <c r="A93" s="1202"/>
      <c r="D93" s="1201"/>
    </row>
    <row r="94" spans="1:4" x14ac:dyDescent="0.2">
      <c r="A94" s="1202"/>
      <c r="B94" s="1203" t="s">
        <v>1659</v>
      </c>
      <c r="C94" s="1204"/>
      <c r="D94" s="1201"/>
    </row>
    <row r="95" spans="1:4" ht="4.5" customHeight="1" x14ac:dyDescent="0.2">
      <c r="A95" s="1202"/>
      <c r="B95" s="1203"/>
      <c r="C95" s="1204"/>
      <c r="D95" s="1201"/>
    </row>
    <row r="96" spans="1:4" x14ac:dyDescent="0.2">
      <c r="A96" s="1202"/>
      <c r="B96" s="1205"/>
      <c r="C96" s="1206">
        <f>C91+1</f>
        <v>28</v>
      </c>
      <c r="D96" s="1217" t="s">
        <v>1823</v>
      </c>
    </row>
    <row r="97" spans="1:4" ht="3" customHeight="1" x14ac:dyDescent="0.2">
      <c r="A97" s="1202"/>
      <c r="B97" s="1209"/>
      <c r="C97" s="1206"/>
      <c r="D97" s="1217"/>
    </row>
    <row r="98" spans="1:4" x14ac:dyDescent="0.2">
      <c r="A98" s="1202"/>
      <c r="B98" s="1205"/>
      <c r="C98" s="1206">
        <f>C96+1</f>
        <v>29</v>
      </c>
      <c r="D98" s="1231" t="s">
        <v>1824</v>
      </c>
    </row>
    <row r="99" spans="1:4" ht="3" customHeight="1" x14ac:dyDescent="0.2">
      <c r="A99" s="1202"/>
      <c r="B99" s="1209"/>
      <c r="C99" s="1206"/>
      <c r="D99" s="1231"/>
    </row>
    <row r="100" spans="1:4" x14ac:dyDescent="0.2">
      <c r="A100" s="1202"/>
      <c r="B100" s="1205"/>
      <c r="C100" s="1206">
        <f>C98+1</f>
        <v>30</v>
      </c>
      <c r="D100" s="1217" t="s">
        <v>1825</v>
      </c>
    </row>
    <row r="101" spans="1:4" ht="3" customHeight="1" x14ac:dyDescent="0.2">
      <c r="A101" s="1202"/>
      <c r="B101" s="1209"/>
      <c r="C101" s="1206"/>
      <c r="D101" s="1232"/>
    </row>
    <row r="102" spans="1:4" x14ac:dyDescent="0.2">
      <c r="A102" s="1202"/>
      <c r="B102" s="1205"/>
      <c r="C102" s="1206">
        <f>C100+1</f>
        <v>31</v>
      </c>
      <c r="D102" s="1217" t="s">
        <v>1660</v>
      </c>
    </row>
    <row r="103" spans="1:4" ht="4.5" customHeight="1" x14ac:dyDescent="0.2">
      <c r="A103" s="1202"/>
      <c r="B103" s="312"/>
      <c r="C103" s="1206"/>
      <c r="D103" s="1217"/>
    </row>
    <row r="104" spans="1:4" ht="14.1" customHeight="1" x14ac:dyDescent="0.2">
      <c r="A104" s="1202"/>
      <c r="B104" s="1233" t="s">
        <v>1261</v>
      </c>
    </row>
    <row r="105" spans="1:4" ht="4.5" customHeight="1" x14ac:dyDescent="0.2">
      <c r="A105" s="1202"/>
      <c r="B105" s="1233"/>
    </row>
    <row r="106" spans="1:4" x14ac:dyDescent="0.2">
      <c r="A106" s="1202"/>
      <c r="B106" s="1205"/>
      <c r="C106" s="1206">
        <f>C102+1</f>
        <v>32</v>
      </c>
      <c r="D106" s="1201" t="s">
        <v>1661</v>
      </c>
    </row>
    <row r="107" spans="1:4" ht="3" customHeight="1" x14ac:dyDescent="0.2">
      <c r="A107" s="1202"/>
      <c r="B107" s="1209"/>
      <c r="C107" s="1206"/>
      <c r="D107" s="1201"/>
    </row>
    <row r="108" spans="1:4" x14ac:dyDescent="0.2">
      <c r="A108" s="1202"/>
      <c r="B108" s="1205"/>
      <c r="C108" s="1206">
        <v>33</v>
      </c>
      <c r="D108" s="1201" t="s">
        <v>1826</v>
      </c>
    </row>
    <row r="109" spans="1:4" ht="3" customHeight="1" x14ac:dyDescent="0.2">
      <c r="A109" s="1202"/>
      <c r="B109" s="1209"/>
      <c r="C109" s="1206"/>
      <c r="D109" s="1201"/>
    </row>
    <row r="110" spans="1:4" x14ac:dyDescent="0.2">
      <c r="A110" s="1202"/>
      <c r="B110" s="1205"/>
      <c r="C110" s="1206">
        <f>C108+1</f>
        <v>34</v>
      </c>
      <c r="D110" s="1201" t="s">
        <v>1260</v>
      </c>
    </row>
    <row r="111" spans="1:4" ht="3" customHeight="1" x14ac:dyDescent="0.2">
      <c r="A111" s="1202"/>
      <c r="B111" s="1209"/>
      <c r="C111" s="1206"/>
      <c r="D111" s="1201"/>
    </row>
    <row r="112" spans="1:4" x14ac:dyDescent="0.2">
      <c r="A112" s="1202"/>
      <c r="B112" s="1205"/>
      <c r="C112" s="1206">
        <f>C110+1</f>
        <v>35</v>
      </c>
      <c r="D112" s="1201" t="s">
        <v>1259</v>
      </c>
    </row>
    <row r="113" spans="1:4" ht="11.25" customHeight="1" x14ac:dyDescent="0.2">
      <c r="A113" s="1202"/>
      <c r="B113" s="1234"/>
      <c r="C113" s="1206"/>
      <c r="D113" s="1235" t="s">
        <v>1258</v>
      </c>
    </row>
    <row r="114" spans="1:4" ht="3" customHeight="1" x14ac:dyDescent="0.2">
      <c r="A114" s="1202"/>
      <c r="B114" s="1236"/>
      <c r="C114" s="1206"/>
      <c r="D114" s="1235"/>
    </row>
    <row r="115" spans="1:4" x14ac:dyDescent="0.2">
      <c r="A115" s="1202"/>
      <c r="B115" s="1205"/>
      <c r="C115" s="1206">
        <f>C112+1</f>
        <v>36</v>
      </c>
      <c r="D115" s="1217" t="s">
        <v>1257</v>
      </c>
    </row>
    <row r="116" spans="1:4" ht="3" customHeight="1" x14ac:dyDescent="0.2">
      <c r="A116" s="1202"/>
      <c r="B116" s="1209"/>
      <c r="C116" s="1206"/>
      <c r="D116" s="1217"/>
    </row>
    <row r="117" spans="1:4" x14ac:dyDescent="0.2">
      <c r="A117" s="1202"/>
      <c r="B117" s="1205"/>
      <c r="C117" s="1206">
        <f>C115+1</f>
        <v>37</v>
      </c>
      <c r="D117" s="1217" t="s">
        <v>1827</v>
      </c>
    </row>
    <row r="118" spans="1:4" ht="3" customHeight="1" x14ac:dyDescent="0.2">
      <c r="A118" s="1202"/>
      <c r="B118" s="1209"/>
      <c r="C118" s="1206"/>
      <c r="D118" s="1217"/>
    </row>
    <row r="119" spans="1:4" x14ac:dyDescent="0.2">
      <c r="A119" s="1202"/>
      <c r="B119" s="1205"/>
      <c r="C119" s="1206">
        <f>C117+1</f>
        <v>38</v>
      </c>
      <c r="D119" s="1217" t="s">
        <v>1828</v>
      </c>
    </row>
    <row r="120" spans="1:4" ht="10.5" customHeight="1" x14ac:dyDescent="0.2">
      <c r="A120" s="1202"/>
      <c r="B120" s="1230"/>
      <c r="C120" s="1206"/>
      <c r="D120" s="1217" t="s">
        <v>1256</v>
      </c>
    </row>
    <row r="121" spans="1:4" ht="10.5" customHeight="1" x14ac:dyDescent="0.2">
      <c r="A121" s="1202"/>
      <c r="B121" s="1230"/>
      <c r="C121" s="1206"/>
      <c r="D121" s="1217" t="s">
        <v>1255</v>
      </c>
    </row>
    <row r="122" spans="1:4" ht="3" customHeight="1" x14ac:dyDescent="0.2">
      <c r="A122" s="1202"/>
      <c r="B122" s="1230"/>
      <c r="C122" s="1206"/>
      <c r="D122" s="1217"/>
    </row>
    <row r="123" spans="1:4" x14ac:dyDescent="0.2">
      <c r="A123" s="1202"/>
      <c r="B123" s="1205"/>
      <c r="C123" s="1206">
        <f>C119+1</f>
        <v>39</v>
      </c>
      <c r="D123" s="1227" t="s">
        <v>1944</v>
      </c>
    </row>
    <row r="124" spans="1:4" x14ac:dyDescent="0.2">
      <c r="A124" s="1202"/>
      <c r="B124" s="312"/>
      <c r="C124" s="1206"/>
      <c r="D124" s="1217" t="s">
        <v>1254</v>
      </c>
    </row>
    <row r="125" spans="1:4" ht="4.5" customHeight="1" x14ac:dyDescent="0.2">
      <c r="A125" s="1202"/>
      <c r="D125" s="1201"/>
    </row>
    <row r="126" spans="1:4" x14ac:dyDescent="0.2">
      <c r="A126" s="1202"/>
      <c r="B126" s="1237"/>
      <c r="C126" s="1206"/>
      <c r="D126" s="1217"/>
    </row>
    <row r="127" spans="1:4" x14ac:dyDescent="0.2">
      <c r="A127" s="1202"/>
      <c r="D127" s="121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38" customWidth="1"/>
    <col min="3" max="3" width="1.28515625" style="1238" customWidth="1"/>
    <col min="4" max="4" width="24.42578125" style="1239" customWidth="1"/>
    <col min="5" max="5" width="5" style="317" customWidth="1"/>
    <col min="6" max="16384" width="15.7109375" style="317"/>
  </cols>
  <sheetData>
    <row r="1" spans="1:5" x14ac:dyDescent="0.2">
      <c r="A1" s="2482" t="str">
        <f>'Single Audit Cover'!A7</f>
        <v>Ottawa ESD 141</v>
      </c>
      <c r="B1" s="2482"/>
      <c r="C1" s="2482"/>
      <c r="D1" s="2482"/>
      <c r="E1" s="2482"/>
    </row>
    <row r="2" spans="1:5" x14ac:dyDescent="0.2">
      <c r="A2" s="2483">
        <f>'Single Audit Cover'!E7</f>
        <v>35050141002</v>
      </c>
      <c r="B2" s="2483"/>
      <c r="C2" s="2483"/>
      <c r="D2" s="2483"/>
      <c r="E2" s="2483"/>
    </row>
    <row r="3" spans="1:5" ht="4.5" customHeight="1" x14ac:dyDescent="0.2"/>
    <row r="4" spans="1:5" x14ac:dyDescent="0.2">
      <c r="A4" s="2482" t="s">
        <v>1307</v>
      </c>
      <c r="B4" s="2482"/>
      <c r="C4" s="2482"/>
      <c r="D4" s="2482"/>
      <c r="E4" s="2482"/>
    </row>
    <row r="5" spans="1:5" x14ac:dyDescent="0.2">
      <c r="A5" s="2485" t="str">
        <f>'Single Audit Cover'!A4</f>
        <v>Year Ending June 30, 2018</v>
      </c>
      <c r="B5" s="2485"/>
      <c r="C5" s="2485"/>
      <c r="D5" s="2485"/>
      <c r="E5" s="2485"/>
    </row>
    <row r="6" spans="1:5" x14ac:dyDescent="0.2">
      <c r="A6" s="2482" t="s">
        <v>1306</v>
      </c>
      <c r="B6" s="2482"/>
      <c r="C6" s="2482"/>
      <c r="D6" s="2482"/>
      <c r="E6" s="2482"/>
    </row>
    <row r="8" spans="1:5" x14ac:dyDescent="0.2">
      <c r="A8" s="1240" t="s">
        <v>1305</v>
      </c>
    </row>
    <row r="10" spans="1:5" x14ac:dyDescent="0.2">
      <c r="A10" s="1241" t="s">
        <v>1304</v>
      </c>
      <c r="B10" s="1242" t="s">
        <v>1303</v>
      </c>
      <c r="C10" s="1242"/>
      <c r="D10" s="1243">
        <f>SUM('Acct Summary 7-8'!C7:K7)</f>
        <v>1833628</v>
      </c>
    </row>
    <row r="11" spans="1:5" ht="18" customHeight="1" x14ac:dyDescent="0.2">
      <c r="A11" s="1241" t="s">
        <v>1302</v>
      </c>
      <c r="B11" s="1242"/>
      <c r="C11" s="1242"/>
    </row>
    <row r="12" spans="1:5" x14ac:dyDescent="0.2">
      <c r="A12" s="1241" t="s">
        <v>1301</v>
      </c>
      <c r="B12" s="1242" t="s">
        <v>1300</v>
      </c>
      <c r="C12" s="1242"/>
      <c r="D12" s="1244">
        <f>SUM('Revenues 9-14'!C112:D112,'Revenues 9-14'!F112:G112)</f>
        <v>0</v>
      </c>
    </row>
    <row r="13" spans="1:5" x14ac:dyDescent="0.2">
      <c r="A13" s="1241" t="s">
        <v>1299</v>
      </c>
      <c r="B13" s="1242"/>
      <c r="C13" s="1242"/>
    </row>
    <row r="14" spans="1:5" x14ac:dyDescent="0.2">
      <c r="A14" s="1241" t="s">
        <v>1830</v>
      </c>
      <c r="B14" s="1242"/>
      <c r="C14" s="1242"/>
      <c r="D14" s="1244">
        <f>'ICR Computation 30'!E11</f>
        <v>85970</v>
      </c>
    </row>
    <row r="15" spans="1:5" x14ac:dyDescent="0.2">
      <c r="A15" s="1241"/>
      <c r="B15" s="1242"/>
      <c r="C15" s="1242"/>
    </row>
    <row r="16" spans="1:5" x14ac:dyDescent="0.2">
      <c r="A16" s="1241" t="s">
        <v>1952</v>
      </c>
      <c r="B16" s="1242"/>
      <c r="C16" s="1242"/>
    </row>
    <row r="17" spans="1:4" x14ac:dyDescent="0.2">
      <c r="A17" s="1241" t="s">
        <v>1601</v>
      </c>
      <c r="B17" s="1242" t="s">
        <v>1298</v>
      </c>
      <c r="C17" s="1242"/>
      <c r="D17" s="1244">
        <f>-SUM('Revenues 9-14'!C271:D271,'Revenues 9-14'!F271:G271)</f>
        <v>-210880</v>
      </c>
    </row>
    <row r="19" spans="1:4" ht="13.5" thickBot="1" x14ac:dyDescent="0.25">
      <c r="A19" s="1245" t="s">
        <v>1297</v>
      </c>
      <c r="D19" s="1246">
        <f>SUM(D10:D17)</f>
        <v>1708718</v>
      </c>
    </row>
    <row r="20" spans="1:4" ht="21.75" customHeight="1" thickTop="1" x14ac:dyDescent="0.2"/>
    <row r="21" spans="1:4" x14ac:dyDescent="0.2">
      <c r="A21" s="1240" t="s">
        <v>1296</v>
      </c>
    </row>
    <row r="22" spans="1:4" ht="8.25" customHeight="1" x14ac:dyDescent="0.2"/>
    <row r="23" spans="1:4" x14ac:dyDescent="0.2">
      <c r="A23" s="1247" t="s">
        <v>1290</v>
      </c>
    </row>
    <row r="24" spans="1:4" x14ac:dyDescent="0.2">
      <c r="A24" s="2484"/>
      <c r="B24" s="2484"/>
      <c r="D24" s="1248"/>
    </row>
    <row r="25" spans="1:4" x14ac:dyDescent="0.2">
      <c r="A25" s="2481"/>
      <c r="B25" s="2481"/>
      <c r="D25" s="1248"/>
    </row>
    <row r="26" spans="1:4" x14ac:dyDescent="0.2">
      <c r="A26" s="2481"/>
      <c r="B26" s="2481"/>
      <c r="D26" s="1248"/>
    </row>
    <row r="27" spans="1:4" x14ac:dyDescent="0.2">
      <c r="A27" s="2481"/>
      <c r="B27" s="2481"/>
      <c r="D27" s="1248"/>
    </row>
    <row r="28" spans="1:4" x14ac:dyDescent="0.2">
      <c r="A28" s="2481"/>
      <c r="B28" s="2481"/>
      <c r="D28" s="1248"/>
    </row>
    <row r="29" spans="1:4" x14ac:dyDescent="0.2">
      <c r="A29" s="2481"/>
      <c r="B29" s="2481"/>
      <c r="D29" s="1248"/>
    </row>
    <row r="30" spans="1:4" x14ac:dyDescent="0.2">
      <c r="A30" s="2481"/>
      <c r="B30" s="2481"/>
      <c r="D30" s="1248"/>
    </row>
    <row r="32" spans="1:4" x14ac:dyDescent="0.2">
      <c r="A32" s="1240" t="s">
        <v>1295</v>
      </c>
      <c r="D32" s="1243">
        <f>SUM(D19:D30)</f>
        <v>1708718</v>
      </c>
    </row>
    <row r="33" spans="1:4" x14ac:dyDescent="0.2">
      <c r="D33" s="1249"/>
    </row>
    <row r="34" spans="1:4" x14ac:dyDescent="0.2">
      <c r="A34" s="317" t="s">
        <v>1294</v>
      </c>
    </row>
    <row r="35" spans="1:4" x14ac:dyDescent="0.2">
      <c r="A35" s="317" t="s">
        <v>1293</v>
      </c>
      <c r="B35" s="1238" t="s">
        <v>1292</v>
      </c>
      <c r="D35" s="1250">
        <v>1708718</v>
      </c>
    </row>
    <row r="37" spans="1:4" x14ac:dyDescent="0.2">
      <c r="A37" s="1240" t="s">
        <v>1291</v>
      </c>
    </row>
    <row r="39" spans="1:4" ht="13.35" customHeight="1" x14ac:dyDescent="0.2">
      <c r="A39" s="1247" t="s">
        <v>1290</v>
      </c>
    </row>
    <row r="40" spans="1:4" x14ac:dyDescent="0.2">
      <c r="A40" s="2481"/>
      <c r="B40" s="2481"/>
      <c r="D40" s="1248"/>
    </row>
    <row r="41" spans="1:4" x14ac:dyDescent="0.2">
      <c r="A41" s="2481"/>
      <c r="B41" s="2481"/>
      <c r="D41" s="1251"/>
    </row>
    <row r="42" spans="1:4" x14ac:dyDescent="0.2">
      <c r="A42" s="2481"/>
      <c r="B42" s="2481"/>
      <c r="D42" s="1251"/>
    </row>
    <row r="43" spans="1:4" x14ac:dyDescent="0.2">
      <c r="A43" s="2481"/>
      <c r="B43" s="2481"/>
      <c r="D43" s="1251"/>
    </row>
    <row r="44" spans="1:4" x14ac:dyDescent="0.2">
      <c r="A44" s="2481"/>
      <c r="B44" s="2481"/>
      <c r="D44" s="1251"/>
    </row>
    <row r="45" spans="1:4" x14ac:dyDescent="0.2">
      <c r="A45" s="2481"/>
      <c r="B45" s="2481"/>
      <c r="D45" s="1251"/>
    </row>
    <row r="47" spans="1:4" x14ac:dyDescent="0.2">
      <c r="B47" s="1252" t="s">
        <v>1289</v>
      </c>
      <c r="C47" s="1252"/>
      <c r="D47" s="1253">
        <f>SUM(D35:D45)</f>
        <v>1708718</v>
      </c>
    </row>
    <row r="49" spans="2:4" x14ac:dyDescent="0.2">
      <c r="B49" s="1252" t="s">
        <v>1288</v>
      </c>
      <c r="C49" s="1252"/>
      <c r="D49" s="125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0" zoomScale="120" zoomScaleNormal="120" workbookViewId="0">
      <selection activeCell="M11" sqref="M11"/>
    </sheetView>
  </sheetViews>
  <sheetFormatPr defaultColWidth="8" defaultRowHeight="12.75" x14ac:dyDescent="0.2"/>
  <cols>
    <col min="1" max="1" width="1.42578125" style="317" customWidth="1"/>
    <col min="2" max="2" width="53.28515625" style="317" customWidth="1"/>
    <col min="3" max="3" width="14" style="1238" customWidth="1"/>
    <col min="4" max="4" width="16.7109375" style="1238" customWidth="1"/>
    <col min="5" max="5" width="7.5703125" style="317" customWidth="1"/>
    <col min="6" max="6" width="2.7109375" style="317" customWidth="1"/>
    <col min="7" max="7" width="3.28515625" style="317" customWidth="1"/>
    <col min="8" max="16384" width="8" style="317"/>
  </cols>
  <sheetData>
    <row r="1" spans="1:7" ht="13.5" customHeight="1" x14ac:dyDescent="0.2">
      <c r="A1" s="2495" t="str">
        <f>'Single Audit Cover'!A7</f>
        <v>Ottawa ESD 141</v>
      </c>
      <c r="B1" s="2495"/>
      <c r="C1" s="2495"/>
      <c r="D1" s="2495"/>
      <c r="E1" s="2495"/>
      <c r="F1" s="2495"/>
    </row>
    <row r="2" spans="1:7" ht="13.5" customHeight="1" x14ac:dyDescent="0.2">
      <c r="A2" s="2496">
        <f>'Single Audit Cover'!E7</f>
        <v>35050141002</v>
      </c>
      <c r="B2" s="2496"/>
      <c r="C2" s="2496"/>
      <c r="D2" s="2496"/>
      <c r="E2" s="2496"/>
      <c r="F2" s="2496"/>
      <c r="G2" s="1255"/>
    </row>
    <row r="3" spans="1:7" ht="15.75" customHeight="1" x14ac:dyDescent="0.2">
      <c r="A3" s="2497" t="s">
        <v>1333</v>
      </c>
      <c r="B3" s="2497"/>
      <c r="C3" s="2497"/>
      <c r="D3" s="2497"/>
      <c r="E3" s="2497"/>
      <c r="F3" s="2497"/>
    </row>
    <row r="4" spans="1:7" ht="13.5" customHeight="1" x14ac:dyDescent="0.2">
      <c r="A4" s="2498" t="str">
        <f>'Single Audit Cover'!A4</f>
        <v>Year Ending June 30, 2018</v>
      </c>
      <c r="B4" s="2498"/>
      <c r="C4" s="2498"/>
      <c r="D4" s="2498"/>
      <c r="E4" s="2498"/>
      <c r="F4" s="2498"/>
    </row>
    <row r="5" spans="1:7" ht="8.25" customHeight="1" x14ac:dyDescent="0.2">
      <c r="C5" s="317"/>
      <c r="D5" s="317"/>
    </row>
    <row r="6" spans="1:7" ht="13.5" customHeight="1" x14ac:dyDescent="0.2">
      <c r="A6" s="1256" t="s">
        <v>1831</v>
      </c>
      <c r="C6" s="317"/>
      <c r="D6" s="317"/>
    </row>
    <row r="7" spans="1:7" ht="60.95" customHeight="1" x14ac:dyDescent="0.2">
      <c r="A7" s="2494" t="s">
        <v>3926</v>
      </c>
      <c r="B7" s="2494"/>
      <c r="C7" s="2494"/>
      <c r="D7" s="2494"/>
      <c r="E7" s="2494"/>
      <c r="F7" s="2494"/>
    </row>
    <row r="8" spans="1:7" ht="12" customHeight="1" x14ac:dyDescent="0.2">
      <c r="A8" s="1256"/>
      <c r="B8" s="1262"/>
      <c r="C8" s="1262"/>
      <c r="D8" s="1262"/>
    </row>
    <row r="9" spans="1:7" ht="15" customHeight="1" x14ac:dyDescent="0.2">
      <c r="A9" s="1257" t="s">
        <v>1832</v>
      </c>
      <c r="B9" s="1260"/>
      <c r="C9" s="1260"/>
      <c r="D9" s="1260"/>
      <c r="E9" s="1258"/>
      <c r="F9" s="1258"/>
      <c r="G9" s="1258"/>
    </row>
    <row r="10" spans="1:7" ht="15" customHeight="1" x14ac:dyDescent="0.2">
      <c r="A10" s="1259" t="s">
        <v>1628</v>
      </c>
      <c r="B10" s="1260"/>
      <c r="C10" s="1261"/>
      <c r="D10" s="1260" t="s">
        <v>1629</v>
      </c>
      <c r="E10" s="1261" t="s">
        <v>2084</v>
      </c>
      <c r="F10" s="1260" t="s">
        <v>101</v>
      </c>
      <c r="G10" s="1258"/>
    </row>
    <row r="11" spans="1:7" ht="12" customHeight="1" x14ac:dyDescent="0.2">
      <c r="A11" s="1259"/>
      <c r="B11" s="1260"/>
      <c r="C11" s="1903"/>
      <c r="D11" s="1260"/>
      <c r="E11" s="1903"/>
      <c r="F11" s="1260"/>
      <c r="G11" s="1258"/>
    </row>
    <row r="12" spans="1:7" x14ac:dyDescent="0.2">
      <c r="A12" s="1256" t="s">
        <v>1669</v>
      </c>
      <c r="C12" s="1240"/>
      <c r="D12" s="1240"/>
    </row>
    <row r="13" spans="1:7" ht="15" customHeight="1" x14ac:dyDescent="0.2">
      <c r="A13" s="2494" t="s">
        <v>3927</v>
      </c>
      <c r="B13" s="2494"/>
      <c r="C13" s="2494"/>
      <c r="D13" s="2494"/>
      <c r="E13" s="2494"/>
      <c r="F13" s="2494"/>
    </row>
    <row r="14" spans="1:7" ht="9.75" customHeight="1" x14ac:dyDescent="0.2">
      <c r="C14" s="1240"/>
      <c r="D14" s="1240"/>
    </row>
    <row r="15" spans="1:7" ht="13.5" customHeight="1" x14ac:dyDescent="0.2">
      <c r="C15" s="1847" t="s">
        <v>1332</v>
      </c>
      <c r="D15" s="2492" t="s">
        <v>1331</v>
      </c>
      <c r="E15" s="2492"/>
      <c r="F15" s="2492"/>
    </row>
    <row r="16" spans="1:7" ht="13.5" customHeight="1" x14ac:dyDescent="0.2">
      <c r="A16" s="1262"/>
      <c r="B16" s="1256" t="s">
        <v>1330</v>
      </c>
      <c r="C16" s="1847" t="s">
        <v>1329</v>
      </c>
      <c r="D16" s="2493" t="s">
        <v>1670</v>
      </c>
      <c r="E16" s="2493"/>
      <c r="F16" s="2493"/>
    </row>
    <row r="17" spans="1:6" ht="20.45" customHeight="1" x14ac:dyDescent="0.2">
      <c r="A17" s="1263"/>
      <c r="B17" s="1264" t="s">
        <v>3928</v>
      </c>
      <c r="C17" s="1265"/>
      <c r="D17" s="2487"/>
      <c r="E17" s="2487"/>
      <c r="F17" s="2487"/>
    </row>
    <row r="18" spans="1:6" ht="20.65" customHeight="1" x14ac:dyDescent="0.2">
      <c r="A18" s="1263"/>
      <c r="B18" s="1264"/>
      <c r="C18" s="1265"/>
      <c r="D18" s="2487"/>
      <c r="E18" s="2487"/>
      <c r="F18" s="2487"/>
    </row>
    <row r="19" spans="1:6" ht="20.65" customHeight="1" x14ac:dyDescent="0.2">
      <c r="A19" s="1263"/>
      <c r="B19" s="1264"/>
      <c r="C19" s="1265"/>
      <c r="D19" s="2487"/>
      <c r="E19" s="2487"/>
      <c r="F19" s="2487"/>
    </row>
    <row r="20" spans="1:6" ht="20.65" customHeight="1" x14ac:dyDescent="0.2">
      <c r="A20" s="1263"/>
      <c r="B20" s="1264"/>
      <c r="C20" s="1265"/>
      <c r="D20" s="2487"/>
      <c r="E20" s="2487"/>
      <c r="F20" s="2487"/>
    </row>
    <row r="21" spans="1:6" ht="20.65" customHeight="1" x14ac:dyDescent="0.2">
      <c r="A21" s="1263"/>
      <c r="B21" s="1264"/>
      <c r="C21" s="1265"/>
      <c r="D21" s="2487"/>
      <c r="E21" s="2487"/>
      <c r="F21" s="2487"/>
    </row>
    <row r="22" spans="1:6" ht="20.65" customHeight="1" x14ac:dyDescent="0.2">
      <c r="A22" s="1263"/>
      <c r="B22" s="1264"/>
      <c r="C22" s="1265"/>
      <c r="D22" s="2487"/>
      <c r="E22" s="2487"/>
      <c r="F22" s="2487"/>
    </row>
    <row r="23" spans="1:6" ht="20.65" customHeight="1" x14ac:dyDescent="0.2">
      <c r="A23" s="1263"/>
      <c r="B23" s="1264"/>
      <c r="C23" s="1265"/>
      <c r="D23" s="2487"/>
      <c r="E23" s="2487"/>
      <c r="F23" s="2487"/>
    </row>
    <row r="24" spans="1:6" ht="20.65" customHeight="1" x14ac:dyDescent="0.2">
      <c r="A24" s="1263"/>
      <c r="B24" s="1264"/>
      <c r="C24" s="1265"/>
      <c r="D24" s="2487"/>
      <c r="E24" s="2487"/>
      <c r="F24" s="2487"/>
    </row>
    <row r="25" spans="1:6" ht="20.65" customHeight="1" x14ac:dyDescent="0.2">
      <c r="A25" s="1263"/>
      <c r="B25" s="1264"/>
      <c r="C25" s="1265"/>
      <c r="D25" s="2487"/>
      <c r="E25" s="2487"/>
      <c r="F25" s="2487"/>
    </row>
    <row r="26" spans="1:6" ht="20.65" customHeight="1" x14ac:dyDescent="0.2">
      <c r="A26" s="1263"/>
      <c r="B26" s="1264"/>
      <c r="C26" s="1265"/>
      <c r="D26" s="2487"/>
      <c r="E26" s="2487"/>
      <c r="F26" s="2487"/>
    </row>
    <row r="27" spans="1:6" ht="20.65" customHeight="1" x14ac:dyDescent="0.2">
      <c r="A27" s="1263"/>
      <c r="B27" s="1264"/>
      <c r="C27" s="1265"/>
      <c r="D27" s="2487"/>
      <c r="E27" s="2487"/>
      <c r="F27" s="2487"/>
    </row>
    <row r="28" spans="1:6" ht="20.65" customHeight="1" x14ac:dyDescent="0.2">
      <c r="A28" s="1263"/>
      <c r="B28" s="1264"/>
      <c r="C28" s="1265"/>
      <c r="D28" s="2487"/>
      <c r="E28" s="2487"/>
      <c r="F28" s="2487"/>
    </row>
    <row r="29" spans="1:6" ht="20.65" customHeight="1" x14ac:dyDescent="0.2">
      <c r="A29" s="1263"/>
      <c r="B29" s="1264"/>
      <c r="C29" s="1265"/>
      <c r="D29" s="2487"/>
      <c r="E29" s="2487"/>
      <c r="F29" s="2487"/>
    </row>
    <row r="30" spans="1:6" ht="12" customHeight="1" x14ac:dyDescent="0.2">
      <c r="A30" s="328"/>
      <c r="B30" s="328"/>
      <c r="C30" s="1458"/>
      <c r="D30" s="1904"/>
      <c r="E30" s="1266"/>
    </row>
    <row r="31" spans="1:6" ht="12" customHeight="1" x14ac:dyDescent="0.2">
      <c r="A31" s="1267" t="s">
        <v>1630</v>
      </c>
      <c r="B31" s="328"/>
      <c r="C31" s="1458"/>
      <c r="D31" s="1904"/>
      <c r="E31" s="1266"/>
    </row>
    <row r="32" spans="1:6" ht="30" customHeight="1" x14ac:dyDescent="0.2">
      <c r="A32" s="2488" t="s">
        <v>3929</v>
      </c>
      <c r="B32" s="2488"/>
      <c r="C32" s="2488"/>
      <c r="D32" s="2488"/>
      <c r="E32" s="2488"/>
      <c r="F32" s="2488"/>
    </row>
    <row r="33" spans="1:6" ht="13.5" customHeight="1" x14ac:dyDescent="0.2">
      <c r="A33" s="328" t="s">
        <v>1509</v>
      </c>
      <c r="B33" s="328"/>
      <c r="C33" s="1268">
        <v>85970</v>
      </c>
      <c r="D33" s="1904"/>
      <c r="E33" s="1266"/>
    </row>
    <row r="34" spans="1:6" ht="13.5" customHeight="1" x14ac:dyDescent="0.2">
      <c r="A34" s="328" t="s">
        <v>1945</v>
      </c>
      <c r="B34" s="328"/>
      <c r="C34" s="1269">
        <v>0</v>
      </c>
      <c r="D34" s="1904" t="s">
        <v>1671</v>
      </c>
      <c r="E34" s="2489">
        <f>+C33+C34</f>
        <v>85970</v>
      </c>
      <c r="F34" s="2490"/>
    </row>
    <row r="35" spans="1:6" ht="12" customHeight="1" x14ac:dyDescent="0.2">
      <c r="A35" s="328"/>
      <c r="B35" s="328"/>
      <c r="C35" s="1905"/>
      <c r="D35" s="1904"/>
      <c r="E35" s="1270"/>
      <c r="F35" s="1271"/>
    </row>
    <row r="36" spans="1:6" ht="13.5" customHeight="1" x14ac:dyDescent="0.2">
      <c r="A36" s="1267" t="s">
        <v>1631</v>
      </c>
      <c r="B36" s="328"/>
      <c r="C36" s="1458"/>
      <c r="D36" s="1904"/>
      <c r="E36" s="1266"/>
    </row>
    <row r="37" spans="1:6" ht="14.25" customHeight="1" x14ac:dyDescent="0.2">
      <c r="A37" s="328" t="s">
        <v>1563</v>
      </c>
      <c r="B37" s="328"/>
      <c r="C37" s="1906"/>
      <c r="D37" s="1904"/>
      <c r="E37" s="1266"/>
    </row>
    <row r="38" spans="1:6" ht="14.25" customHeight="1" x14ac:dyDescent="0.2">
      <c r="A38" s="328"/>
      <c r="B38" s="328" t="s">
        <v>1510</v>
      </c>
      <c r="C38" s="1272" t="s">
        <v>401</v>
      </c>
      <c r="D38" s="1904"/>
      <c r="E38" s="1266"/>
    </row>
    <row r="39" spans="1:6" ht="14.25" customHeight="1" x14ac:dyDescent="0.2">
      <c r="A39" s="328"/>
      <c r="B39" s="328" t="s">
        <v>1511</v>
      </c>
      <c r="C39" s="1272" t="s">
        <v>401</v>
      </c>
      <c r="D39" s="1904"/>
      <c r="E39" s="1266"/>
    </row>
    <row r="40" spans="1:6" ht="14.25" customHeight="1" x14ac:dyDescent="0.2">
      <c r="A40" s="328"/>
      <c r="B40" s="328" t="s">
        <v>1512</v>
      </c>
      <c r="C40" s="1272" t="s">
        <v>401</v>
      </c>
      <c r="D40" s="1904"/>
      <c r="E40" s="1266"/>
    </row>
    <row r="41" spans="1:6" ht="14.25" customHeight="1" x14ac:dyDescent="0.2">
      <c r="A41" s="328"/>
      <c r="B41" s="328" t="s">
        <v>1513</v>
      </c>
      <c r="C41" s="1272" t="s">
        <v>401</v>
      </c>
      <c r="D41" s="1904"/>
      <c r="E41" s="1266"/>
    </row>
    <row r="42" spans="1:6" ht="14.25" customHeight="1" x14ac:dyDescent="0.2">
      <c r="A42" s="328" t="s">
        <v>1514</v>
      </c>
      <c r="B42" s="328"/>
      <c r="C42" s="1902" t="s">
        <v>401</v>
      </c>
      <c r="D42" s="1904"/>
      <c r="E42" s="1266"/>
    </row>
    <row r="43" spans="1:6" ht="14.25" customHeight="1" x14ac:dyDescent="0.2">
      <c r="A43" s="328" t="s">
        <v>1515</v>
      </c>
      <c r="B43" s="328"/>
      <c r="C43" s="1273" t="s">
        <v>401</v>
      </c>
      <c r="D43" s="1904"/>
      <c r="E43" s="1266"/>
    </row>
    <row r="44" spans="1:6" ht="14.25" customHeight="1" x14ac:dyDescent="0.2">
      <c r="A44" s="328"/>
      <c r="B44" s="328"/>
      <c r="C44" s="1906" t="s">
        <v>1516</v>
      </c>
      <c r="D44" s="1904"/>
      <c r="E44" s="1266"/>
    </row>
    <row r="45" spans="1:6" ht="13.5" customHeight="1" x14ac:dyDescent="0.2">
      <c r="B45" s="322"/>
      <c r="C45" s="1274"/>
      <c r="D45" s="1274"/>
    </row>
    <row r="46" spans="1:6" x14ac:dyDescent="0.2">
      <c r="A46" s="1275" t="s">
        <v>1833</v>
      </c>
      <c r="C46" s="317"/>
      <c r="D46" s="317"/>
    </row>
    <row r="47" spans="1:6" s="322" customFormat="1" ht="11.25" customHeight="1" x14ac:dyDescent="0.2">
      <c r="A47" s="1276"/>
      <c r="B47" s="1277"/>
      <c r="C47" s="1277"/>
      <c r="D47" s="1277"/>
      <c r="E47" s="1277"/>
      <c r="F47" s="1277"/>
    </row>
    <row r="48" spans="1:6" s="322" customFormat="1" ht="6" customHeight="1" x14ac:dyDescent="0.2">
      <c r="A48" s="1278"/>
    </row>
    <row r="49" spans="1:5" s="1280" customFormat="1" ht="23.25" customHeight="1" x14ac:dyDescent="0.2">
      <c r="A49" s="1279">
        <v>5</v>
      </c>
      <c r="B49" s="2491" t="s">
        <v>1672</v>
      </c>
      <c r="C49" s="2491"/>
      <c r="D49" s="2491"/>
      <c r="E49" s="1379"/>
    </row>
    <row r="50" spans="1:5" s="1280" customFormat="1" ht="3.75" customHeight="1" x14ac:dyDescent="0.2">
      <c r="A50" s="1279"/>
      <c r="B50" s="1846"/>
      <c r="C50" s="1846"/>
      <c r="D50" s="1846"/>
      <c r="E50" s="1379"/>
    </row>
    <row r="51" spans="1:5" s="1280" customFormat="1" ht="20.25" customHeight="1" x14ac:dyDescent="0.2">
      <c r="A51" s="1281">
        <v>6</v>
      </c>
      <c r="B51" s="2486" t="s">
        <v>1632</v>
      </c>
      <c r="C51" s="2486"/>
      <c r="D51" s="2486"/>
    </row>
    <row r="52" spans="1:5" ht="14.25" customHeight="1" x14ac:dyDescent="0.2">
      <c r="A52" s="1281"/>
      <c r="B52" s="2486"/>
      <c r="C52" s="2486"/>
      <c r="D52" s="24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80" zoomScaleNormal="80" workbookViewId="0">
      <selection activeCell="M11" sqref="M11"/>
    </sheetView>
  </sheetViews>
  <sheetFormatPr defaultColWidth="33.5703125" defaultRowHeight="12.75" x14ac:dyDescent="0.2"/>
  <cols>
    <col min="1" max="1" width="0.140625" style="317" customWidth="1"/>
    <col min="2" max="2" width="32.85546875" style="317" customWidth="1"/>
    <col min="3" max="3" width="8.7109375" style="1337" customWidth="1"/>
    <col min="4" max="4" width="12.7109375" style="1338" customWidth="1"/>
    <col min="5" max="6" width="11.7109375" style="317" customWidth="1"/>
    <col min="7" max="7" width="11.7109375" style="1238" customWidth="1"/>
    <col min="8" max="8" width="13.7109375" style="1238" bestFit="1" customWidth="1"/>
    <col min="9" max="9" width="11.7109375" style="1238" customWidth="1"/>
    <col min="10" max="10" width="13.7109375" style="1238" customWidth="1"/>
    <col min="11" max="12" width="11.7109375" style="1238" customWidth="1"/>
    <col min="13" max="13" width="11.7109375" style="317" customWidth="1"/>
    <col min="14" max="14" width="2.7109375" style="317" customWidth="1"/>
    <col min="15" max="16384" width="33.5703125" style="317"/>
  </cols>
  <sheetData>
    <row r="1" spans="2:14" ht="11.85" customHeight="1" x14ac:dyDescent="0.2">
      <c r="B1" s="2465" t="str">
        <f>'Single Audit Cover'!A7</f>
        <v>Ottawa ESD 141</v>
      </c>
      <c r="C1" s="2499"/>
      <c r="D1" s="2499"/>
      <c r="E1" s="2499"/>
      <c r="F1" s="2499"/>
      <c r="G1" s="2499"/>
      <c r="H1" s="2499"/>
      <c r="I1" s="2499"/>
      <c r="J1" s="2499"/>
      <c r="K1" s="2499"/>
      <c r="L1" s="2499"/>
      <c r="M1" s="2499"/>
    </row>
    <row r="2" spans="2:14" ht="15" x14ac:dyDescent="0.2">
      <c r="B2" s="2496">
        <f>'Single Audit Cover'!E7</f>
        <v>35050141002</v>
      </c>
      <c r="C2" s="2496"/>
      <c r="D2" s="2496"/>
      <c r="E2" s="2496"/>
      <c r="F2" s="2496"/>
      <c r="G2" s="2496"/>
      <c r="H2" s="2496"/>
      <c r="I2" s="2496"/>
      <c r="J2" s="2496"/>
      <c r="K2" s="2496"/>
      <c r="L2" s="2496"/>
      <c r="M2" s="2496"/>
      <c r="N2" s="1282"/>
    </row>
    <row r="3" spans="2:14" ht="15" x14ac:dyDescent="0.2">
      <c r="B3" s="2500" t="s">
        <v>1281</v>
      </c>
      <c r="C3" s="2500"/>
      <c r="D3" s="2500"/>
      <c r="E3" s="2500"/>
      <c r="F3" s="2500"/>
      <c r="G3" s="2500"/>
      <c r="H3" s="2500"/>
      <c r="I3" s="2500"/>
      <c r="J3" s="2500"/>
      <c r="K3" s="2500"/>
      <c r="L3" s="2500"/>
      <c r="M3" s="2500"/>
      <c r="N3" s="1282"/>
    </row>
    <row r="4" spans="2:14" ht="15" x14ac:dyDescent="0.2">
      <c r="B4" s="2501" t="str">
        <f>'Single Audit Cover'!A4</f>
        <v>Year Ending June 30, 2018</v>
      </c>
      <c r="C4" s="2501"/>
      <c r="D4" s="2501"/>
      <c r="E4" s="2501"/>
      <c r="F4" s="2501"/>
      <c r="G4" s="2501"/>
      <c r="H4" s="2501"/>
      <c r="I4" s="2501"/>
      <c r="J4" s="2501"/>
      <c r="K4" s="2501"/>
      <c r="L4" s="2501"/>
      <c r="M4" s="2501"/>
      <c r="N4" s="1282"/>
    </row>
    <row r="6" spans="2:14" x14ac:dyDescent="0.2">
      <c r="B6" s="1283"/>
      <c r="C6" s="1284"/>
      <c r="D6" s="1285" t="s">
        <v>1327</v>
      </c>
      <c r="E6" s="1286" t="s">
        <v>548</v>
      </c>
      <c r="F6" s="1287"/>
      <c r="G6" s="1288" t="s">
        <v>1834</v>
      </c>
      <c r="H6" s="1286"/>
      <c r="I6" s="1286"/>
      <c r="J6" s="1286"/>
      <c r="K6" s="1289"/>
      <c r="L6" s="1290"/>
      <c r="M6" s="1291"/>
    </row>
    <row r="7" spans="2:14" x14ac:dyDescent="0.2">
      <c r="B7" s="1292" t="s">
        <v>1662</v>
      </c>
      <c r="C7" s="1293"/>
      <c r="D7" s="1294"/>
      <c r="E7" s="1295"/>
      <c r="F7" s="1296"/>
      <c r="G7" s="1295"/>
      <c r="H7" s="1297" t="s">
        <v>1324</v>
      </c>
      <c r="I7" s="1295"/>
      <c r="J7" s="1298" t="s">
        <v>1324</v>
      </c>
      <c r="K7" s="1299"/>
      <c r="L7" s="1300" t="s">
        <v>1322</v>
      </c>
      <c r="M7" s="1301"/>
    </row>
    <row r="8" spans="2:14" x14ac:dyDescent="0.2">
      <c r="B8" s="1665"/>
      <c r="C8" s="1293" t="s">
        <v>1326</v>
      </c>
      <c r="D8" s="1294" t="s">
        <v>1325</v>
      </c>
      <c r="E8" s="1302" t="s">
        <v>1324</v>
      </c>
      <c r="F8" s="1303" t="s">
        <v>1324</v>
      </c>
      <c r="G8" s="1304" t="s">
        <v>1324</v>
      </c>
      <c r="H8" s="1297" t="s">
        <v>1663</v>
      </c>
      <c r="I8" s="1299" t="s">
        <v>1324</v>
      </c>
      <c r="J8" s="1298" t="s">
        <v>1946</v>
      </c>
      <c r="K8" s="1299" t="s">
        <v>1323</v>
      </c>
      <c r="L8" s="1300" t="s">
        <v>1319</v>
      </c>
      <c r="M8" s="1301" t="s">
        <v>30</v>
      </c>
    </row>
    <row r="9" spans="2:14" ht="14.25" x14ac:dyDescent="0.2">
      <c r="B9" s="1305" t="s">
        <v>1321</v>
      </c>
      <c r="C9" s="1293" t="s">
        <v>1835</v>
      </c>
      <c r="D9" s="1294" t="s">
        <v>1836</v>
      </c>
      <c r="E9" s="1302" t="s">
        <v>1663</v>
      </c>
      <c r="F9" s="1303" t="s">
        <v>1946</v>
      </c>
      <c r="G9" s="1304" t="s">
        <v>1663</v>
      </c>
      <c r="H9" s="1297" t="s">
        <v>1664</v>
      </c>
      <c r="I9" s="1299" t="s">
        <v>1946</v>
      </c>
      <c r="J9" s="1298" t="s">
        <v>1664</v>
      </c>
      <c r="K9" s="1299" t="s">
        <v>1320</v>
      </c>
      <c r="L9" s="1306" t="s">
        <v>1665</v>
      </c>
      <c r="M9" s="1301"/>
    </row>
    <row r="10" spans="2:14" ht="11.85" customHeight="1" x14ac:dyDescent="0.2">
      <c r="B10" s="1305" t="s">
        <v>1318</v>
      </c>
      <c r="C10" s="1307" t="s">
        <v>1317</v>
      </c>
      <c r="D10" s="1308" t="s">
        <v>1316</v>
      </c>
      <c r="E10" s="1309" t="s">
        <v>1315</v>
      </c>
      <c r="F10" s="1310" t="s">
        <v>1314</v>
      </c>
      <c r="G10" s="1311" t="s">
        <v>1313</v>
      </c>
      <c r="H10" s="1312" t="s">
        <v>1328</v>
      </c>
      <c r="I10" s="1313" t="s">
        <v>1312</v>
      </c>
      <c r="J10" s="1314" t="s">
        <v>1328</v>
      </c>
      <c r="K10" s="1315" t="s">
        <v>1311</v>
      </c>
      <c r="L10" s="1315" t="s">
        <v>1310</v>
      </c>
      <c r="M10" s="1316" t="s">
        <v>1309</v>
      </c>
    </row>
    <row r="11" spans="2:14" ht="20.100000000000001" customHeight="1" x14ac:dyDescent="0.2">
      <c r="B11" s="1317" t="s">
        <v>3950</v>
      </c>
      <c r="C11" s="1318"/>
      <c r="D11" s="1319"/>
      <c r="E11" s="1320"/>
      <c r="F11" s="1320"/>
      <c r="G11" s="1320"/>
      <c r="H11" s="1320"/>
      <c r="I11" s="1320"/>
      <c r="J11" s="1320"/>
      <c r="K11" s="1320"/>
      <c r="L11" s="1320">
        <f t="shared" ref="L11:L27" si="0">+G11+I11+K11</f>
        <v>0</v>
      </c>
      <c r="M11" s="1320"/>
    </row>
    <row r="12" spans="2:14" ht="20.100000000000001" customHeight="1" x14ac:dyDescent="0.2">
      <c r="B12" s="1317"/>
      <c r="C12" s="1321"/>
      <c r="D12" s="1322"/>
      <c r="E12" s="1323"/>
      <c r="F12" s="1323"/>
      <c r="G12" s="1323"/>
      <c r="H12" s="1323"/>
      <c r="I12" s="1323"/>
      <c r="J12" s="1323"/>
      <c r="K12" s="1323"/>
      <c r="L12" s="1320">
        <f t="shared" si="0"/>
        <v>0</v>
      </c>
      <c r="M12" s="1323"/>
    </row>
    <row r="13" spans="2:14" ht="20.100000000000001" customHeight="1" x14ac:dyDescent="0.2">
      <c r="B13" s="1317" t="s">
        <v>3951</v>
      </c>
      <c r="C13" s="1321" t="s">
        <v>3931</v>
      </c>
      <c r="D13" s="1322" t="s">
        <v>3952</v>
      </c>
      <c r="E13" s="1323">
        <v>586539</v>
      </c>
      <c r="F13" s="1323">
        <v>50152</v>
      </c>
      <c r="G13" s="1323">
        <v>586539</v>
      </c>
      <c r="H13" s="1323"/>
      <c r="I13" s="1323">
        <v>50152</v>
      </c>
      <c r="J13" s="1323"/>
      <c r="K13" s="1323"/>
      <c r="L13" s="1320">
        <f t="shared" si="0"/>
        <v>636691</v>
      </c>
      <c r="M13" s="1323">
        <v>681640</v>
      </c>
    </row>
    <row r="14" spans="2:14" ht="20.100000000000001" customHeight="1" x14ac:dyDescent="0.2">
      <c r="B14" s="1317" t="s">
        <v>3951</v>
      </c>
      <c r="C14" s="1321" t="s">
        <v>3931</v>
      </c>
      <c r="D14" s="1322" t="s">
        <v>3953</v>
      </c>
      <c r="E14" s="1323"/>
      <c r="F14" s="1323">
        <v>514874</v>
      </c>
      <c r="G14" s="1323"/>
      <c r="H14" s="1323"/>
      <c r="I14" s="1323">
        <v>516572</v>
      </c>
      <c r="J14" s="1323"/>
      <c r="K14" s="1323">
        <v>88283</v>
      </c>
      <c r="L14" s="1320">
        <f t="shared" si="0"/>
        <v>604855</v>
      </c>
      <c r="M14" s="1323">
        <v>623774</v>
      </c>
    </row>
    <row r="15" spans="2:14" ht="20.100000000000001" customHeight="1" x14ac:dyDescent="0.2">
      <c r="B15" s="1317"/>
      <c r="C15" s="1321"/>
      <c r="D15" s="1322"/>
      <c r="E15" s="1323"/>
      <c r="F15" s="1323"/>
      <c r="G15" s="1323"/>
      <c r="H15" s="1323"/>
      <c r="I15" s="1323"/>
      <c r="J15" s="1323"/>
      <c r="K15" s="1323"/>
      <c r="L15" s="1320">
        <f t="shared" si="0"/>
        <v>0</v>
      </c>
      <c r="M15" s="1323"/>
    </row>
    <row r="16" spans="2:14" ht="20.100000000000001" customHeight="1" x14ac:dyDescent="0.2">
      <c r="B16" s="1317" t="s">
        <v>4047</v>
      </c>
      <c r="C16" s="1321"/>
      <c r="D16" s="1322"/>
      <c r="E16" s="1323"/>
      <c r="F16" s="1323"/>
      <c r="G16" s="1323"/>
      <c r="H16" s="1323"/>
      <c r="I16" s="1323"/>
      <c r="J16" s="1323"/>
      <c r="K16" s="1323"/>
      <c r="L16" s="1320">
        <f t="shared" si="0"/>
        <v>0</v>
      </c>
      <c r="M16" s="1323"/>
    </row>
    <row r="17" spans="2:14" ht="20.100000000000001" customHeight="1" x14ac:dyDescent="0.2">
      <c r="B17" s="1317" t="s">
        <v>4046</v>
      </c>
      <c r="C17" s="1321" t="s">
        <v>4044</v>
      </c>
      <c r="D17" s="1322" t="s">
        <v>3954</v>
      </c>
      <c r="E17" s="1323"/>
      <c r="F17" s="1323">
        <v>589</v>
      </c>
      <c r="G17" s="1323"/>
      <c r="H17" s="1323"/>
      <c r="I17" s="1323">
        <v>589</v>
      </c>
      <c r="J17" s="1323"/>
      <c r="K17" s="1323"/>
      <c r="L17" s="1320">
        <f t="shared" si="0"/>
        <v>589</v>
      </c>
      <c r="M17" s="1323" t="s">
        <v>3942</v>
      </c>
    </row>
    <row r="18" spans="2:14" ht="20.100000000000001" customHeight="1" x14ac:dyDescent="0.2">
      <c r="B18" s="1317" t="s">
        <v>3955</v>
      </c>
      <c r="C18" s="1321" t="s">
        <v>3934</v>
      </c>
      <c r="D18" s="1322" t="s">
        <v>3956</v>
      </c>
      <c r="E18" s="1323"/>
      <c r="F18" s="1323">
        <v>414716</v>
      </c>
      <c r="G18" s="1323"/>
      <c r="H18" s="1323"/>
      <c r="I18" s="1323">
        <v>414716</v>
      </c>
      <c r="J18" s="1323"/>
      <c r="K18" s="1323"/>
      <c r="L18" s="1320">
        <f t="shared" si="0"/>
        <v>414716</v>
      </c>
      <c r="M18" s="1323">
        <v>414716</v>
      </c>
    </row>
    <row r="19" spans="2:14" ht="20.100000000000001" customHeight="1" x14ac:dyDescent="0.2">
      <c r="B19" s="1317" t="s">
        <v>4045</v>
      </c>
      <c r="C19" s="1321" t="s">
        <v>3934</v>
      </c>
      <c r="D19" s="1322" t="s">
        <v>3957</v>
      </c>
      <c r="E19" s="1323"/>
      <c r="F19" s="1323">
        <v>5117</v>
      </c>
      <c r="G19" s="1323"/>
      <c r="H19" s="1323"/>
      <c r="I19" s="1323">
        <v>5117</v>
      </c>
      <c r="J19" s="1323"/>
      <c r="K19" s="1323"/>
      <c r="L19" s="1320">
        <f t="shared" si="0"/>
        <v>5117</v>
      </c>
      <c r="M19" s="1323" t="s">
        <v>3942</v>
      </c>
    </row>
    <row r="20" spans="2:14" ht="20.100000000000001" customHeight="1" x14ac:dyDescent="0.2">
      <c r="B20" s="1317" t="s">
        <v>4048</v>
      </c>
      <c r="C20" s="1321"/>
      <c r="D20" s="1322"/>
      <c r="E20" s="1323"/>
      <c r="F20" s="1323">
        <f>SUM(F17:F19)</f>
        <v>420422</v>
      </c>
      <c r="G20" s="1323"/>
      <c r="H20" s="1323"/>
      <c r="I20" s="1323">
        <f>SUM(I17:I19)</f>
        <v>420422</v>
      </c>
      <c r="J20" s="1323"/>
      <c r="K20" s="1323"/>
      <c r="L20" s="1320">
        <f t="shared" si="0"/>
        <v>420422</v>
      </c>
      <c r="M20" s="1323"/>
    </row>
    <row r="21" spans="2:14" ht="20.100000000000001" customHeight="1" x14ac:dyDescent="0.2">
      <c r="B21" s="1317"/>
      <c r="C21" s="1321"/>
      <c r="D21" s="1322"/>
      <c r="E21" s="1323"/>
      <c r="F21" s="1323"/>
      <c r="G21" s="1323"/>
      <c r="H21" s="1323"/>
      <c r="I21" s="1323"/>
      <c r="J21" s="1323"/>
      <c r="K21" s="1323"/>
      <c r="L21" s="1320">
        <f t="shared" si="0"/>
        <v>0</v>
      </c>
      <c r="M21" s="1323"/>
    </row>
    <row r="22" spans="2:14" ht="20.100000000000001" customHeight="1" x14ac:dyDescent="0.2">
      <c r="B22" s="1317" t="s">
        <v>3961</v>
      </c>
      <c r="C22" s="1321" t="s">
        <v>3959</v>
      </c>
      <c r="D22" s="1322" t="s">
        <v>3960</v>
      </c>
      <c r="E22" s="1323">
        <v>60580</v>
      </c>
      <c r="F22" s="1323">
        <v>157</v>
      </c>
      <c r="G22" s="1323">
        <v>60737</v>
      </c>
      <c r="H22" s="1323"/>
      <c r="I22" s="1323"/>
      <c r="J22" s="1323"/>
      <c r="K22" s="1323"/>
      <c r="L22" s="1320">
        <f t="shared" si="0"/>
        <v>60737</v>
      </c>
      <c r="M22" s="1323">
        <v>143207</v>
      </c>
    </row>
    <row r="23" spans="2:14" ht="20.100000000000001" customHeight="1" x14ac:dyDescent="0.2">
      <c r="B23" s="1317" t="s">
        <v>3958</v>
      </c>
      <c r="C23" s="1321" t="s">
        <v>3959</v>
      </c>
      <c r="D23" s="1322" t="s">
        <v>3962</v>
      </c>
      <c r="E23" s="1323"/>
      <c r="F23" s="1323">
        <v>45760</v>
      </c>
      <c r="G23" s="1323"/>
      <c r="H23" s="1323"/>
      <c r="I23" s="1323">
        <v>47089</v>
      </c>
      <c r="J23" s="1323"/>
      <c r="K23" s="1323"/>
      <c r="L23" s="1320">
        <f t="shared" si="0"/>
        <v>47089</v>
      </c>
      <c r="M23" s="1323">
        <v>170683</v>
      </c>
    </row>
    <row r="24" spans="2:14" ht="20.100000000000001" customHeight="1" x14ac:dyDescent="0.2">
      <c r="B24" s="1317"/>
      <c r="C24" s="1321"/>
      <c r="D24" s="1322"/>
      <c r="E24" s="1323"/>
      <c r="F24" s="1323"/>
      <c r="G24" s="1323"/>
      <c r="H24" s="1323"/>
      <c r="I24" s="1323"/>
      <c r="J24" s="1323"/>
      <c r="K24" s="1323"/>
      <c r="L24" s="1320">
        <f t="shared" si="0"/>
        <v>0</v>
      </c>
      <c r="M24" s="1323"/>
    </row>
    <row r="25" spans="2:14" ht="20.100000000000001" customHeight="1" x14ac:dyDescent="0.2">
      <c r="B25" s="1317" t="s">
        <v>3963</v>
      </c>
      <c r="C25" s="1321" t="s">
        <v>3959</v>
      </c>
      <c r="D25" s="1322" t="s">
        <v>3964</v>
      </c>
      <c r="E25" s="1323"/>
      <c r="F25" s="1323">
        <v>18603</v>
      </c>
      <c r="G25" s="1323"/>
      <c r="H25" s="1323"/>
      <c r="I25" s="1323">
        <v>18741</v>
      </c>
      <c r="J25" s="1323"/>
      <c r="K25" s="1323"/>
      <c r="L25" s="1320">
        <f t="shared" si="0"/>
        <v>18741</v>
      </c>
      <c r="M25" s="1323">
        <v>18883</v>
      </c>
    </row>
    <row r="26" spans="2:14" ht="20.100000000000001" customHeight="1" x14ac:dyDescent="0.2">
      <c r="B26" s="1317"/>
      <c r="C26" s="1321"/>
      <c r="D26" s="1322"/>
      <c r="E26" s="1323"/>
      <c r="F26" s="1323"/>
      <c r="G26" s="1323"/>
      <c r="H26" s="1323"/>
      <c r="I26" s="1323"/>
      <c r="J26" s="1323"/>
      <c r="K26" s="1323"/>
      <c r="L26" s="1320">
        <f t="shared" si="0"/>
        <v>0</v>
      </c>
      <c r="M26" s="1323"/>
    </row>
    <row r="27" spans="2:14" ht="20.100000000000001" customHeight="1" x14ac:dyDescent="0.2">
      <c r="B27" s="1317" t="s">
        <v>4050</v>
      </c>
      <c r="C27" s="1321"/>
      <c r="D27" s="1322"/>
      <c r="E27" s="1323">
        <f t="shared" ref="E27:K27" si="1">SUM(E11:E16)+SUM(E20:E26)</f>
        <v>647119</v>
      </c>
      <c r="F27" s="1323">
        <f t="shared" si="1"/>
        <v>1049968</v>
      </c>
      <c r="G27" s="1323">
        <f t="shared" si="1"/>
        <v>647276</v>
      </c>
      <c r="H27" s="1323">
        <f t="shared" si="1"/>
        <v>0</v>
      </c>
      <c r="I27" s="1323">
        <f t="shared" si="1"/>
        <v>1052976</v>
      </c>
      <c r="J27" s="1323">
        <f t="shared" si="1"/>
        <v>0</v>
      </c>
      <c r="K27" s="1323">
        <f t="shared" si="1"/>
        <v>88283</v>
      </c>
      <c r="L27" s="1320">
        <f t="shared" si="0"/>
        <v>1788535</v>
      </c>
      <c r="M27" s="1323" t="s">
        <v>3942</v>
      </c>
      <c r="N27" s="1324"/>
    </row>
    <row r="28" spans="2:14" ht="12.75" customHeight="1" x14ac:dyDescent="0.2">
      <c r="B28" s="1325"/>
      <c r="C28" s="1326"/>
      <c r="D28" s="1327"/>
      <c r="E28" s="1328"/>
      <c r="F28" s="1328"/>
      <c r="G28" s="1328"/>
      <c r="H28" s="1328"/>
      <c r="I28" s="1328"/>
      <c r="J28" s="1328"/>
      <c r="K28" s="1328"/>
      <c r="L28" s="1328"/>
      <c r="M28" s="1328"/>
      <c r="N28" s="1324"/>
    </row>
    <row r="29" spans="2:14" x14ac:dyDescent="0.2">
      <c r="B29" s="1237"/>
      <c r="C29" s="1329"/>
      <c r="D29" s="1330"/>
      <c r="E29" s="1237"/>
      <c r="F29" s="1237"/>
      <c r="G29" s="1230"/>
      <c r="H29" s="1230"/>
      <c r="I29" s="1230"/>
      <c r="J29" s="1230"/>
      <c r="K29" s="1230"/>
      <c r="L29" s="1230"/>
      <c r="M29" s="1237"/>
      <c r="N29" s="1324"/>
    </row>
    <row r="30" spans="2:14" ht="13.5" customHeight="1" x14ac:dyDescent="0.2">
      <c r="B30" s="1262" t="s">
        <v>1837</v>
      </c>
      <c r="C30" s="1329"/>
      <c r="D30" s="1330"/>
      <c r="E30" s="1237"/>
      <c r="F30" s="1237"/>
      <c r="G30" s="1230"/>
      <c r="H30" s="1230"/>
      <c r="I30" s="1230"/>
      <c r="J30" s="1230"/>
      <c r="K30" s="1230"/>
      <c r="L30" s="1230"/>
      <c r="M30" s="1237"/>
      <c r="N30" s="1324"/>
    </row>
    <row r="31" spans="2:14" ht="8.25" customHeight="1" x14ac:dyDescent="0.2">
      <c r="B31" s="1262"/>
      <c r="C31" s="1329"/>
      <c r="D31" s="1330"/>
      <c r="E31" s="1237"/>
      <c r="F31" s="1237"/>
      <c r="G31" s="1230"/>
      <c r="H31" s="1230"/>
      <c r="I31" s="1230"/>
      <c r="J31" s="1230"/>
      <c r="K31" s="1230"/>
      <c r="L31" s="1230"/>
      <c r="M31" s="1237"/>
      <c r="N31" s="1324"/>
    </row>
    <row r="32" spans="2:14" x14ac:dyDescent="0.2">
      <c r="B32" s="1331" t="s">
        <v>1947</v>
      </c>
      <c r="C32" s="1332"/>
      <c r="D32" s="1333"/>
      <c r="E32" s="1334"/>
      <c r="F32" s="1334"/>
      <c r="G32" s="1334"/>
      <c r="H32" s="1334"/>
      <c r="I32" s="317"/>
      <c r="J32" s="317"/>
    </row>
    <row r="33" spans="2:13" x14ac:dyDescent="0.2">
      <c r="B33" s="1257"/>
      <c r="C33" s="1335"/>
      <c r="D33" s="1336"/>
      <c r="E33" s="1258"/>
      <c r="F33" s="1258"/>
      <c r="G33" s="317"/>
      <c r="H33" s="317"/>
      <c r="I33" s="317"/>
      <c r="J33" s="317"/>
    </row>
    <row r="34" spans="2:13" ht="13.5" customHeight="1" x14ac:dyDescent="0.2">
      <c r="B34" s="1256" t="s">
        <v>1308</v>
      </c>
      <c r="G34" s="317"/>
      <c r="H34" s="317"/>
      <c r="I34" s="317"/>
      <c r="J34" s="317"/>
    </row>
    <row r="35" spans="2:13" ht="13.5" customHeight="1" x14ac:dyDescent="0.2">
      <c r="B35" s="1339"/>
      <c r="C35" s="1340"/>
      <c r="D35" s="1341"/>
      <c r="E35" s="1277"/>
      <c r="F35" s="1277"/>
      <c r="G35" s="1277"/>
      <c r="H35" s="1277"/>
      <c r="I35" s="1277"/>
      <c r="J35" s="1277"/>
      <c r="K35" s="1342"/>
      <c r="L35" s="1342"/>
      <c r="M35" s="1277"/>
    </row>
    <row r="36" spans="2:13" ht="9.6" customHeight="1" x14ac:dyDescent="0.2">
      <c r="B36" s="1343"/>
      <c r="G36" s="317"/>
      <c r="H36" s="317"/>
      <c r="I36" s="317"/>
      <c r="J36" s="317"/>
    </row>
    <row r="37" spans="2:13" ht="11.25" customHeight="1" x14ac:dyDescent="0.2">
      <c r="B37" s="1344" t="s">
        <v>1838</v>
      </c>
      <c r="C37" s="1345"/>
      <c r="D37" s="1345"/>
      <c r="E37" s="1345"/>
      <c r="F37" s="1345"/>
      <c r="G37" s="1345"/>
      <c r="H37" s="1345"/>
      <c r="I37" s="1346"/>
      <c r="J37" s="1346"/>
      <c r="K37" s="1346"/>
      <c r="L37" s="1346"/>
      <c r="M37" s="1346"/>
    </row>
    <row r="38" spans="2:13" ht="11.25" customHeight="1" x14ac:dyDescent="0.2">
      <c r="B38" s="1347" t="s">
        <v>1666</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1839</v>
      </c>
      <c r="C40" s="1346"/>
      <c r="D40" s="1346"/>
      <c r="E40" s="1346"/>
      <c r="F40" s="1346"/>
      <c r="G40" s="1346"/>
      <c r="H40" s="1346"/>
      <c r="I40" s="1346"/>
      <c r="J40" s="1346"/>
      <c r="K40" s="1346"/>
      <c r="L40" s="1346"/>
      <c r="M40" s="1346"/>
    </row>
    <row r="41" spans="2:13" ht="11.25" customHeight="1" x14ac:dyDescent="0.2">
      <c r="B41" s="1280" t="s">
        <v>1667</v>
      </c>
      <c r="C41" s="1348"/>
      <c r="D41" s="1349"/>
      <c r="E41" s="1280"/>
      <c r="F41" s="1280"/>
      <c r="G41" s="1280"/>
      <c r="H41" s="1280"/>
      <c r="I41" s="1280"/>
      <c r="J41" s="1280"/>
      <c r="K41" s="1350"/>
      <c r="L41" s="1350"/>
      <c r="M41" s="1280"/>
    </row>
    <row r="42" spans="2:13" ht="3.95" customHeight="1" x14ac:dyDescent="0.2">
      <c r="B42" s="1280"/>
      <c r="C42" s="1348"/>
      <c r="D42" s="1349"/>
      <c r="E42" s="1280"/>
      <c r="F42" s="1280"/>
      <c r="G42" s="1280"/>
      <c r="H42" s="1280"/>
      <c r="I42" s="1280"/>
      <c r="J42" s="1280"/>
      <c r="K42" s="1350"/>
      <c r="L42" s="1350"/>
      <c r="M42" s="1280"/>
    </row>
    <row r="43" spans="2:13" ht="11.25" customHeight="1" x14ac:dyDescent="0.2">
      <c r="B43" s="1351" t="s">
        <v>1840</v>
      </c>
      <c r="C43" s="1348"/>
      <c r="D43" s="1349"/>
      <c r="E43" s="1280"/>
      <c r="F43" s="1280"/>
      <c r="G43" s="1280"/>
      <c r="H43" s="1280"/>
      <c r="I43" s="1280"/>
      <c r="J43" s="1280"/>
      <c r="K43" s="1350"/>
      <c r="L43" s="1350"/>
      <c r="M43" s="1280"/>
    </row>
    <row r="44" spans="2:13" ht="3.95" customHeight="1" x14ac:dyDescent="0.2">
      <c r="B44" s="1351"/>
      <c r="C44" s="1348"/>
      <c r="D44" s="1349"/>
      <c r="E44" s="1280"/>
      <c r="F44" s="1280"/>
      <c r="G44" s="1280"/>
      <c r="H44" s="1280"/>
      <c r="I44" s="1280"/>
      <c r="J44" s="1280"/>
      <c r="K44" s="1350"/>
      <c r="L44" s="1350"/>
      <c r="M44" s="1280"/>
    </row>
    <row r="45" spans="2:13" ht="11.25" customHeight="1" x14ac:dyDescent="0.2">
      <c r="B45" s="1352" t="s">
        <v>1841</v>
      </c>
      <c r="C45" s="1348"/>
      <c r="D45" s="1349"/>
      <c r="E45" s="1280"/>
      <c r="F45" s="1280"/>
      <c r="G45" s="1280"/>
      <c r="H45" s="1280"/>
      <c r="I45" s="1280"/>
      <c r="J45" s="1280"/>
      <c r="K45" s="1350"/>
      <c r="L45" s="1350"/>
      <c r="M45" s="1280"/>
    </row>
    <row r="46" spans="2:13" ht="11.25" customHeight="1" x14ac:dyDescent="0.2">
      <c r="B46" s="1280" t="s">
        <v>1668</v>
      </c>
      <c r="G46" s="317"/>
      <c r="H46" s="317"/>
      <c r="I46" s="317"/>
      <c r="J46" s="317"/>
    </row>
    <row r="47" spans="2:13" ht="11.1" customHeight="1" x14ac:dyDescent="0.2">
      <c r="B47" s="1280"/>
      <c r="G47" s="317"/>
      <c r="H47" s="317"/>
      <c r="I47" s="317"/>
      <c r="J47" s="317"/>
    </row>
    <row r="48" spans="2:13" ht="11.1" customHeight="1" x14ac:dyDescent="0.2">
      <c r="B48" s="1280"/>
      <c r="G48" s="317"/>
      <c r="H48" s="317"/>
      <c r="I48" s="317"/>
      <c r="J48" s="317"/>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fitToWidth="0" fitToHeight="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1230</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1" t="s">
        <v>1731</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1" t="s">
        <v>331</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1390</v>
      </c>
      <c r="B70" s="2124"/>
      <c r="C70" s="2124"/>
      <c r="D70" s="2124"/>
      <c r="E70" s="2125"/>
      <c r="F70" s="2125"/>
      <c r="G70" s="2125"/>
      <c r="H70" s="2125"/>
      <c r="I70" s="212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3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1387</v>
      </c>
      <c r="B83" s="2126"/>
      <c r="C83" s="2126"/>
      <c r="D83" s="212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8"/>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2073</v>
      </c>
      <c r="D114" s="211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1397</v>
      </c>
      <c r="D117" s="2119"/>
      <c r="E117" s="2120"/>
      <c r="F117" s="2120"/>
      <c r="G117" s="2120"/>
      <c r="H117" s="2120"/>
      <c r="I117" s="304"/>
    </row>
    <row r="118" spans="1:9" s="181" customFormat="1" ht="24" customHeight="1" x14ac:dyDescent="0.2">
      <c r="A118" s="316"/>
      <c r="B118" s="316"/>
      <c r="C118" s="316"/>
      <c r="D118" s="323"/>
      <c r="E118" s="322"/>
      <c r="F118" s="324"/>
      <c r="G118" s="1841"/>
      <c r="H118" s="322"/>
      <c r="I118" s="304"/>
    </row>
    <row r="119" spans="1:9" s="181" customFormat="1" ht="11.25" customHeight="1" x14ac:dyDescent="0.2">
      <c r="A119" s="325"/>
      <c r="B119" s="325"/>
      <c r="C119" s="326"/>
      <c r="D119" s="327" t="s">
        <v>379</v>
      </c>
      <c r="E119" s="310"/>
      <c r="F119" s="1840" t="s">
        <v>2018</v>
      </c>
      <c r="G119" s="328"/>
      <c r="H119" s="328"/>
      <c r="I119" s="304"/>
    </row>
    <row r="120" spans="1:9" x14ac:dyDescent="0.2">
      <c r="A120" s="329"/>
      <c r="B120" s="180"/>
      <c r="C120" s="330"/>
      <c r="D120" s="256"/>
      <c r="E120" s="256"/>
      <c r="F120" s="256"/>
      <c r="G120" s="256"/>
      <c r="H120" s="256"/>
      <c r="I120" s="304"/>
    </row>
    <row r="121" spans="1:9" x14ac:dyDescent="0.2">
      <c r="A121" s="329"/>
      <c r="B121" s="149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80" zoomScaleNormal="80" workbookViewId="0">
      <selection activeCell="M11" sqref="M11"/>
    </sheetView>
  </sheetViews>
  <sheetFormatPr defaultColWidth="33.5703125" defaultRowHeight="12.75" x14ac:dyDescent="0.2"/>
  <cols>
    <col min="1" max="1" width="0.140625" style="317" customWidth="1"/>
    <col min="2" max="2" width="32.85546875" style="317" customWidth="1"/>
    <col min="3" max="3" width="8.7109375" style="1337" customWidth="1"/>
    <col min="4" max="4" width="12.7109375" style="1338" customWidth="1"/>
    <col min="5" max="6" width="11.7109375" style="317" customWidth="1"/>
    <col min="7" max="7" width="11.7109375" style="1238" customWidth="1"/>
    <col min="8" max="8" width="13.7109375" style="1238" bestFit="1" customWidth="1"/>
    <col min="9" max="9" width="11.7109375" style="1238" customWidth="1"/>
    <col min="10" max="10" width="13.7109375" style="1238" customWidth="1"/>
    <col min="11" max="12" width="11.7109375" style="1238" customWidth="1"/>
    <col min="13" max="13" width="11.7109375" style="317" customWidth="1"/>
    <col min="14" max="14" width="2.7109375" style="317" customWidth="1"/>
    <col min="15" max="16384" width="33.5703125" style="317"/>
  </cols>
  <sheetData>
    <row r="1" spans="2:14" ht="11.85" customHeight="1" x14ac:dyDescent="0.2">
      <c r="B1" s="2465" t="str">
        <f>'Single Audit Cover'!A7</f>
        <v>Ottawa ESD 141</v>
      </c>
      <c r="C1" s="2499"/>
      <c r="D1" s="2499"/>
      <c r="E1" s="2499"/>
      <c r="F1" s="2499"/>
      <c r="G1" s="2499"/>
      <c r="H1" s="2499"/>
      <c r="I1" s="2499"/>
      <c r="J1" s="2499"/>
      <c r="K1" s="2499"/>
      <c r="L1" s="2499"/>
      <c r="M1" s="2499"/>
    </row>
    <row r="2" spans="2:14" ht="15" x14ac:dyDescent="0.2">
      <c r="B2" s="2496">
        <f>'Single Audit Cover'!E7</f>
        <v>35050141002</v>
      </c>
      <c r="C2" s="2496"/>
      <c r="D2" s="2496"/>
      <c r="E2" s="2496"/>
      <c r="F2" s="2496"/>
      <c r="G2" s="2496"/>
      <c r="H2" s="2496"/>
      <c r="I2" s="2496"/>
      <c r="J2" s="2496"/>
      <c r="K2" s="2496"/>
      <c r="L2" s="2496"/>
      <c r="M2" s="2496"/>
      <c r="N2" s="1282"/>
    </row>
    <row r="3" spans="2:14" ht="15" x14ac:dyDescent="0.2">
      <c r="B3" s="2500" t="s">
        <v>1281</v>
      </c>
      <c r="C3" s="2500"/>
      <c r="D3" s="2500"/>
      <c r="E3" s="2500"/>
      <c r="F3" s="2500"/>
      <c r="G3" s="2500"/>
      <c r="H3" s="2500"/>
      <c r="I3" s="2500"/>
      <c r="J3" s="2500"/>
      <c r="K3" s="2500"/>
      <c r="L3" s="2500"/>
      <c r="M3" s="2500"/>
      <c r="N3" s="1282"/>
    </row>
    <row r="4" spans="2:14" ht="15" x14ac:dyDescent="0.2">
      <c r="B4" s="2501" t="str">
        <f>'Single Audit Cover'!A4</f>
        <v>Year Ending June 30, 2018</v>
      </c>
      <c r="C4" s="2501"/>
      <c r="D4" s="2501"/>
      <c r="E4" s="2501"/>
      <c r="F4" s="2501"/>
      <c r="G4" s="2501"/>
      <c r="H4" s="2501"/>
      <c r="I4" s="2501"/>
      <c r="J4" s="2501"/>
      <c r="K4" s="2501"/>
      <c r="L4" s="2501"/>
      <c r="M4" s="2501"/>
      <c r="N4" s="1282"/>
    </row>
    <row r="6" spans="2:14" x14ac:dyDescent="0.2">
      <c r="B6" s="1283"/>
      <c r="C6" s="1284"/>
      <c r="D6" s="1285" t="s">
        <v>1327</v>
      </c>
      <c r="E6" s="1286" t="s">
        <v>548</v>
      </c>
      <c r="F6" s="1287"/>
      <c r="G6" s="1288" t="s">
        <v>1834</v>
      </c>
      <c r="H6" s="1286"/>
      <c r="I6" s="1286"/>
      <c r="J6" s="1286"/>
      <c r="K6" s="1289"/>
      <c r="L6" s="1290"/>
      <c r="M6" s="1291"/>
    </row>
    <row r="7" spans="2:14" x14ac:dyDescent="0.2">
      <c r="B7" s="1292" t="s">
        <v>1662</v>
      </c>
      <c r="C7" s="1293"/>
      <c r="D7" s="1294"/>
      <c r="E7" s="1295"/>
      <c r="F7" s="1296"/>
      <c r="G7" s="1295"/>
      <c r="H7" s="1297" t="s">
        <v>1324</v>
      </c>
      <c r="I7" s="1295"/>
      <c r="J7" s="1298" t="s">
        <v>1324</v>
      </c>
      <c r="K7" s="1299"/>
      <c r="L7" s="1300" t="s">
        <v>1322</v>
      </c>
      <c r="M7" s="1301"/>
    </row>
    <row r="8" spans="2:14" x14ac:dyDescent="0.2">
      <c r="B8" s="1665"/>
      <c r="C8" s="1293" t="s">
        <v>1326</v>
      </c>
      <c r="D8" s="1294" t="s">
        <v>1325</v>
      </c>
      <c r="E8" s="1302" t="s">
        <v>1324</v>
      </c>
      <c r="F8" s="1303" t="s">
        <v>1324</v>
      </c>
      <c r="G8" s="1304" t="s">
        <v>1324</v>
      </c>
      <c r="H8" s="1297" t="s">
        <v>1663</v>
      </c>
      <c r="I8" s="1299" t="s">
        <v>1324</v>
      </c>
      <c r="J8" s="1298" t="s">
        <v>1946</v>
      </c>
      <c r="K8" s="1299" t="s">
        <v>1323</v>
      </c>
      <c r="L8" s="1300" t="s">
        <v>1319</v>
      </c>
      <c r="M8" s="1301" t="s">
        <v>30</v>
      </c>
    </row>
    <row r="9" spans="2:14" ht="14.25" x14ac:dyDescent="0.2">
      <c r="B9" s="1305" t="s">
        <v>1321</v>
      </c>
      <c r="C9" s="1293" t="s">
        <v>1835</v>
      </c>
      <c r="D9" s="1294" t="s">
        <v>1836</v>
      </c>
      <c r="E9" s="1302" t="s">
        <v>1663</v>
      </c>
      <c r="F9" s="1303" t="s">
        <v>1946</v>
      </c>
      <c r="G9" s="1304" t="s">
        <v>1663</v>
      </c>
      <c r="H9" s="1297" t="s">
        <v>1664</v>
      </c>
      <c r="I9" s="1299" t="s">
        <v>1946</v>
      </c>
      <c r="J9" s="1298" t="s">
        <v>1664</v>
      </c>
      <c r="K9" s="1299" t="s">
        <v>1320</v>
      </c>
      <c r="L9" s="1306" t="s">
        <v>1665</v>
      </c>
      <c r="M9" s="1301"/>
    </row>
    <row r="10" spans="2:14" ht="11.85" customHeight="1" x14ac:dyDescent="0.2">
      <c r="B10" s="1305" t="s">
        <v>1318</v>
      </c>
      <c r="C10" s="1307" t="s">
        <v>1317</v>
      </c>
      <c r="D10" s="1308" t="s">
        <v>1316</v>
      </c>
      <c r="E10" s="1309" t="s">
        <v>1315</v>
      </c>
      <c r="F10" s="1310" t="s">
        <v>1314</v>
      </c>
      <c r="G10" s="1311" t="s">
        <v>1313</v>
      </c>
      <c r="H10" s="1312" t="s">
        <v>1328</v>
      </c>
      <c r="I10" s="1313" t="s">
        <v>1312</v>
      </c>
      <c r="J10" s="1314" t="s">
        <v>1328</v>
      </c>
      <c r="K10" s="1315" t="s">
        <v>1311</v>
      </c>
      <c r="L10" s="1315" t="s">
        <v>1310</v>
      </c>
      <c r="M10" s="1316" t="s">
        <v>1309</v>
      </c>
    </row>
    <row r="11" spans="2:14" ht="20.100000000000001" customHeight="1" x14ac:dyDescent="0.2">
      <c r="B11" s="1317" t="s">
        <v>4049</v>
      </c>
      <c r="C11" s="1321"/>
      <c r="D11" s="1322"/>
      <c r="E11" s="1323"/>
      <c r="F11" s="1323"/>
      <c r="G11" s="1323"/>
      <c r="H11" s="1323"/>
      <c r="I11" s="1323"/>
      <c r="J11" s="1323"/>
      <c r="K11" s="1323"/>
      <c r="L11" s="1320">
        <f t="shared" ref="L11:L25" si="0">+G11+I11+K11</f>
        <v>0</v>
      </c>
      <c r="M11" s="1323"/>
    </row>
    <row r="12" spans="2:14" ht="20.100000000000001" customHeight="1" x14ac:dyDescent="0.2">
      <c r="B12" s="1317"/>
      <c r="C12" s="1321"/>
      <c r="D12" s="1322"/>
      <c r="E12" s="1323"/>
      <c r="F12" s="1323"/>
      <c r="G12" s="1323"/>
      <c r="H12" s="1323"/>
      <c r="I12" s="1323"/>
      <c r="J12" s="1323"/>
      <c r="K12" s="1323"/>
      <c r="L12" s="1320">
        <f t="shared" si="0"/>
        <v>0</v>
      </c>
      <c r="M12" s="1323"/>
    </row>
    <row r="13" spans="2:14" ht="20.100000000000001" customHeight="1" x14ac:dyDescent="0.2">
      <c r="B13" s="1317" t="s">
        <v>1118</v>
      </c>
      <c r="C13" s="1321">
        <v>10.555</v>
      </c>
      <c r="D13" s="1322" t="s">
        <v>3965</v>
      </c>
      <c r="E13" s="1323">
        <v>335452</v>
      </c>
      <c r="F13" s="1323">
        <v>62472</v>
      </c>
      <c r="G13" s="1323">
        <v>335452</v>
      </c>
      <c r="H13" s="1323"/>
      <c r="I13" s="1323">
        <v>62472</v>
      </c>
      <c r="J13" s="1323"/>
      <c r="K13" s="1323"/>
      <c r="L13" s="1320">
        <f t="shared" si="0"/>
        <v>397924</v>
      </c>
      <c r="M13" s="1323"/>
    </row>
    <row r="14" spans="2:14" ht="20.100000000000001" customHeight="1" x14ac:dyDescent="0.2">
      <c r="B14" s="1317" t="s">
        <v>1118</v>
      </c>
      <c r="C14" s="1321">
        <v>10.555</v>
      </c>
      <c r="D14" s="1322" t="s">
        <v>3965</v>
      </c>
      <c r="E14" s="1323"/>
      <c r="F14" s="1323">
        <v>341292</v>
      </c>
      <c r="G14" s="1323"/>
      <c r="H14" s="1323"/>
      <c r="I14" s="1323">
        <v>341292</v>
      </c>
      <c r="J14" s="1323"/>
      <c r="K14" s="1323"/>
      <c r="L14" s="1320">
        <f t="shared" si="0"/>
        <v>341292</v>
      </c>
      <c r="M14" s="1323" t="s">
        <v>3942</v>
      </c>
    </row>
    <row r="15" spans="2:14" ht="20.100000000000001" customHeight="1" x14ac:dyDescent="0.2">
      <c r="B15" s="1317" t="s">
        <v>1119</v>
      </c>
      <c r="C15" s="1321">
        <v>10.553000000000001</v>
      </c>
      <c r="D15" s="1322" t="s">
        <v>3966</v>
      </c>
      <c r="E15" s="1323">
        <v>77735</v>
      </c>
      <c r="F15" s="1323">
        <v>15375</v>
      </c>
      <c r="G15" s="1323">
        <v>77735</v>
      </c>
      <c r="H15" s="1323"/>
      <c r="I15" s="1323">
        <v>15375</v>
      </c>
      <c r="J15" s="1323"/>
      <c r="K15" s="1323"/>
      <c r="L15" s="1320">
        <f t="shared" si="0"/>
        <v>93110</v>
      </c>
      <c r="M15" s="1323" t="s">
        <v>3942</v>
      </c>
    </row>
    <row r="16" spans="2:14" ht="20.100000000000001" customHeight="1" x14ac:dyDescent="0.2">
      <c r="B16" s="1317" t="s">
        <v>1119</v>
      </c>
      <c r="C16" s="1321">
        <v>10.553000000000001</v>
      </c>
      <c r="D16" s="1322" t="s">
        <v>3967</v>
      </c>
      <c r="E16" s="1323"/>
      <c r="F16" s="1323">
        <v>77529</v>
      </c>
      <c r="G16" s="1323"/>
      <c r="H16" s="1323"/>
      <c r="I16" s="1323">
        <v>77529</v>
      </c>
      <c r="J16" s="1323"/>
      <c r="K16" s="1323"/>
      <c r="L16" s="1320">
        <f t="shared" si="0"/>
        <v>77529</v>
      </c>
      <c r="M16" s="1323" t="s">
        <v>3942</v>
      </c>
    </row>
    <row r="17" spans="2:14" ht="20.100000000000001" customHeight="1" x14ac:dyDescent="0.2">
      <c r="B17" s="1317" t="s">
        <v>3968</v>
      </c>
      <c r="C17" s="1321">
        <v>10.555</v>
      </c>
      <c r="D17" s="1322" t="s">
        <v>3969</v>
      </c>
      <c r="E17" s="1323"/>
      <c r="F17" s="1323">
        <v>55726</v>
      </c>
      <c r="G17" s="1323"/>
      <c r="H17" s="1323"/>
      <c r="I17" s="1323">
        <v>55726</v>
      </c>
      <c r="J17" s="1323"/>
      <c r="K17" s="1323"/>
      <c r="L17" s="1320">
        <f t="shared" si="0"/>
        <v>55726</v>
      </c>
      <c r="M17" s="1323" t="s">
        <v>3942</v>
      </c>
    </row>
    <row r="18" spans="2:14" ht="20.100000000000001" customHeight="1" x14ac:dyDescent="0.2">
      <c r="B18" s="1317"/>
      <c r="C18" s="1321"/>
      <c r="D18" s="1322"/>
      <c r="E18" s="1323"/>
      <c r="F18" s="1323"/>
      <c r="G18" s="1323"/>
      <c r="H18" s="1323"/>
      <c r="I18" s="1323"/>
      <c r="J18" s="1323"/>
      <c r="K18" s="1323"/>
      <c r="L18" s="1320">
        <f t="shared" si="0"/>
        <v>0</v>
      </c>
      <c r="M18" s="1323"/>
    </row>
    <row r="19" spans="2:14" ht="20.100000000000001" customHeight="1" x14ac:dyDescent="0.2">
      <c r="B19" s="1317" t="s">
        <v>4051</v>
      </c>
      <c r="C19" s="1321"/>
      <c r="D19" s="1322"/>
      <c r="E19" s="1323"/>
      <c r="F19" s="1323"/>
      <c r="G19" s="1323"/>
      <c r="H19" s="1323"/>
      <c r="I19" s="1323"/>
      <c r="J19" s="1323"/>
      <c r="K19" s="1323"/>
      <c r="L19" s="1320">
        <f t="shared" si="0"/>
        <v>0</v>
      </c>
      <c r="M19" s="1323"/>
    </row>
    <row r="20" spans="2:14" ht="20.100000000000001" customHeight="1" x14ac:dyDescent="0.2">
      <c r="B20" s="1317" t="s">
        <v>3970</v>
      </c>
      <c r="C20" s="1321">
        <v>10.555</v>
      </c>
      <c r="D20" s="1322" t="s">
        <v>3969</v>
      </c>
      <c r="E20" s="1323"/>
      <c r="F20" s="1323">
        <v>30244</v>
      </c>
      <c r="G20" s="1323"/>
      <c r="H20" s="1323"/>
      <c r="I20" s="1323">
        <v>30244</v>
      </c>
      <c r="J20" s="1323"/>
      <c r="K20" s="1323"/>
      <c r="L20" s="1320">
        <f t="shared" si="0"/>
        <v>30244</v>
      </c>
      <c r="M20" s="1323" t="s">
        <v>3942</v>
      </c>
    </row>
    <row r="21" spans="2:14" ht="20.100000000000001" customHeight="1" x14ac:dyDescent="0.2">
      <c r="B21" s="1317"/>
      <c r="C21" s="1321"/>
      <c r="D21" s="1322"/>
      <c r="E21" s="1323"/>
      <c r="F21" s="1323"/>
      <c r="G21" s="1323"/>
      <c r="H21" s="1323"/>
      <c r="I21" s="1323"/>
      <c r="J21" s="1323"/>
      <c r="K21" s="1323"/>
      <c r="L21" s="1320">
        <f t="shared" si="0"/>
        <v>0</v>
      </c>
      <c r="M21" s="1323"/>
    </row>
    <row r="22" spans="2:14" ht="20.100000000000001" customHeight="1" x14ac:dyDescent="0.2">
      <c r="B22" s="1317" t="s">
        <v>4052</v>
      </c>
      <c r="C22" s="1321"/>
      <c r="D22" s="1322"/>
      <c r="E22" s="1323">
        <f t="shared" ref="E22:J22" si="1">SUM(E11:E21)</f>
        <v>413187</v>
      </c>
      <c r="F22" s="1323">
        <f t="shared" si="1"/>
        <v>582638</v>
      </c>
      <c r="G22" s="1323">
        <f t="shared" si="1"/>
        <v>413187</v>
      </c>
      <c r="H22" s="1323">
        <f t="shared" si="1"/>
        <v>0</v>
      </c>
      <c r="I22" s="1323">
        <f t="shared" si="1"/>
        <v>582638</v>
      </c>
      <c r="J22" s="1323">
        <f t="shared" si="1"/>
        <v>0</v>
      </c>
      <c r="K22" s="1323"/>
      <c r="L22" s="1320">
        <f t="shared" si="0"/>
        <v>995825</v>
      </c>
      <c r="M22" s="1323" t="s">
        <v>3942</v>
      </c>
    </row>
    <row r="23" spans="2:14" ht="20.100000000000001" customHeight="1" x14ac:dyDescent="0.2">
      <c r="B23" s="1317"/>
      <c r="C23" s="1321"/>
      <c r="D23" s="1322"/>
      <c r="E23" s="1323"/>
      <c r="F23" s="1323"/>
      <c r="G23" s="1323"/>
      <c r="H23" s="1323"/>
      <c r="I23" s="1323"/>
      <c r="J23" s="1323"/>
      <c r="K23" s="1323"/>
      <c r="L23" s="1320">
        <f t="shared" si="0"/>
        <v>0</v>
      </c>
      <c r="M23" s="1323"/>
    </row>
    <row r="24" spans="2:14" ht="20.100000000000001" customHeight="1" x14ac:dyDescent="0.2">
      <c r="B24" s="1317" t="s">
        <v>3971</v>
      </c>
      <c r="C24" s="1321"/>
      <c r="D24" s="1322"/>
      <c r="E24" s="1323"/>
      <c r="F24" s="1323"/>
      <c r="G24" s="1323"/>
      <c r="H24" s="1323"/>
      <c r="I24" s="1323"/>
      <c r="J24" s="1323"/>
      <c r="K24" s="1323"/>
      <c r="L24" s="1320">
        <f t="shared" si="0"/>
        <v>0</v>
      </c>
      <c r="M24" s="1323"/>
    </row>
    <row r="25" spans="2:14" ht="20.100000000000001" customHeight="1" x14ac:dyDescent="0.2">
      <c r="B25" s="1317" t="s">
        <v>3972</v>
      </c>
      <c r="C25" s="1321"/>
      <c r="D25" s="1322"/>
      <c r="E25" s="1323"/>
      <c r="F25" s="1323"/>
      <c r="G25" s="1323"/>
      <c r="H25" s="1323"/>
      <c r="I25" s="1323"/>
      <c r="J25" s="1323"/>
      <c r="K25" s="1323"/>
      <c r="L25" s="1320">
        <f t="shared" si="0"/>
        <v>0</v>
      </c>
      <c r="M25" s="1323"/>
    </row>
    <row r="26" spans="2:14" ht="20.100000000000001" customHeight="1" x14ac:dyDescent="0.2">
      <c r="B26" s="1317" t="s">
        <v>3973</v>
      </c>
      <c r="C26" s="1321">
        <v>93.778000000000006</v>
      </c>
      <c r="D26" s="1322" t="s">
        <v>3974</v>
      </c>
      <c r="E26" s="1323"/>
      <c r="F26" s="1323">
        <v>76112</v>
      </c>
      <c r="G26" s="1323"/>
      <c r="H26" s="1323"/>
      <c r="I26" s="1323">
        <v>76112</v>
      </c>
      <c r="J26" s="1323"/>
      <c r="K26" s="1323"/>
      <c r="L26" s="1320">
        <f t="shared" ref="L26" si="2">+G26+I26+K26</f>
        <v>76112</v>
      </c>
      <c r="M26" s="1323" t="s">
        <v>3942</v>
      </c>
    </row>
    <row r="27" spans="2:14" ht="20.100000000000001" customHeight="1" x14ac:dyDescent="0.2">
      <c r="B27" s="1317" t="s">
        <v>3975</v>
      </c>
      <c r="C27" s="1321"/>
      <c r="D27" s="1322"/>
      <c r="E27" s="1323">
        <f>' SEFA'!E27+' SEFA (2)'!E22+SUM(' SEFA (2)'!E23:E26)</f>
        <v>1060306</v>
      </c>
      <c r="F27" s="1323">
        <f>' SEFA'!F27+' SEFA (2)'!F22+SUM(' SEFA (2)'!F23:F26)</f>
        <v>1708718</v>
      </c>
      <c r="G27" s="1323">
        <f>' SEFA'!G27+' SEFA (2)'!G22+SUM(' SEFA (2)'!G23:G26)</f>
        <v>1060463</v>
      </c>
      <c r="H27" s="1323">
        <f>' SEFA'!H27+' SEFA (2)'!H22+SUM(' SEFA (2)'!H23:H26)</f>
        <v>0</v>
      </c>
      <c r="I27" s="1323">
        <f>' SEFA'!I27+' SEFA (2)'!I22+SUM(' SEFA (2)'!I23:I26)</f>
        <v>1711726</v>
      </c>
      <c r="J27" s="1323">
        <f>' SEFA'!J27+' SEFA (2)'!J22+SUM(' SEFA (2)'!J23:J26)</f>
        <v>0</v>
      </c>
      <c r="K27" s="1323">
        <f>' SEFA'!K27+' SEFA (2)'!K22+SUM(' SEFA (2)'!K23:K26)</f>
        <v>88283</v>
      </c>
      <c r="L27" s="1320">
        <f t="shared" ref="L27" si="3">+G27+I27+K27</f>
        <v>2860472</v>
      </c>
      <c r="M27" s="1323"/>
      <c r="N27" s="1324"/>
    </row>
    <row r="28" spans="2:14" ht="12.75" customHeight="1" x14ac:dyDescent="0.2">
      <c r="B28" s="1325"/>
      <c r="C28" s="1326"/>
      <c r="D28" s="1327"/>
      <c r="E28" s="1328"/>
      <c r="F28" s="1328"/>
      <c r="G28" s="1328"/>
      <c r="H28" s="1328"/>
      <c r="I28" s="1328"/>
      <c r="J28" s="1328"/>
      <c r="K28" s="1328"/>
      <c r="L28" s="1328"/>
      <c r="M28" s="1328"/>
      <c r="N28" s="1324"/>
    </row>
    <row r="29" spans="2:14" x14ac:dyDescent="0.2">
      <c r="B29" s="1237"/>
      <c r="C29" s="1329"/>
      <c r="D29" s="1330"/>
      <c r="E29" s="1237"/>
      <c r="F29" s="1237"/>
      <c r="G29" s="1230"/>
      <c r="H29" s="1230"/>
      <c r="I29" s="1230"/>
      <c r="J29" s="1230"/>
      <c r="K29" s="1230"/>
      <c r="L29" s="1230"/>
      <c r="M29" s="1237"/>
      <c r="N29" s="1324"/>
    </row>
    <row r="30" spans="2:14" ht="13.5" customHeight="1" x14ac:dyDescent="0.2">
      <c r="B30" s="1262" t="s">
        <v>1837</v>
      </c>
      <c r="C30" s="1329"/>
      <c r="D30" s="1330"/>
      <c r="E30" s="1237"/>
      <c r="F30" s="1237"/>
      <c r="G30" s="1230"/>
      <c r="H30" s="1230"/>
      <c r="I30" s="1230"/>
      <c r="J30" s="1230"/>
      <c r="K30" s="1230"/>
      <c r="L30" s="1230"/>
      <c r="M30" s="1237"/>
      <c r="N30" s="1324"/>
    </row>
    <row r="31" spans="2:14" ht="8.25" customHeight="1" x14ac:dyDescent="0.2">
      <c r="B31" s="1262"/>
      <c r="C31" s="1329"/>
      <c r="D31" s="1330"/>
      <c r="E31" s="1237"/>
      <c r="F31" s="1237"/>
      <c r="G31" s="1230"/>
      <c r="H31" s="1230"/>
      <c r="I31" s="1230"/>
      <c r="J31" s="1230"/>
      <c r="K31" s="1230"/>
      <c r="L31" s="1230"/>
      <c r="M31" s="1237"/>
      <c r="N31" s="1324"/>
    </row>
    <row r="32" spans="2:14" x14ac:dyDescent="0.2">
      <c r="B32" s="1331" t="s">
        <v>1947</v>
      </c>
      <c r="C32" s="1332"/>
      <c r="D32" s="1333"/>
      <c r="E32" s="1334"/>
      <c r="F32" s="1334"/>
      <c r="G32" s="1334"/>
      <c r="H32" s="1334"/>
      <c r="I32" s="317"/>
      <c r="J32" s="317"/>
    </row>
    <row r="33" spans="2:13" x14ac:dyDescent="0.2">
      <c r="B33" s="1257"/>
      <c r="C33" s="1335"/>
      <c r="D33" s="1336"/>
      <c r="E33" s="1258"/>
      <c r="F33" s="1258"/>
      <c r="G33" s="317"/>
      <c r="H33" s="317"/>
      <c r="I33" s="317"/>
      <c r="J33" s="317"/>
    </row>
    <row r="34" spans="2:13" ht="13.5" customHeight="1" x14ac:dyDescent="0.2">
      <c r="B34" s="1256" t="s">
        <v>1308</v>
      </c>
      <c r="G34" s="317"/>
      <c r="H34" s="317"/>
      <c r="I34" s="317"/>
      <c r="J34" s="317"/>
    </row>
    <row r="35" spans="2:13" ht="13.5" customHeight="1" x14ac:dyDescent="0.2">
      <c r="B35" s="1339"/>
      <c r="C35" s="1340"/>
      <c r="D35" s="1341"/>
      <c r="E35" s="1277"/>
      <c r="F35" s="1277"/>
      <c r="G35" s="1277"/>
      <c r="H35" s="1277"/>
      <c r="I35" s="1277"/>
      <c r="J35" s="1277"/>
      <c r="K35" s="1342"/>
      <c r="L35" s="1342"/>
      <c r="M35" s="1277"/>
    </row>
    <row r="36" spans="2:13" ht="9.6" customHeight="1" x14ac:dyDescent="0.2">
      <c r="B36" s="1343"/>
      <c r="G36" s="317"/>
      <c r="H36" s="317"/>
      <c r="I36" s="317"/>
      <c r="J36" s="317"/>
    </row>
    <row r="37" spans="2:13" ht="11.25" customHeight="1" x14ac:dyDescent="0.2">
      <c r="B37" s="1344" t="s">
        <v>1838</v>
      </c>
      <c r="C37" s="1345"/>
      <c r="D37" s="1345"/>
      <c r="E37" s="1345"/>
      <c r="F37" s="1345"/>
      <c r="G37" s="1345"/>
      <c r="H37" s="1345"/>
      <c r="I37" s="1346"/>
      <c r="J37" s="1346"/>
      <c r="K37" s="1346"/>
      <c r="L37" s="1346"/>
      <c r="M37" s="1346"/>
    </row>
    <row r="38" spans="2:13" ht="11.25" customHeight="1" x14ac:dyDescent="0.2">
      <c r="B38" s="1347" t="s">
        <v>1666</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1839</v>
      </c>
      <c r="C40" s="1346"/>
      <c r="D40" s="1346"/>
      <c r="E40" s="1346"/>
      <c r="F40" s="1346"/>
      <c r="G40" s="1346"/>
      <c r="H40" s="1346"/>
      <c r="I40" s="1346"/>
      <c r="J40" s="1346"/>
      <c r="K40" s="1346"/>
      <c r="L40" s="1346"/>
      <c r="M40" s="1346"/>
    </row>
    <row r="41" spans="2:13" ht="11.25" customHeight="1" x14ac:dyDescent="0.2">
      <c r="B41" s="1280" t="s">
        <v>1667</v>
      </c>
      <c r="C41" s="1348"/>
      <c r="D41" s="1349"/>
      <c r="E41" s="1280"/>
      <c r="F41" s="1280"/>
      <c r="G41" s="1280"/>
      <c r="H41" s="1280"/>
      <c r="I41" s="1280"/>
      <c r="J41" s="1280"/>
      <c r="K41" s="1350"/>
      <c r="L41" s="1350"/>
      <c r="M41" s="1280"/>
    </row>
    <row r="42" spans="2:13" ht="3.95" customHeight="1" x14ac:dyDescent="0.2">
      <c r="B42" s="1280"/>
      <c r="C42" s="1348"/>
      <c r="D42" s="1349"/>
      <c r="E42" s="1280"/>
      <c r="F42" s="1280"/>
      <c r="G42" s="1280"/>
      <c r="H42" s="1280"/>
      <c r="I42" s="1280"/>
      <c r="J42" s="1280"/>
      <c r="K42" s="1350"/>
      <c r="L42" s="1350"/>
      <c r="M42" s="1280"/>
    </row>
    <row r="43" spans="2:13" ht="11.25" customHeight="1" x14ac:dyDescent="0.2">
      <c r="B43" s="1351" t="s">
        <v>1840</v>
      </c>
      <c r="C43" s="1348"/>
      <c r="D43" s="1349"/>
      <c r="E43" s="1280"/>
      <c r="F43" s="1280"/>
      <c r="G43" s="1280"/>
      <c r="H43" s="1280"/>
      <c r="I43" s="1280"/>
      <c r="J43" s="1280"/>
      <c r="K43" s="1350"/>
      <c r="L43" s="1350"/>
      <c r="M43" s="1280"/>
    </row>
    <row r="44" spans="2:13" ht="3.95" customHeight="1" x14ac:dyDescent="0.2">
      <c r="B44" s="1351"/>
      <c r="C44" s="1348"/>
      <c r="D44" s="1349"/>
      <c r="E44" s="1280"/>
      <c r="F44" s="1280"/>
      <c r="G44" s="1280"/>
      <c r="H44" s="1280"/>
      <c r="I44" s="1280"/>
      <c r="J44" s="1280"/>
      <c r="K44" s="1350"/>
      <c r="L44" s="1350"/>
      <c r="M44" s="1280"/>
    </row>
    <row r="45" spans="2:13" ht="11.25" customHeight="1" x14ac:dyDescent="0.2">
      <c r="B45" s="1352" t="s">
        <v>1841</v>
      </c>
      <c r="C45" s="1348"/>
      <c r="D45" s="1349"/>
      <c r="E45" s="1280"/>
      <c r="F45" s="1280"/>
      <c r="G45" s="1280"/>
      <c r="H45" s="1280"/>
      <c r="I45" s="1280"/>
      <c r="J45" s="1280"/>
      <c r="K45" s="1350"/>
      <c r="L45" s="1350"/>
      <c r="M45" s="1280"/>
    </row>
    <row r="46" spans="2:13" ht="11.25" customHeight="1" x14ac:dyDescent="0.2">
      <c r="B46" s="1280" t="s">
        <v>1668</v>
      </c>
      <c r="G46" s="317"/>
      <c r="H46" s="317"/>
      <c r="I46" s="317"/>
      <c r="J46" s="317"/>
    </row>
    <row r="47" spans="2:13" ht="11.1" customHeight="1" x14ac:dyDescent="0.2">
      <c r="B47" s="1280"/>
      <c r="G47" s="317"/>
      <c r="H47" s="317"/>
      <c r="I47" s="317"/>
      <c r="J47" s="317"/>
    </row>
    <row r="48" spans="2:13" ht="11.1" customHeight="1" x14ac:dyDescent="0.2">
      <c r="B48" s="1280"/>
      <c r="G48" s="317"/>
      <c r="H48" s="317"/>
      <c r="I48" s="317"/>
      <c r="J48" s="317"/>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fitToHeight="0"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7" zoomScale="110" zoomScaleNormal="110" workbookViewId="0">
      <selection activeCell="M11" sqref="M11"/>
    </sheetView>
  </sheetViews>
  <sheetFormatPr defaultColWidth="9.140625" defaultRowHeight="12.75" x14ac:dyDescent="0.2"/>
  <cols>
    <col min="1" max="1" width="1.42578125" style="1280" customWidth="1"/>
    <col min="2" max="2" width="24.42578125" style="1337" customWidth="1"/>
    <col min="3" max="3" width="29.5703125" style="317" customWidth="1"/>
    <col min="4" max="4" width="9.28515625" style="317" customWidth="1"/>
    <col min="5" max="5" width="5.28515625" style="123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3" t="str">
        <f>'Single Audit Cover'!A7</f>
        <v>Ottawa ESD 141</v>
      </c>
      <c r="C1" s="2514"/>
      <c r="D1" s="2514"/>
      <c r="E1" s="2514"/>
      <c r="F1" s="2514"/>
      <c r="G1" s="2514"/>
      <c r="H1" s="2514"/>
      <c r="I1" s="2514"/>
      <c r="J1" s="1402"/>
    </row>
    <row r="2" spans="2:10" s="317" customFormat="1" ht="12.75" customHeight="1" x14ac:dyDescent="0.2">
      <c r="B2" s="2515">
        <f>'Single Audit Cover'!E7</f>
        <v>35050141002</v>
      </c>
      <c r="C2" s="2516"/>
      <c r="D2" s="2516"/>
      <c r="E2" s="2516"/>
      <c r="F2" s="2516"/>
      <c r="G2" s="2516"/>
      <c r="H2" s="2516"/>
      <c r="I2" s="2516"/>
      <c r="J2" s="1402"/>
    </row>
    <row r="3" spans="2:10" s="317" customFormat="1" ht="12.75" customHeight="1" x14ac:dyDescent="0.2">
      <c r="B3" s="2517" t="s">
        <v>1347</v>
      </c>
      <c r="C3" s="2518"/>
      <c r="D3" s="2518"/>
      <c r="E3" s="2518"/>
      <c r="F3" s="2518"/>
      <c r="G3" s="2518"/>
      <c r="H3" s="2518"/>
      <c r="I3" s="2518"/>
      <c r="J3" s="1403"/>
    </row>
    <row r="4" spans="2:10" s="317" customFormat="1" ht="12.75" customHeight="1" x14ac:dyDescent="0.2">
      <c r="B4" s="2517" t="str">
        <f>'Single Audit Cover'!A4</f>
        <v>Year Ending June 30, 2018</v>
      </c>
      <c r="C4" s="2518"/>
      <c r="D4" s="2518"/>
      <c r="E4" s="2518"/>
      <c r="F4" s="2518"/>
      <c r="G4" s="2518"/>
      <c r="H4" s="2518"/>
      <c r="I4" s="2518"/>
    </row>
    <row r="5" spans="2:10" s="317" customFormat="1" ht="6.2" customHeight="1" x14ac:dyDescent="0.2">
      <c r="B5" s="1404" t="s">
        <v>1231</v>
      </c>
      <c r="C5" s="1274"/>
      <c r="D5" s="1274"/>
      <c r="E5" s="1363"/>
      <c r="F5" s="322"/>
      <c r="G5" s="322"/>
      <c r="H5" s="322"/>
      <c r="I5" s="322"/>
    </row>
    <row r="6" spans="2:10" s="317" customFormat="1" ht="6.2" customHeight="1" x14ac:dyDescent="0.2">
      <c r="B6" s="1405"/>
      <c r="C6" s="1359"/>
      <c r="D6" s="1359"/>
      <c r="E6" s="1360"/>
      <c r="F6" s="1359"/>
      <c r="G6" s="1359"/>
      <c r="H6" s="1359"/>
      <c r="I6" s="1359"/>
    </row>
    <row r="7" spans="2:10" s="317" customFormat="1" ht="13.5" customHeight="1" x14ac:dyDescent="0.2">
      <c r="B7" s="2517" t="s">
        <v>1346</v>
      </c>
      <c r="C7" s="2518"/>
      <c r="D7" s="2518"/>
      <c r="E7" s="2518"/>
      <c r="F7" s="2518"/>
      <c r="G7" s="2518"/>
      <c r="H7" s="2518"/>
      <c r="I7" s="2518"/>
    </row>
    <row r="8" spans="2:10" s="317" customFormat="1" ht="6.2" customHeight="1" x14ac:dyDescent="0.2">
      <c r="B8" s="1406" t="s">
        <v>1231</v>
      </c>
      <c r="C8" s="1407"/>
      <c r="D8" s="1407"/>
      <c r="E8" s="1408"/>
      <c r="F8" s="1407"/>
      <c r="G8" s="1407"/>
      <c r="H8" s="1407"/>
      <c r="I8" s="1407"/>
    </row>
    <row r="9" spans="2:10" s="317" customFormat="1" ht="9" customHeight="1" x14ac:dyDescent="0.2">
      <c r="B9" s="1409"/>
      <c r="C9" s="322"/>
      <c r="D9" s="322"/>
      <c r="E9" s="1363"/>
      <c r="F9" s="322"/>
      <c r="G9" s="322"/>
      <c r="H9" s="322"/>
      <c r="I9" s="322"/>
    </row>
    <row r="10" spans="2:10" s="317" customFormat="1" ht="12.75" customHeight="1" x14ac:dyDescent="0.2">
      <c r="B10" s="1410" t="s">
        <v>1345</v>
      </c>
      <c r="C10" s="1411"/>
      <c r="D10" s="1411"/>
      <c r="E10" s="1238"/>
    </row>
    <row r="11" spans="2:10" s="317" customFormat="1" ht="13.5" customHeight="1" x14ac:dyDescent="0.2">
      <c r="B11" s="1329" t="s">
        <v>1344</v>
      </c>
      <c r="C11" s="2519" t="s">
        <v>1226</v>
      </c>
      <c r="D11" s="2519"/>
      <c r="E11" s="1412"/>
      <c r="F11" s="1412"/>
      <c r="G11" s="1412"/>
    </row>
    <row r="12" spans="2:10" s="317" customFormat="1" ht="11.45" customHeight="1" x14ac:dyDescent="0.2">
      <c r="B12" s="1337"/>
      <c r="C12" s="1413" t="s">
        <v>1517</v>
      </c>
      <c r="D12" s="1414"/>
      <c r="E12" s="1238"/>
    </row>
    <row r="13" spans="2:10" s="317" customFormat="1" ht="12.75" customHeight="1" x14ac:dyDescent="0.2">
      <c r="B13" s="1415"/>
      <c r="C13" s="1367"/>
      <c r="D13" s="1367"/>
      <c r="E13" s="1238"/>
    </row>
    <row r="14" spans="2:10" s="317" customFormat="1" ht="12.75" customHeight="1" x14ac:dyDescent="0.2">
      <c r="B14" s="1348" t="s">
        <v>1343</v>
      </c>
      <c r="C14" s="1262"/>
      <c r="E14" s="1238"/>
    </row>
    <row r="15" spans="2:10" s="317" customFormat="1" ht="13.5" customHeight="1" x14ac:dyDescent="0.2">
      <c r="B15" s="1416" t="s">
        <v>1340</v>
      </c>
      <c r="C15" s="1417"/>
      <c r="D15" s="1378"/>
      <c r="E15" s="1418" t="s">
        <v>2084</v>
      </c>
      <c r="F15" s="1280" t="s">
        <v>940</v>
      </c>
      <c r="G15" s="1418"/>
      <c r="H15" s="1280" t="s">
        <v>1338</v>
      </c>
      <c r="I15" s="1280"/>
    </row>
    <row r="16" spans="2:10" s="317" customFormat="1" ht="8.4499999999999993" customHeight="1" x14ac:dyDescent="0.2">
      <c r="B16" s="1348"/>
      <c r="C16" s="1262"/>
      <c r="E16" s="1363"/>
      <c r="F16" s="1280"/>
      <c r="G16" s="322"/>
      <c r="H16" s="1280"/>
      <c r="I16" s="1280"/>
    </row>
    <row r="17" spans="2:9" s="317" customFormat="1" ht="13.5" customHeight="1" x14ac:dyDescent="0.2">
      <c r="B17" s="1416" t="s">
        <v>1339</v>
      </c>
      <c r="C17" s="1417"/>
      <c r="D17" s="1378"/>
      <c r="E17" s="1419"/>
      <c r="F17" s="1237"/>
      <c r="G17" s="1419"/>
      <c r="H17" s="1280"/>
      <c r="I17" s="1280"/>
    </row>
    <row r="18" spans="2:9" s="317" customFormat="1" ht="12.75" customHeight="1" x14ac:dyDescent="0.2">
      <c r="B18" s="1416" t="s">
        <v>1518</v>
      </c>
      <c r="C18" s="1417"/>
      <c r="D18" s="1378"/>
      <c r="E18" s="1418"/>
      <c r="F18" s="1280" t="s">
        <v>940</v>
      </c>
      <c r="G18" s="1418" t="s">
        <v>2084</v>
      </c>
      <c r="H18" s="1280" t="s">
        <v>1338</v>
      </c>
      <c r="I18" s="1280"/>
    </row>
    <row r="19" spans="2:9" s="317" customFormat="1" ht="8.4499999999999993" customHeight="1" x14ac:dyDescent="0.2">
      <c r="B19" s="1348"/>
      <c r="C19" s="1262"/>
      <c r="E19" s="1363"/>
      <c r="F19" s="1280"/>
      <c r="G19" s="322"/>
      <c r="H19" s="1280"/>
      <c r="I19" s="1280"/>
    </row>
    <row r="20" spans="2:9" s="317" customFormat="1" ht="13.5" customHeight="1" x14ac:dyDescent="0.2">
      <c r="B20" s="1416" t="s">
        <v>1673</v>
      </c>
      <c r="C20" s="1417"/>
      <c r="D20" s="1378"/>
      <c r="E20" s="1418"/>
      <c r="F20" s="1280" t="s">
        <v>940</v>
      </c>
      <c r="G20" s="1418" t="s">
        <v>2084</v>
      </c>
      <c r="H20" s="1280" t="s">
        <v>101</v>
      </c>
      <c r="I20" s="1280"/>
    </row>
    <row r="21" spans="2:9" s="317" customFormat="1" ht="12.75" customHeight="1" x14ac:dyDescent="0.2">
      <c r="B21" s="1348"/>
      <c r="C21" s="1262"/>
      <c r="E21" s="1363"/>
      <c r="F21" s="1280"/>
      <c r="G21" s="322"/>
      <c r="H21" s="1280"/>
      <c r="I21" s="1280"/>
    </row>
    <row r="22" spans="2:9" s="317" customFormat="1" ht="12.75" customHeight="1" x14ac:dyDescent="0.2">
      <c r="B22" s="1410" t="s">
        <v>1342</v>
      </c>
      <c r="C22" s="1420"/>
      <c r="D22" s="1411"/>
      <c r="E22" s="1363"/>
      <c r="F22" s="1280"/>
      <c r="G22" s="322"/>
      <c r="H22" s="1280"/>
      <c r="I22" s="1280"/>
    </row>
    <row r="23" spans="2:9" s="317" customFormat="1" ht="12.75" customHeight="1" x14ac:dyDescent="0.2">
      <c r="B23" s="1348" t="s">
        <v>1341</v>
      </c>
      <c r="C23" s="1262"/>
      <c r="E23" s="1363"/>
      <c r="F23" s="1280"/>
      <c r="G23" s="322"/>
      <c r="H23" s="1280"/>
      <c r="I23" s="1280"/>
    </row>
    <row r="24" spans="2:9" s="317" customFormat="1" ht="13.5" customHeight="1" x14ac:dyDescent="0.2">
      <c r="B24" s="1416" t="s">
        <v>1340</v>
      </c>
      <c r="C24" s="1417"/>
      <c r="D24" s="1378"/>
      <c r="E24" s="1418"/>
      <c r="F24" s="1280" t="s">
        <v>940</v>
      </c>
      <c r="G24" s="1418" t="s">
        <v>2084</v>
      </c>
      <c r="H24" s="1280" t="s">
        <v>1338</v>
      </c>
      <c r="I24" s="1280"/>
    </row>
    <row r="25" spans="2:9" s="317" customFormat="1" ht="8.4499999999999993" customHeight="1" x14ac:dyDescent="0.2">
      <c r="B25" s="1348"/>
      <c r="C25" s="1262"/>
      <c r="E25" s="1363"/>
      <c r="F25" s="1280"/>
      <c r="G25" s="322"/>
      <c r="H25" s="1280"/>
      <c r="I25" s="1280"/>
    </row>
    <row r="26" spans="2:9" s="317" customFormat="1" ht="13.5" customHeight="1" x14ac:dyDescent="0.2">
      <c r="B26" s="1416" t="s">
        <v>1339</v>
      </c>
      <c r="C26" s="1417"/>
      <c r="D26" s="1378"/>
      <c r="E26" s="1419"/>
      <c r="F26" s="1237"/>
      <c r="G26" s="1419"/>
      <c r="H26" s="1280"/>
      <c r="I26" s="1280"/>
    </row>
    <row r="27" spans="2:9" s="317" customFormat="1" ht="12.75" customHeight="1" x14ac:dyDescent="0.2">
      <c r="B27" s="1416" t="s">
        <v>1518</v>
      </c>
      <c r="C27" s="1417"/>
      <c r="D27" s="1378"/>
      <c r="E27" s="1418"/>
      <c r="F27" s="1280" t="s">
        <v>940</v>
      </c>
      <c r="G27" s="1418" t="s">
        <v>2084</v>
      </c>
      <c r="H27" s="1280" t="s">
        <v>1338</v>
      </c>
      <c r="I27" s="1280"/>
    </row>
    <row r="28" spans="2:9" s="317" customFormat="1" ht="12.75" customHeight="1" x14ac:dyDescent="0.2">
      <c r="B28" s="1348"/>
      <c r="C28" s="1262"/>
      <c r="E28" s="1238"/>
    </row>
    <row r="29" spans="2:9" s="317" customFormat="1" ht="12.75" customHeight="1" x14ac:dyDescent="0.2">
      <c r="B29" s="1348" t="s">
        <v>1337</v>
      </c>
      <c r="C29" s="1262"/>
      <c r="D29" s="2520" t="s">
        <v>3930</v>
      </c>
      <c r="E29" s="2520"/>
      <c r="F29" s="2520"/>
      <c r="G29" s="2520"/>
      <c r="H29" s="2520"/>
      <c r="I29" s="2520"/>
    </row>
    <row r="30" spans="2:9" s="317" customFormat="1" x14ac:dyDescent="0.2">
      <c r="B30" s="1348"/>
      <c r="C30" s="322"/>
      <c r="D30" s="1413" t="s">
        <v>1848</v>
      </c>
      <c r="E30" s="1414"/>
      <c r="F30" s="1414"/>
      <c r="G30" s="1414"/>
      <c r="H30" s="1414"/>
      <c r="I30" s="1414"/>
    </row>
    <row r="31" spans="2:9" s="317" customFormat="1" ht="9.9499999999999993" customHeight="1" x14ac:dyDescent="0.2">
      <c r="B31" s="1348"/>
      <c r="E31" s="1238"/>
    </row>
    <row r="32" spans="2:9" s="317" customFormat="1" x14ac:dyDescent="0.2">
      <c r="B32" s="1348" t="s">
        <v>1336</v>
      </c>
      <c r="C32" s="1262"/>
      <c r="E32" s="1238"/>
    </row>
    <row r="33" spans="2:9" ht="13.5" customHeight="1" x14ac:dyDescent="0.2">
      <c r="B33" s="1348" t="s">
        <v>1633</v>
      </c>
      <c r="C33" s="1262"/>
      <c r="E33" s="1418"/>
      <c r="F33" s="1280" t="s">
        <v>940</v>
      </c>
      <c r="G33" s="1418" t="s">
        <v>2084</v>
      </c>
      <c r="H33" s="1280" t="s">
        <v>101</v>
      </c>
    </row>
    <row r="35" spans="2:9" x14ac:dyDescent="0.2">
      <c r="B35" s="1421" t="s">
        <v>1849</v>
      </c>
      <c r="C35" s="1422"/>
      <c r="D35" s="1247"/>
    </row>
    <row r="36" spans="2:9" ht="6" customHeight="1" x14ac:dyDescent="0.2">
      <c r="B36" s="1421"/>
      <c r="C36" s="1422"/>
      <c r="D36" s="1247"/>
    </row>
    <row r="37" spans="2:9" ht="17.25" customHeight="1" x14ac:dyDescent="0.2">
      <c r="B37" s="1423" t="s">
        <v>1850</v>
      </c>
      <c r="C37" s="2521" t="s">
        <v>1851</v>
      </c>
      <c r="D37" s="2522"/>
      <c r="E37" s="2522"/>
      <c r="F37" s="2523"/>
      <c r="G37" s="2521" t="s">
        <v>1674</v>
      </c>
      <c r="H37" s="2522"/>
      <c r="I37" s="2523"/>
    </row>
    <row r="38" spans="2:9" ht="16.5" customHeight="1" x14ac:dyDescent="0.2">
      <c r="B38" s="1424" t="s">
        <v>3931</v>
      </c>
      <c r="C38" s="2509" t="s">
        <v>3932</v>
      </c>
      <c r="D38" s="2510"/>
      <c r="E38" s="2510"/>
      <c r="F38" s="2511"/>
      <c r="G38" s="2524">
        <v>566724</v>
      </c>
      <c r="H38" s="2525"/>
      <c r="I38" s="2526"/>
    </row>
    <row r="39" spans="2:9" ht="16.5" customHeight="1" x14ac:dyDescent="0.2">
      <c r="B39" s="1424" t="s">
        <v>3934</v>
      </c>
      <c r="C39" s="2509" t="s">
        <v>3933</v>
      </c>
      <c r="D39" s="2510"/>
      <c r="E39" s="2510"/>
      <c r="F39" s="2511"/>
      <c r="G39" s="2512">
        <v>414716</v>
      </c>
      <c r="H39" s="2512"/>
      <c r="I39" s="2512"/>
    </row>
    <row r="40" spans="2:9" ht="16.5" customHeight="1" x14ac:dyDescent="0.2">
      <c r="B40" s="1424"/>
      <c r="C40" s="2509"/>
      <c r="D40" s="2510"/>
      <c r="E40" s="2510"/>
      <c r="F40" s="2511"/>
      <c r="G40" s="2512"/>
      <c r="H40" s="2512"/>
      <c r="I40" s="2512"/>
    </row>
    <row r="41" spans="2:9" ht="16.5" customHeight="1" x14ac:dyDescent="0.2">
      <c r="B41" s="1424"/>
      <c r="C41" s="2509"/>
      <c r="D41" s="2510"/>
      <c r="E41" s="2510"/>
      <c r="F41" s="2511"/>
      <c r="G41" s="2512"/>
      <c r="H41" s="2512"/>
      <c r="I41" s="2512"/>
    </row>
    <row r="42" spans="2:9" ht="16.5" customHeight="1" x14ac:dyDescent="0.2">
      <c r="B42" s="1424"/>
      <c r="C42" s="2509"/>
      <c r="D42" s="2510"/>
      <c r="E42" s="2510"/>
      <c r="F42" s="2511"/>
      <c r="G42" s="2512"/>
      <c r="H42" s="2512"/>
      <c r="I42" s="2512"/>
    </row>
    <row r="43" spans="2:9" ht="16.5" customHeight="1" x14ac:dyDescent="0.2">
      <c r="B43" s="1424"/>
      <c r="C43" s="2502" t="s">
        <v>1675</v>
      </c>
      <c r="D43" s="2503"/>
      <c r="E43" s="2503"/>
      <c r="F43" s="2504"/>
      <c r="G43" s="2505">
        <f>SUM(G38:I42)</f>
        <v>981440</v>
      </c>
      <c r="H43" s="2505"/>
      <c r="I43" s="2505"/>
    </row>
    <row r="44" spans="2:9" ht="12.75" customHeight="1" x14ac:dyDescent="0.2"/>
    <row r="45" spans="2:9" ht="12.75" customHeight="1" x14ac:dyDescent="0.2">
      <c r="B45" s="1415" t="s">
        <v>1948</v>
      </c>
      <c r="D45" s="2506">
        <v>1711726</v>
      </c>
      <c r="E45" s="2507"/>
    </row>
    <row r="46" spans="2:9" ht="5.25" customHeight="1" x14ac:dyDescent="0.2">
      <c r="B46" s="1425"/>
      <c r="D46" s="1426"/>
      <c r="E46" s="1427"/>
    </row>
    <row r="47" spans="2:9" ht="12.75" customHeight="1" x14ac:dyDescent="0.2">
      <c r="B47" s="1280" t="s">
        <v>1676</v>
      </c>
      <c r="C47" s="1280"/>
      <c r="D47" s="1428">
        <f>+G43/D45</f>
        <v>0.5733627928768974</v>
      </c>
      <c r="E47" s="1429"/>
      <c r="F47" s="1430"/>
      <c r="I47" s="1431"/>
    </row>
    <row r="48" spans="2:9" ht="9.9499999999999993" customHeight="1" x14ac:dyDescent="0.2"/>
    <row r="49" spans="1:9" x14ac:dyDescent="0.2">
      <c r="B49" s="1348" t="s">
        <v>1335</v>
      </c>
      <c r="C49" s="1262"/>
      <c r="D49" s="1262"/>
      <c r="E49" s="2508">
        <v>750000</v>
      </c>
      <c r="F49" s="2508"/>
      <c r="G49" s="2508"/>
      <c r="H49" s="322"/>
    </row>
    <row r="51" spans="1:9" ht="13.5" customHeight="1" x14ac:dyDescent="0.2">
      <c r="B51" s="1348" t="s">
        <v>1334</v>
      </c>
      <c r="C51" s="1262"/>
      <c r="E51" s="1418"/>
      <c r="F51" s="1280" t="s">
        <v>940</v>
      </c>
      <c r="G51" s="1418" t="s">
        <v>2084</v>
      </c>
      <c r="H51" s="1280" t="s">
        <v>101</v>
      </c>
    </row>
    <row r="52" spans="1:9" x14ac:dyDescent="0.2">
      <c r="B52" s="1340"/>
      <c r="C52" s="1277"/>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1852</v>
      </c>
      <c r="C54" s="1440"/>
      <c r="D54" s="1440"/>
    </row>
    <row r="55" spans="1:9" s="1441" customFormat="1" ht="12.75" customHeight="1" x14ac:dyDescent="0.2">
      <c r="A55" s="1438"/>
      <c r="B55" s="1442" t="s">
        <v>1677</v>
      </c>
      <c r="C55" s="1438"/>
      <c r="D55" s="1438"/>
    </row>
    <row r="56" spans="1:9" s="1441" customFormat="1" ht="12.75" customHeight="1" x14ac:dyDescent="0.2">
      <c r="A56" s="1438"/>
      <c r="B56" s="1442" t="s">
        <v>1678</v>
      </c>
      <c r="C56" s="1438"/>
      <c r="D56" s="1438"/>
    </row>
    <row r="57" spans="1:9" s="1441" customFormat="1" ht="3.95" customHeight="1" x14ac:dyDescent="0.2">
      <c r="A57" s="1438"/>
      <c r="B57" s="1442"/>
      <c r="C57" s="1438"/>
      <c r="D57" s="1438"/>
    </row>
    <row r="58" spans="1:9" s="1441" customFormat="1" ht="13.5" customHeight="1" x14ac:dyDescent="0.2">
      <c r="A58" s="1438"/>
      <c r="B58" s="1443" t="s">
        <v>1853</v>
      </c>
      <c r="C58" s="1444"/>
      <c r="D58" s="1444"/>
    </row>
    <row r="59" spans="1:9" s="1441" customFormat="1" ht="3.95" customHeight="1" x14ac:dyDescent="0.2">
      <c r="A59" s="1438"/>
      <c r="B59" s="1443"/>
      <c r="C59" s="1444"/>
      <c r="D59" s="1444"/>
    </row>
    <row r="60" spans="1:9" s="1441" customFormat="1" ht="13.5" customHeight="1" x14ac:dyDescent="0.2">
      <c r="A60" s="1438"/>
      <c r="B60" s="1443" t="s">
        <v>1854</v>
      </c>
      <c r="C60" s="1444"/>
      <c r="D60" s="1444"/>
    </row>
    <row r="61" spans="1:9" s="1441" customFormat="1" ht="3.95" customHeight="1" x14ac:dyDescent="0.2">
      <c r="A61" s="1438"/>
      <c r="B61" s="1443"/>
      <c r="C61" s="1444"/>
      <c r="D61" s="1444"/>
    </row>
    <row r="62" spans="1:9" s="1441" customFormat="1" ht="12.75" customHeight="1" x14ac:dyDescent="0.2">
      <c r="A62" s="1438"/>
      <c r="B62" s="1443" t="s">
        <v>1855</v>
      </c>
      <c r="C62" s="1444"/>
      <c r="D62" s="1444"/>
    </row>
    <row r="63" spans="1:9" s="1441" customFormat="1" ht="13.5" customHeight="1" x14ac:dyDescent="0.2">
      <c r="A63" s="1438"/>
      <c r="B63" s="1442" t="s">
        <v>1679</v>
      </c>
      <c r="C63" s="1438"/>
      <c r="D63" s="143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M11" sqref="M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8" customWidth="1"/>
    <col min="8" max="8" width="10.5703125" style="317" customWidth="1"/>
    <col min="9" max="9" width="3.42578125" style="123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3" t="str">
        <f>'Single Audit Cover'!A7</f>
        <v>Ottawa ESD 141</v>
      </c>
      <c r="C1" s="2513"/>
      <c r="D1" s="2513"/>
      <c r="E1" s="2513"/>
      <c r="F1" s="2513"/>
      <c r="G1" s="2513"/>
      <c r="H1" s="2513"/>
      <c r="I1" s="2513"/>
      <c r="J1" s="2513"/>
      <c r="K1" s="2513"/>
      <c r="L1" s="1354"/>
      <c r="M1" s="1354"/>
    </row>
    <row r="2" spans="1:13" ht="12" customHeight="1" x14ac:dyDescent="0.2">
      <c r="B2" s="2515">
        <f>'Single Audit Cover'!E7</f>
        <v>35050141002</v>
      </c>
      <c r="C2" s="2515"/>
      <c r="D2" s="2515"/>
      <c r="E2" s="2515"/>
      <c r="F2" s="2515"/>
      <c r="G2" s="2515"/>
      <c r="H2" s="2515"/>
      <c r="I2" s="2515"/>
      <c r="J2" s="2515"/>
      <c r="K2" s="2515"/>
      <c r="L2" s="1355"/>
      <c r="M2" s="1356"/>
    </row>
    <row r="3" spans="1:13" ht="10.35" customHeight="1" x14ac:dyDescent="0.2">
      <c r="B3" s="2529" t="s">
        <v>1347</v>
      </c>
      <c r="C3" s="2529"/>
      <c r="D3" s="2529"/>
      <c r="E3" s="2529"/>
      <c r="F3" s="2529"/>
      <c r="G3" s="2529"/>
      <c r="H3" s="2529"/>
      <c r="I3" s="2529"/>
      <c r="J3" s="2529"/>
      <c r="K3" s="2529"/>
      <c r="L3" s="1357"/>
      <c r="M3" s="1357"/>
    </row>
    <row r="4" spans="1:13" ht="14.25" customHeight="1" x14ac:dyDescent="0.2">
      <c r="B4" s="2530" t="str">
        <f>'Single Audit Cover'!A4</f>
        <v>Year Ending June 30, 2018</v>
      </c>
      <c r="C4" s="2530"/>
      <c r="D4" s="2530"/>
      <c r="E4" s="2530"/>
      <c r="F4" s="2530"/>
      <c r="G4" s="2530"/>
      <c r="H4" s="2530"/>
      <c r="I4" s="2530"/>
      <c r="J4" s="2530"/>
      <c r="K4" s="2530"/>
      <c r="L4" s="313"/>
      <c r="M4" s="313"/>
    </row>
    <row r="5" spans="1:13" ht="7.5" customHeight="1" x14ac:dyDescent="0.2">
      <c r="B5" s="1240" t="s">
        <v>1231</v>
      </c>
      <c r="C5" s="1240"/>
    </row>
    <row r="6" spans="1:13" ht="7.5" customHeight="1" x14ac:dyDescent="0.2">
      <c r="B6" s="1358"/>
      <c r="C6" s="1358"/>
      <c r="D6" s="1359"/>
      <c r="E6" s="1359"/>
      <c r="F6" s="1359"/>
      <c r="G6" s="1360"/>
      <c r="H6" s="1359"/>
      <c r="I6" s="1360"/>
      <c r="J6" s="1359"/>
      <c r="K6" s="1359"/>
      <c r="L6" s="1361"/>
    </row>
    <row r="7" spans="1:13" ht="12.75" customHeight="1" x14ac:dyDescent="0.2">
      <c r="A7" s="1262"/>
      <c r="B7" s="2530" t="s">
        <v>1363</v>
      </c>
      <c r="C7" s="2530"/>
      <c r="D7" s="2531"/>
      <c r="E7" s="2531"/>
      <c r="F7" s="2531"/>
      <c r="G7" s="2531"/>
      <c r="H7" s="2531"/>
      <c r="I7" s="2531"/>
      <c r="J7" s="2531"/>
      <c r="K7" s="2531"/>
      <c r="L7" s="1362"/>
    </row>
    <row r="8" spans="1:13" ht="7.5" customHeight="1" x14ac:dyDescent="0.2">
      <c r="B8" s="322"/>
      <c r="C8" s="322"/>
      <c r="D8" s="322"/>
      <c r="E8" s="322"/>
      <c r="F8" s="322"/>
      <c r="G8" s="1363"/>
      <c r="H8" s="322"/>
      <c r="I8" s="1363"/>
      <c r="J8" s="322"/>
      <c r="K8" s="322"/>
      <c r="L8" s="1361"/>
    </row>
    <row r="9" spans="1:13" ht="9.6" customHeight="1" x14ac:dyDescent="0.2">
      <c r="B9" s="1359"/>
      <c r="C9" s="1359"/>
      <c r="D9" s="1359"/>
      <c r="E9" s="1359"/>
      <c r="F9" s="1359"/>
      <c r="G9" s="1360"/>
      <c r="H9" s="1359"/>
      <c r="I9" s="1360"/>
      <c r="J9" s="1359"/>
      <c r="K9" s="1359"/>
      <c r="L9" s="1361"/>
    </row>
    <row r="10" spans="1:13" ht="16.5" customHeight="1" x14ac:dyDescent="0.2">
      <c r="B10" s="1364" t="s">
        <v>1842</v>
      </c>
      <c r="C10" s="1365" t="s">
        <v>1949</v>
      </c>
      <c r="D10" s="1366">
        <v>1</v>
      </c>
      <c r="E10" s="322"/>
      <c r="F10" s="1367" t="s">
        <v>1362</v>
      </c>
      <c r="G10" s="1368"/>
      <c r="H10" s="1369" t="s">
        <v>1361</v>
      </c>
      <c r="I10" s="1368" t="s">
        <v>2084</v>
      </c>
      <c r="J10" s="1370" t="s">
        <v>1360</v>
      </c>
      <c r="K10" s="322"/>
      <c r="L10" s="1361"/>
    </row>
    <row r="11" spans="1:13" ht="13.5" customHeight="1" x14ac:dyDescent="0.2">
      <c r="B11" s="322"/>
      <c r="C11" s="322"/>
      <c r="D11" s="322"/>
      <c r="E11" s="322"/>
      <c r="F11" s="322"/>
      <c r="G11" s="1363"/>
      <c r="H11" s="322"/>
      <c r="I11" s="1371" t="s">
        <v>1359</v>
      </c>
      <c r="J11" s="322"/>
      <c r="K11" s="1372">
        <v>2009</v>
      </c>
      <c r="L11" s="1361"/>
    </row>
    <row r="12" spans="1:13" ht="13.5" customHeight="1" x14ac:dyDescent="0.2">
      <c r="B12" s="1274"/>
      <c r="C12" s="1274"/>
      <c r="D12" s="322"/>
      <c r="E12" s="322"/>
      <c r="F12" s="322"/>
      <c r="G12" s="1363"/>
      <c r="H12" s="322"/>
      <c r="I12" s="1363"/>
      <c r="J12" s="322"/>
      <c r="L12" s="1361"/>
    </row>
    <row r="13" spans="1:13" s="1262" customFormat="1" ht="13.5" customHeight="1" x14ac:dyDescent="0.2">
      <c r="B13" s="1373" t="s">
        <v>1358</v>
      </c>
      <c r="C13" s="1373"/>
      <c r="D13" s="1374"/>
      <c r="E13" s="1374"/>
      <c r="F13" s="1374"/>
      <c r="G13" s="1375"/>
      <c r="H13" s="1374"/>
      <c r="I13" s="1375"/>
      <c r="J13" s="1374"/>
      <c r="K13" s="1374"/>
      <c r="L13" s="1376"/>
    </row>
    <row r="14" spans="1:13" ht="45.75" customHeight="1" x14ac:dyDescent="0.2">
      <c r="B14" s="2528" t="s">
        <v>3935</v>
      </c>
      <c r="C14" s="2528"/>
      <c r="D14" s="2528"/>
      <c r="E14" s="2528"/>
      <c r="F14" s="2528"/>
      <c r="G14" s="2528"/>
      <c r="H14" s="2528"/>
      <c r="I14" s="2528"/>
      <c r="J14" s="2528"/>
      <c r="K14" s="2528"/>
      <c r="L14" s="1377"/>
    </row>
    <row r="15" spans="1:13" ht="4.5" customHeight="1" x14ac:dyDescent="0.2">
      <c r="B15" s="1378"/>
      <c r="C15" s="1378"/>
      <c r="D15" s="1379"/>
      <c r="E15" s="1379"/>
      <c r="F15" s="1379"/>
      <c r="H15" s="1379"/>
      <c r="J15" s="1379"/>
      <c r="K15" s="1379"/>
      <c r="L15" s="1377"/>
    </row>
    <row r="16" spans="1:13" s="1262" customFormat="1" ht="13.5" customHeight="1" x14ac:dyDescent="0.2">
      <c r="B16" s="1373" t="s">
        <v>1357</v>
      </c>
      <c r="C16" s="1373"/>
      <c r="D16" s="1374"/>
      <c r="E16" s="1374"/>
      <c r="F16" s="1374"/>
      <c r="G16" s="1375"/>
      <c r="H16" s="1374"/>
      <c r="I16" s="1375"/>
      <c r="J16" s="1374"/>
      <c r="K16" s="1374"/>
      <c r="L16" s="1376"/>
    </row>
    <row r="17" spans="2:12" ht="45.75" customHeight="1" x14ac:dyDescent="0.2">
      <c r="B17" s="2528" t="s">
        <v>3936</v>
      </c>
      <c r="C17" s="2528"/>
      <c r="D17" s="2528"/>
      <c r="E17" s="2528"/>
      <c r="F17" s="2528"/>
      <c r="G17" s="2528"/>
      <c r="H17" s="2528"/>
      <c r="I17" s="2528"/>
      <c r="J17" s="2528"/>
      <c r="K17" s="2528"/>
      <c r="L17" s="1361"/>
    </row>
    <row r="18" spans="2:12" ht="4.5" customHeight="1" x14ac:dyDescent="0.2">
      <c r="B18" s="1378"/>
      <c r="C18" s="1378"/>
      <c r="L18" s="1361"/>
    </row>
    <row r="19" spans="2:12" s="1262" customFormat="1" ht="13.5" customHeight="1" x14ac:dyDescent="0.2">
      <c r="B19" s="1373" t="s">
        <v>1843</v>
      </c>
      <c r="C19" s="1373"/>
      <c r="D19" s="1374"/>
      <c r="E19" s="1374"/>
      <c r="F19" s="1374"/>
      <c r="G19" s="1375"/>
      <c r="H19" s="1374"/>
      <c r="I19" s="1375"/>
      <c r="J19" s="1374"/>
      <c r="K19" s="1374"/>
      <c r="L19" s="1376"/>
    </row>
    <row r="20" spans="2:12" ht="45.75" customHeight="1" x14ac:dyDescent="0.2">
      <c r="B20" s="2532" t="s">
        <v>3937</v>
      </c>
      <c r="C20" s="2532"/>
      <c r="D20" s="2528"/>
      <c r="E20" s="2528"/>
      <c r="F20" s="2528"/>
      <c r="G20" s="2528"/>
      <c r="H20" s="2528"/>
      <c r="I20" s="2528"/>
      <c r="J20" s="2528"/>
      <c r="K20" s="2528"/>
      <c r="L20" s="1361"/>
    </row>
    <row r="21" spans="2:12" ht="4.5" customHeight="1" x14ac:dyDescent="0.2">
      <c r="B21" s="1380"/>
      <c r="C21" s="1380"/>
      <c r="L21" s="1361"/>
    </row>
    <row r="22" spans="2:12" ht="13.5" customHeight="1" x14ac:dyDescent="0.2">
      <c r="B22" s="1373" t="s">
        <v>1356</v>
      </c>
      <c r="C22" s="1373"/>
      <c r="D22" s="1359"/>
      <c r="E22" s="1359"/>
      <c r="F22" s="1359"/>
      <c r="G22" s="1360"/>
      <c r="H22" s="1359"/>
      <c r="I22" s="1360"/>
      <c r="J22" s="1359"/>
      <c r="K22" s="1359"/>
      <c r="L22" s="1361"/>
    </row>
    <row r="23" spans="2:12" ht="45" customHeight="1" x14ac:dyDescent="0.2">
      <c r="B23" s="2528" t="s">
        <v>3938</v>
      </c>
      <c r="C23" s="2528"/>
      <c r="D23" s="2528"/>
      <c r="E23" s="2528"/>
      <c r="F23" s="2528"/>
      <c r="G23" s="2528"/>
      <c r="H23" s="2528"/>
      <c r="I23" s="2528"/>
      <c r="J23" s="2528"/>
      <c r="K23" s="2528"/>
      <c r="L23" s="1361"/>
    </row>
    <row r="24" spans="2:12" ht="4.5" customHeight="1" x14ac:dyDescent="0.2">
      <c r="B24" s="1378"/>
      <c r="C24" s="1378"/>
      <c r="L24" s="1361"/>
    </row>
    <row r="25" spans="2:12" ht="13.5" customHeight="1" x14ac:dyDescent="0.2">
      <c r="B25" s="1373" t="s">
        <v>1355</v>
      </c>
      <c r="C25" s="1373"/>
      <c r="D25" s="1359"/>
      <c r="E25" s="1359"/>
      <c r="F25" s="1359"/>
      <c r="G25" s="1360"/>
      <c r="H25" s="1359"/>
      <c r="I25" s="1360"/>
      <c r="J25" s="1359"/>
      <c r="K25" s="1359"/>
      <c r="L25" s="1361"/>
    </row>
    <row r="26" spans="2:12" ht="45.75" customHeight="1" x14ac:dyDescent="0.2">
      <c r="B26" s="2528" t="s">
        <v>3939</v>
      </c>
      <c r="C26" s="2528"/>
      <c r="D26" s="2528"/>
      <c r="E26" s="2528"/>
      <c r="F26" s="2528"/>
      <c r="G26" s="2528"/>
      <c r="H26" s="2528"/>
      <c r="I26" s="2528"/>
      <c r="J26" s="2528"/>
      <c r="K26" s="2528"/>
      <c r="L26" s="1361"/>
    </row>
    <row r="27" spans="2:12" ht="4.5" customHeight="1" x14ac:dyDescent="0.2">
      <c r="B27" s="1378"/>
      <c r="C27" s="1378"/>
      <c r="L27" s="1361"/>
    </row>
    <row r="28" spans="2:12" ht="13.5" customHeight="1" x14ac:dyDescent="0.2">
      <c r="B28" s="1381" t="s">
        <v>1354</v>
      </c>
      <c r="C28" s="1381"/>
      <c r="D28" s="1359"/>
      <c r="E28" s="1359"/>
      <c r="F28" s="1359"/>
      <c r="G28" s="1360"/>
      <c r="H28" s="1359"/>
      <c r="I28" s="1360"/>
      <c r="J28" s="1359"/>
      <c r="K28" s="1359"/>
      <c r="L28" s="1361"/>
    </row>
    <row r="29" spans="2:12" ht="45.75" customHeight="1" x14ac:dyDescent="0.2">
      <c r="B29" s="2527" t="s">
        <v>3940</v>
      </c>
      <c r="C29" s="2527"/>
      <c r="D29" s="2528"/>
      <c r="E29" s="2528"/>
      <c r="F29" s="2528"/>
      <c r="G29" s="2528"/>
      <c r="H29" s="2528"/>
      <c r="I29" s="2528"/>
      <c r="J29" s="2528"/>
      <c r="K29" s="2528"/>
      <c r="L29" s="1361"/>
    </row>
    <row r="30" spans="2:12" ht="4.5" customHeight="1" x14ac:dyDescent="0.2">
      <c r="B30" s="1382"/>
      <c r="C30" s="1382"/>
      <c r="D30" s="322"/>
      <c r="E30" s="322"/>
      <c r="F30" s="322"/>
      <c r="G30" s="1363"/>
      <c r="H30" s="322"/>
      <c r="I30" s="1363"/>
      <c r="J30" s="322"/>
      <c r="K30" s="322"/>
      <c r="L30" s="1361"/>
    </row>
    <row r="31" spans="2:12" s="322" customFormat="1" ht="13.5" customHeight="1" x14ac:dyDescent="0.2">
      <c r="B31" s="1383" t="s">
        <v>1844</v>
      </c>
      <c r="C31" s="1383"/>
      <c r="D31" s="1358"/>
      <c r="E31" s="1359"/>
      <c r="F31" s="1359"/>
      <c r="G31" s="1360"/>
      <c r="H31" s="1359"/>
      <c r="I31" s="1360"/>
      <c r="J31" s="1359"/>
      <c r="K31" s="1359"/>
      <c r="L31" s="1361"/>
    </row>
    <row r="32" spans="2:12" s="322" customFormat="1" ht="44.25" customHeight="1" x14ac:dyDescent="0.2">
      <c r="B32" s="2527" t="s">
        <v>3941</v>
      </c>
      <c r="C32" s="2527"/>
      <c r="D32" s="2528"/>
      <c r="E32" s="2528"/>
      <c r="F32" s="2528"/>
      <c r="G32" s="2528"/>
      <c r="H32" s="2528"/>
      <c r="I32" s="2528"/>
      <c r="J32" s="2528"/>
      <c r="K32" s="2528"/>
      <c r="L32" s="1361"/>
    </row>
    <row r="33" spans="1:13" s="322" customFormat="1" ht="4.5" customHeight="1" x14ac:dyDescent="0.2">
      <c r="B33" s="1382"/>
      <c r="C33" s="1382"/>
      <c r="G33" s="1363"/>
      <c r="I33" s="1363"/>
      <c r="L33" s="1361"/>
    </row>
    <row r="34" spans="1:13" s="322" customFormat="1" x14ac:dyDescent="0.2">
      <c r="A34" s="1277"/>
      <c r="B34" s="1397"/>
      <c r="C34" s="1397"/>
      <c r="D34" s="1397"/>
      <c r="E34" s="1397"/>
      <c r="F34" s="1397"/>
      <c r="G34" s="1398"/>
      <c r="H34" s="1397"/>
      <c r="I34" s="1398"/>
      <c r="J34" s="1397"/>
      <c r="K34" s="1397"/>
      <c r="L34" s="1361"/>
    </row>
    <row r="35" spans="1:13" ht="11.85" customHeight="1" x14ac:dyDescent="0.2">
      <c r="B35" s="1399" t="s">
        <v>1845</v>
      </c>
      <c r="C35" s="1399"/>
      <c r="D35" s="322"/>
      <c r="E35" s="322"/>
      <c r="F35" s="322"/>
      <c r="L35" s="1361"/>
    </row>
    <row r="36" spans="1:13" ht="9.6" customHeight="1" x14ac:dyDescent="0.2">
      <c r="B36" s="1280" t="s">
        <v>1950</v>
      </c>
      <c r="C36" s="1280"/>
      <c r="L36" s="1361"/>
    </row>
    <row r="37" spans="1:13" ht="9.6" customHeight="1" x14ac:dyDescent="0.2">
      <c r="B37" s="1280" t="s">
        <v>1951</v>
      </c>
      <c r="C37" s="1280"/>
    </row>
    <row r="38" spans="1:13" ht="11.85" customHeight="1" x14ac:dyDescent="0.2">
      <c r="B38" s="1400" t="s">
        <v>1846</v>
      </c>
      <c r="C38" s="1400"/>
    </row>
    <row r="39" spans="1:13" ht="9.6" customHeight="1" x14ac:dyDescent="0.2">
      <c r="B39" s="1280" t="s">
        <v>1348</v>
      </c>
      <c r="C39" s="1280"/>
      <c r="M39" s="1401"/>
    </row>
    <row r="40" spans="1:13" ht="12.6" customHeight="1" x14ac:dyDescent="0.2">
      <c r="B40" s="1400" t="s">
        <v>1847</v>
      </c>
      <c r="C40" s="1400"/>
      <c r="M40" s="1401"/>
    </row>
    <row r="41" spans="1:13" ht="9.6" customHeight="1" x14ac:dyDescent="0.2">
      <c r="B41" s="1280"/>
      <c r="C41" s="1280"/>
      <c r="M41" s="140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M11" sqref="M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8" customWidth="1"/>
    <col min="8" max="8" width="10.5703125" style="317" customWidth="1"/>
    <col min="9" max="9" width="3.42578125" style="123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6" t="str">
        <f>'Single Audit Cover'!A7</f>
        <v>Ottawa ESD 141</v>
      </c>
      <c r="C1" s="2536"/>
      <c r="D1" s="2536"/>
      <c r="E1" s="2536"/>
      <c r="F1" s="2536"/>
      <c r="G1" s="2536"/>
      <c r="H1" s="2536"/>
      <c r="I1" s="2536"/>
      <c r="J1" s="2536"/>
      <c r="K1" s="2536"/>
      <c r="L1" s="1445"/>
    </row>
    <row r="2" spans="1:12" ht="12.75" customHeight="1" x14ac:dyDescent="0.2">
      <c r="B2" s="2537">
        <f>'Single Audit Cover'!E7</f>
        <v>35050141002</v>
      </c>
      <c r="C2" s="2537"/>
      <c r="D2" s="2537"/>
      <c r="E2" s="2537"/>
      <c r="F2" s="2537"/>
      <c r="G2" s="2537"/>
      <c r="H2" s="2537"/>
      <c r="I2" s="2537"/>
      <c r="J2" s="2537"/>
      <c r="K2" s="2537"/>
      <c r="L2" s="1446"/>
    </row>
    <row r="3" spans="1:12" ht="12.75" customHeight="1" x14ac:dyDescent="0.2">
      <c r="B3" s="2529" t="s">
        <v>1347</v>
      </c>
      <c r="C3" s="2529"/>
      <c r="D3" s="2529"/>
      <c r="E3" s="2529"/>
      <c r="F3" s="2529"/>
      <c r="G3" s="2529"/>
      <c r="H3" s="2529"/>
      <c r="I3" s="2529"/>
      <c r="J3" s="2529"/>
      <c r="K3" s="2529"/>
      <c r="L3" s="1357"/>
    </row>
    <row r="4" spans="1:12" ht="12.75" customHeight="1" x14ac:dyDescent="0.2">
      <c r="B4" s="2529" t="str">
        <f>'Single Audit Cover'!A4</f>
        <v>Year Ending June 30, 2018</v>
      </c>
      <c r="C4" s="2529"/>
      <c r="D4" s="2529"/>
      <c r="E4" s="2529"/>
      <c r="F4" s="2529"/>
      <c r="G4" s="2529"/>
      <c r="H4" s="2529"/>
      <c r="I4" s="2529"/>
      <c r="J4" s="2529"/>
      <c r="K4" s="2529"/>
      <c r="L4" s="1357"/>
    </row>
    <row r="5" spans="1:12" ht="5.25" customHeight="1" x14ac:dyDescent="0.2">
      <c r="B5" s="1240" t="s">
        <v>1231</v>
      </c>
      <c r="C5" s="1240"/>
      <c r="L5" s="322"/>
    </row>
    <row r="6" spans="1:12" ht="30.75" customHeight="1" x14ac:dyDescent="0.2">
      <c r="A6" s="322"/>
      <c r="B6" s="2538" t="s">
        <v>1375</v>
      </c>
      <c r="C6" s="2538"/>
      <c r="D6" s="2538"/>
      <c r="E6" s="2538"/>
      <c r="F6" s="2538"/>
      <c r="G6" s="2538"/>
      <c r="H6" s="2538"/>
      <c r="I6" s="2538"/>
      <c r="J6" s="2538"/>
      <c r="K6" s="2538"/>
      <c r="L6" s="322"/>
    </row>
    <row r="7" spans="1:12" ht="4.5" customHeight="1" x14ac:dyDescent="0.2">
      <c r="B7" s="1359"/>
      <c r="C7" s="1359"/>
      <c r="D7" s="1359"/>
      <c r="E7" s="1359"/>
      <c r="F7" s="1359"/>
      <c r="G7" s="1360"/>
      <c r="H7" s="1359"/>
      <c r="I7" s="1360"/>
      <c r="J7" s="1359"/>
      <c r="K7" s="1359"/>
      <c r="L7" s="322"/>
    </row>
    <row r="8" spans="1:12" ht="13.5" customHeight="1" x14ac:dyDescent="0.2">
      <c r="B8" s="1367" t="s">
        <v>1856</v>
      </c>
      <c r="C8" s="1447" t="s">
        <v>1949</v>
      </c>
      <c r="D8" s="1448" t="s">
        <v>3942</v>
      </c>
      <c r="E8" s="322"/>
      <c r="F8" s="1364" t="s">
        <v>1362</v>
      </c>
      <c r="G8" s="1449"/>
      <c r="H8" s="1450" t="s">
        <v>1374</v>
      </c>
      <c r="I8" s="1449"/>
      <c r="J8" s="1451" t="s">
        <v>1373</v>
      </c>
      <c r="L8" s="322"/>
    </row>
    <row r="9" spans="1:12" ht="13.5" customHeight="1" x14ac:dyDescent="0.2">
      <c r="D9" s="322"/>
      <c r="E9" s="322"/>
      <c r="F9" s="322"/>
      <c r="G9" s="1363"/>
      <c r="H9" s="322"/>
      <c r="I9" s="1452" t="s">
        <v>1359</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63"/>
      <c r="H11" s="322"/>
      <c r="I11" s="1363"/>
      <c r="J11" s="322"/>
      <c r="K11" s="1412"/>
      <c r="L11" s="322"/>
    </row>
    <row r="12" spans="1:12" ht="13.5" customHeight="1" x14ac:dyDescent="0.2">
      <c r="B12" s="1364" t="s">
        <v>1372</v>
      </c>
      <c r="C12" s="1364"/>
      <c r="D12" s="304"/>
      <c r="E12" s="322"/>
      <c r="F12" s="2520"/>
      <c r="G12" s="2520"/>
      <c r="H12" s="2520"/>
      <c r="I12" s="2520"/>
      <c r="J12" s="2520"/>
      <c r="K12" s="2520"/>
      <c r="L12" s="322"/>
    </row>
    <row r="13" spans="1:12" ht="9.6" customHeight="1" x14ac:dyDescent="0.2">
      <c r="B13" s="1237"/>
      <c r="C13" s="1237"/>
      <c r="D13" s="304"/>
      <c r="E13" s="322"/>
      <c r="F13" s="322"/>
      <c r="G13" s="1363"/>
      <c r="H13" s="322"/>
      <c r="I13" s="1363"/>
      <c r="J13" s="322"/>
      <c r="K13" s="1412"/>
      <c r="L13" s="322"/>
    </row>
    <row r="14" spans="1:12" ht="13.5" customHeight="1" x14ac:dyDescent="0.2">
      <c r="B14" s="1367" t="s">
        <v>1371</v>
      </c>
      <c r="C14" s="1367"/>
      <c r="D14" s="2533"/>
      <c r="E14" s="2533"/>
      <c r="F14" s="2533"/>
      <c r="H14" s="1455" t="s">
        <v>1370</v>
      </c>
      <c r="I14" s="2534"/>
      <c r="J14" s="2534"/>
      <c r="K14" s="2534"/>
      <c r="L14" s="322"/>
    </row>
    <row r="15" spans="1:12" ht="9.4" customHeight="1" x14ac:dyDescent="0.2">
      <c r="B15" s="1367"/>
      <c r="C15" s="1367"/>
      <c r="D15" s="1353"/>
      <c r="E15" s="1240"/>
      <c r="F15" s="1240"/>
      <c r="G15" s="1266"/>
      <c r="H15" s="1240"/>
      <c r="I15" s="1456"/>
      <c r="J15" s="1274"/>
      <c r="K15" s="1271"/>
      <c r="L15" s="322"/>
    </row>
    <row r="16" spans="1:12" ht="13.5" customHeight="1" x14ac:dyDescent="0.2">
      <c r="B16" s="1367" t="s">
        <v>1369</v>
      </c>
      <c r="C16" s="1367"/>
      <c r="D16" s="2534"/>
      <c r="E16" s="2534"/>
      <c r="F16" s="2534"/>
      <c r="G16" s="2534"/>
      <c r="H16" s="2534"/>
      <c r="I16" s="2534"/>
      <c r="J16" s="2534"/>
      <c r="K16" s="2534"/>
      <c r="L16" s="322"/>
    </row>
    <row r="17" spans="2:12" ht="13.5" customHeight="1" x14ac:dyDescent="0.2">
      <c r="B17" s="1367" t="s">
        <v>1368</v>
      </c>
      <c r="C17" s="1367"/>
      <c r="D17" s="2535"/>
      <c r="E17" s="2535"/>
      <c r="F17" s="2535"/>
      <c r="G17" s="2535"/>
      <c r="H17" s="2535"/>
      <c r="I17" s="2535"/>
      <c r="J17" s="2535"/>
      <c r="K17" s="2535"/>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1367</v>
      </c>
      <c r="C19" s="1457"/>
      <c r="D19" s="328"/>
      <c r="E19" s="328"/>
      <c r="F19" s="328"/>
      <c r="G19" s="1458"/>
      <c r="H19" s="328"/>
      <c r="I19" s="1458"/>
      <c r="J19" s="322"/>
      <c r="K19" s="322"/>
      <c r="L19" s="322"/>
    </row>
    <row r="20" spans="2:12" ht="35.25" customHeight="1" x14ac:dyDescent="0.2">
      <c r="B20" s="2528" t="s">
        <v>3928</v>
      </c>
      <c r="C20" s="2528"/>
      <c r="D20" s="2528"/>
      <c r="E20" s="2528"/>
      <c r="F20" s="2528"/>
      <c r="G20" s="2528"/>
      <c r="H20" s="2528"/>
      <c r="I20" s="2528"/>
      <c r="J20" s="2528"/>
      <c r="K20" s="2528"/>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1857</v>
      </c>
      <c r="C22" s="1457"/>
      <c r="D22" s="322"/>
      <c r="E22" s="322"/>
      <c r="F22" s="322"/>
      <c r="G22" s="1363"/>
      <c r="H22" s="322"/>
      <c r="I22" s="1363"/>
      <c r="J22" s="322"/>
      <c r="K22" s="322"/>
      <c r="L22" s="322"/>
    </row>
    <row r="23" spans="2:12" ht="37.5" customHeight="1" x14ac:dyDescent="0.2">
      <c r="B23" s="2528" t="s">
        <v>3942</v>
      </c>
      <c r="C23" s="2528"/>
      <c r="D23" s="2528"/>
      <c r="E23" s="2528"/>
      <c r="F23" s="2528"/>
      <c r="G23" s="2528"/>
      <c r="H23" s="2528"/>
      <c r="I23" s="2528"/>
      <c r="J23" s="2528"/>
      <c r="K23" s="2528"/>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1858</v>
      </c>
      <c r="C25" s="1457"/>
      <c r="D25" s="322"/>
      <c r="E25" s="322"/>
      <c r="F25" s="322"/>
      <c r="G25" s="1363"/>
      <c r="H25" s="322"/>
      <c r="I25" s="1363"/>
      <c r="J25" s="322"/>
      <c r="K25" s="322"/>
      <c r="L25" s="322"/>
    </row>
    <row r="26" spans="2:12" ht="37.5" customHeight="1" x14ac:dyDescent="0.2">
      <c r="B26" s="2528" t="s">
        <v>3942</v>
      </c>
      <c r="C26" s="2528"/>
      <c r="D26" s="2528"/>
      <c r="E26" s="2528"/>
      <c r="F26" s="2528"/>
      <c r="G26" s="2528"/>
      <c r="H26" s="2528"/>
      <c r="I26" s="2528"/>
      <c r="J26" s="2528"/>
      <c r="K26" s="2528"/>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1859</v>
      </c>
      <c r="C28" s="1457"/>
      <c r="D28" s="322"/>
      <c r="E28" s="322"/>
      <c r="F28" s="322"/>
      <c r="G28" s="1363"/>
      <c r="H28" s="322"/>
      <c r="I28" s="1363"/>
      <c r="J28" s="322"/>
      <c r="K28" s="322"/>
      <c r="L28" s="322"/>
    </row>
    <row r="29" spans="2:12" ht="37.5" customHeight="1" x14ac:dyDescent="0.2">
      <c r="B29" s="2528" t="s">
        <v>3942</v>
      </c>
      <c r="C29" s="2528"/>
      <c r="D29" s="2528"/>
      <c r="E29" s="2528"/>
      <c r="F29" s="2528"/>
      <c r="G29" s="2528"/>
      <c r="H29" s="2528"/>
      <c r="I29" s="2528"/>
      <c r="J29" s="2528"/>
      <c r="K29" s="2528"/>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1366</v>
      </c>
      <c r="C31" s="1457"/>
      <c r="D31" s="322"/>
      <c r="E31" s="322"/>
      <c r="F31" s="322"/>
      <c r="G31" s="1363"/>
      <c r="H31" s="322"/>
      <c r="I31" s="1363"/>
      <c r="J31" s="322"/>
      <c r="K31" s="322"/>
      <c r="L31" s="322"/>
    </row>
    <row r="32" spans="2:12" ht="37.5" customHeight="1" x14ac:dyDescent="0.2">
      <c r="B32" s="2528" t="s">
        <v>3942</v>
      </c>
      <c r="C32" s="2528"/>
      <c r="D32" s="2528"/>
      <c r="E32" s="2528"/>
      <c r="F32" s="2528"/>
      <c r="G32" s="2528"/>
      <c r="H32" s="2528"/>
      <c r="I32" s="2528"/>
      <c r="J32" s="2528"/>
      <c r="K32" s="2528"/>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64" t="s">
        <v>1365</v>
      </c>
      <c r="C34" s="1364"/>
      <c r="D34" s="322"/>
      <c r="E34" s="322"/>
      <c r="F34" s="322"/>
      <c r="G34" s="1363"/>
      <c r="H34" s="322"/>
      <c r="I34" s="1363"/>
      <c r="J34" s="322"/>
      <c r="K34" s="322"/>
      <c r="L34" s="322"/>
    </row>
    <row r="35" spans="2:12" ht="37.5" customHeight="1" x14ac:dyDescent="0.2">
      <c r="B35" s="2528" t="s">
        <v>3942</v>
      </c>
      <c r="C35" s="2528"/>
      <c r="D35" s="2528"/>
      <c r="E35" s="2528"/>
      <c r="F35" s="2528"/>
      <c r="G35" s="2528"/>
      <c r="H35" s="2528"/>
      <c r="I35" s="2528"/>
      <c r="J35" s="2528"/>
      <c r="K35" s="2528"/>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64" t="s">
        <v>1364</v>
      </c>
      <c r="C37" s="1364"/>
      <c r="D37" s="322"/>
      <c r="E37" s="322"/>
      <c r="F37" s="322"/>
      <c r="G37" s="1363"/>
      <c r="H37" s="322"/>
      <c r="I37" s="1363"/>
      <c r="J37" s="322"/>
      <c r="K37" s="322"/>
      <c r="L37" s="322"/>
    </row>
    <row r="38" spans="2:12" ht="35.25" customHeight="1" x14ac:dyDescent="0.2">
      <c r="B38" s="2528" t="s">
        <v>3942</v>
      </c>
      <c r="C38" s="2528"/>
      <c r="D38" s="2528"/>
      <c r="E38" s="2528"/>
      <c r="F38" s="2528"/>
      <c r="G38" s="2528"/>
      <c r="H38" s="2528"/>
      <c r="I38" s="2528"/>
      <c r="J38" s="2528"/>
      <c r="K38" s="2528"/>
      <c r="L38" s="322"/>
    </row>
    <row r="39" spans="2:12" ht="4.5" customHeight="1" x14ac:dyDescent="0.2">
      <c r="B39" s="1382"/>
      <c r="C39" s="1382"/>
      <c r="D39" s="322"/>
      <c r="E39" s="322"/>
      <c r="F39" s="322"/>
      <c r="G39" s="1363"/>
      <c r="H39" s="322"/>
      <c r="I39" s="1363"/>
      <c r="J39" s="322"/>
      <c r="K39" s="322"/>
      <c r="L39" s="322"/>
    </row>
    <row r="40" spans="2:12" s="322" customFormat="1" ht="13.5" customHeight="1" x14ac:dyDescent="0.2">
      <c r="B40" s="1383" t="s">
        <v>1860</v>
      </c>
      <c r="C40" s="1383"/>
      <c r="D40" s="1358"/>
      <c r="E40" s="1359"/>
      <c r="F40" s="1359"/>
      <c r="G40" s="1360"/>
      <c r="H40" s="1359"/>
      <c r="I40" s="1360"/>
      <c r="J40" s="1359"/>
      <c r="K40" s="1359"/>
    </row>
    <row r="41" spans="2:12" s="322" customFormat="1" ht="33.75" customHeight="1" x14ac:dyDescent="0.2">
      <c r="B41" s="2528" t="s">
        <v>3942</v>
      </c>
      <c r="C41" s="2528"/>
      <c r="D41" s="2528"/>
      <c r="E41" s="2528"/>
      <c r="F41" s="2528"/>
      <c r="G41" s="2528"/>
      <c r="H41" s="2528"/>
      <c r="I41" s="2528"/>
      <c r="J41" s="2528"/>
      <c r="K41" s="2528"/>
    </row>
    <row r="42" spans="2:12" s="322" customFormat="1" ht="4.5" customHeight="1" x14ac:dyDescent="0.2">
      <c r="B42" s="1382"/>
      <c r="C42" s="1382"/>
      <c r="G42" s="1363"/>
      <c r="I42" s="1363"/>
    </row>
    <row r="43" spans="2:12" s="322" customFormat="1" ht="13.5" customHeight="1" x14ac:dyDescent="0.2">
      <c r="B43" s="1462" t="s">
        <v>1353</v>
      </c>
      <c r="C43" s="1463"/>
      <c r="D43" s="1384"/>
      <c r="E43" s="1384"/>
      <c r="F43" s="1384"/>
      <c r="G43" s="1385"/>
      <c r="H43" s="1384"/>
      <c r="I43" s="1385"/>
      <c r="J43" s="1384"/>
      <c r="K43" s="1386"/>
      <c r="L43" s="1464"/>
    </row>
    <row r="44" spans="2:12" s="322" customFormat="1" ht="13.5" customHeight="1" x14ac:dyDescent="0.2">
      <c r="B44" s="1387" t="s">
        <v>1352</v>
      </c>
      <c r="C44" s="1388"/>
      <c r="D44" s="1465"/>
      <c r="E44" s="1389"/>
      <c r="F44" s="1393" t="s">
        <v>1351</v>
      </c>
      <c r="G44" s="1391"/>
      <c r="H44" s="1390"/>
      <c r="I44" s="1391"/>
      <c r="J44" s="1466"/>
      <c r="K44" s="1467"/>
      <c r="L44" s="1464"/>
    </row>
    <row r="45" spans="2:12" s="322" customFormat="1" ht="13.5" customHeight="1" x14ac:dyDescent="0.2">
      <c r="B45" s="1387" t="s">
        <v>1350</v>
      </c>
      <c r="C45" s="1388"/>
      <c r="D45" s="1466"/>
      <c r="E45" s="1390"/>
      <c r="F45" s="1393" t="s">
        <v>1349</v>
      </c>
      <c r="G45" s="1391"/>
      <c r="H45" s="1390"/>
      <c r="I45" s="1391"/>
      <c r="J45" s="1466"/>
      <c r="K45" s="1467"/>
      <c r="L45" s="1464"/>
    </row>
    <row r="46" spans="2:12" s="322" customFormat="1" ht="13.5" customHeight="1" x14ac:dyDescent="0.2">
      <c r="B46" s="1394"/>
      <c r="C46" s="1392"/>
      <c r="D46" s="1392"/>
      <c r="E46" s="1392"/>
      <c r="F46" s="1392"/>
      <c r="G46" s="1395"/>
      <c r="H46" s="1392"/>
      <c r="I46" s="1395"/>
      <c r="J46" s="1392"/>
      <c r="K46" s="1396"/>
      <c r="L46" s="1464"/>
    </row>
    <row r="47" spans="2:12" ht="7.5" customHeight="1" x14ac:dyDescent="0.25">
      <c r="B47" s="1468"/>
      <c r="C47" s="1468"/>
      <c r="D47" s="1469"/>
      <c r="E47" s="1469"/>
      <c r="F47" s="1469"/>
      <c r="G47" s="1470"/>
      <c r="H47" s="1469"/>
      <c r="I47" s="1470"/>
      <c r="J47" s="1469"/>
      <c r="K47" s="1469"/>
    </row>
    <row r="48" spans="2:12" ht="13.5" customHeight="1" x14ac:dyDescent="0.2">
      <c r="B48" s="1399" t="s">
        <v>1861</v>
      </c>
      <c r="C48" s="1399"/>
      <c r="D48" s="322"/>
      <c r="E48" s="322"/>
      <c r="F48" s="322"/>
    </row>
    <row r="49" spans="2:3" s="317" customFormat="1" ht="10.5" customHeight="1" x14ac:dyDescent="0.2">
      <c r="B49" s="1400" t="s">
        <v>1862</v>
      </c>
      <c r="C49" s="1400"/>
    </row>
    <row r="50" spans="2:3" s="317" customFormat="1" ht="11.1" customHeight="1" x14ac:dyDescent="0.2">
      <c r="B50" s="1400" t="s">
        <v>1863</v>
      </c>
      <c r="C50" s="1400"/>
    </row>
    <row r="51" spans="2:3" s="317" customFormat="1" ht="11.1" customHeight="1" x14ac:dyDescent="0.2">
      <c r="B51" s="1400" t="s">
        <v>1864</v>
      </c>
      <c r="C51" s="1400"/>
    </row>
    <row r="52" spans="2:3" s="317" customFormat="1" ht="11.1" customHeight="1" x14ac:dyDescent="0.2">
      <c r="B52" s="1400" t="s">
        <v>1865</v>
      </c>
      <c r="C52" s="140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M11" sqref="M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2" customFormat="1" ht="12.75" customHeight="1" x14ac:dyDescent="0.2">
      <c r="B1" s="2513" t="str">
        <f>'Single Audit Cover'!A7</f>
        <v>Ottawa ESD 141</v>
      </c>
      <c r="C1" s="2513"/>
      <c r="D1" s="2513"/>
      <c r="E1" s="1471"/>
    </row>
    <row r="2" spans="2:5" s="1262" customFormat="1" ht="12.75" customHeight="1" x14ac:dyDescent="0.2">
      <c r="B2" s="2515">
        <f>'Single Audit Cover'!E7</f>
        <v>35050141002</v>
      </c>
      <c r="C2" s="2515"/>
      <c r="D2" s="2515"/>
      <c r="E2" s="1472"/>
    </row>
    <row r="3" spans="2:5" ht="12.75" customHeight="1" x14ac:dyDescent="0.2">
      <c r="B3" s="2529" t="s">
        <v>1866</v>
      </c>
      <c r="C3" s="2529"/>
      <c r="D3" s="2529"/>
      <c r="E3" s="1254"/>
    </row>
    <row r="4" spans="2:5" s="1262" customFormat="1" ht="12.75" customHeight="1" x14ac:dyDescent="0.2">
      <c r="B4" s="2539" t="str">
        <f>'Single Audit Cover'!A4</f>
        <v>Year Ending June 30, 2018</v>
      </c>
      <c r="C4" s="2539"/>
      <c r="D4" s="2539"/>
      <c r="E4" s="1473"/>
    </row>
    <row r="5" spans="2:5" s="1262" customFormat="1" ht="40.15" customHeight="1" x14ac:dyDescent="0.2">
      <c r="B5" s="1474"/>
      <c r="C5" s="328"/>
      <c r="D5" s="328"/>
      <c r="E5" s="328"/>
    </row>
    <row r="6" spans="2:5" s="1262" customFormat="1" ht="13.5" customHeight="1" x14ac:dyDescent="0.2">
      <c r="B6" s="1475" t="s">
        <v>1382</v>
      </c>
      <c r="C6" s="1475" t="s">
        <v>1381</v>
      </c>
      <c r="D6" s="1475" t="s">
        <v>1867</v>
      </c>
    </row>
    <row r="7" spans="2:5" ht="13.5" customHeight="1" x14ac:dyDescent="0.2">
      <c r="B7" s="1476" t="s">
        <v>3943</v>
      </c>
      <c r="C7" s="324" t="s">
        <v>3944</v>
      </c>
      <c r="D7" s="324" t="s">
        <v>3947</v>
      </c>
      <c r="E7" s="324"/>
    </row>
    <row r="8" spans="2:5" ht="13.5" customHeight="1" x14ac:dyDescent="0.2">
      <c r="B8" s="1476"/>
      <c r="C8" s="324" t="s">
        <v>3945</v>
      </c>
      <c r="D8" s="324" t="s">
        <v>3948</v>
      </c>
      <c r="E8" s="324"/>
    </row>
    <row r="9" spans="2:5" ht="13.5" customHeight="1" x14ac:dyDescent="0.2">
      <c r="B9" s="1477"/>
      <c r="C9" s="323" t="s">
        <v>3946</v>
      </c>
      <c r="D9" s="323" t="s">
        <v>3949</v>
      </c>
      <c r="E9" s="323"/>
    </row>
    <row r="10" spans="2:5" ht="13.5" customHeight="1" x14ac:dyDescent="0.2">
      <c r="B10" s="1476"/>
      <c r="C10" s="323"/>
      <c r="D10" s="323"/>
      <c r="E10" s="323"/>
    </row>
    <row r="11" spans="2:5" ht="13.5" customHeight="1" x14ac:dyDescent="0.2">
      <c r="B11" s="1476"/>
      <c r="C11" s="323"/>
      <c r="D11" s="323"/>
      <c r="E11" s="323"/>
    </row>
    <row r="12" spans="2:5" ht="13.5" customHeight="1" x14ac:dyDescent="0.2">
      <c r="B12" s="1476"/>
      <c r="C12" s="323"/>
      <c r="D12" s="323"/>
      <c r="E12" s="323"/>
    </row>
    <row r="13" spans="2:5" ht="13.5" customHeight="1" x14ac:dyDescent="0.2">
      <c r="B13" s="1476"/>
      <c r="C13" s="323"/>
      <c r="D13" s="323"/>
      <c r="E13" s="323"/>
    </row>
    <row r="14" spans="2:5" ht="13.5" customHeight="1" x14ac:dyDescent="0.2">
      <c r="B14" s="1476"/>
      <c r="C14" s="323"/>
      <c r="D14" s="323"/>
      <c r="E14" s="323"/>
    </row>
    <row r="15" spans="2:5" ht="13.5" customHeight="1" x14ac:dyDescent="0.2">
      <c r="B15" s="1476"/>
      <c r="C15" s="323"/>
      <c r="D15" s="323"/>
      <c r="E15" s="323"/>
    </row>
    <row r="16" spans="2:5" ht="13.5" customHeight="1" x14ac:dyDescent="0.2">
      <c r="B16" s="1476"/>
      <c r="C16" s="323"/>
      <c r="D16" s="323"/>
      <c r="E16" s="323"/>
    </row>
    <row r="17" spans="2:5" ht="13.5" customHeight="1" x14ac:dyDescent="0.2">
      <c r="B17" s="1476"/>
      <c r="C17" s="323"/>
      <c r="D17" s="323"/>
      <c r="E17" s="323"/>
    </row>
    <row r="18" spans="2:5" ht="13.5" customHeight="1" x14ac:dyDescent="0.2">
      <c r="B18" s="1476"/>
      <c r="C18" s="323"/>
      <c r="D18" s="323"/>
      <c r="E18" s="323"/>
    </row>
    <row r="19" spans="2:5" ht="13.5" customHeight="1" x14ac:dyDescent="0.2">
      <c r="B19" s="1476"/>
      <c r="C19" s="323"/>
      <c r="D19" s="323"/>
      <c r="E19" s="323"/>
    </row>
    <row r="20" spans="2:5" ht="13.5" customHeight="1" x14ac:dyDescent="0.2">
      <c r="B20" s="1476"/>
      <c r="C20" s="323"/>
      <c r="D20" s="323"/>
      <c r="E20" s="323"/>
    </row>
    <row r="21" spans="2:5" ht="13.5" customHeight="1" x14ac:dyDescent="0.2">
      <c r="B21" s="1476"/>
      <c r="C21" s="323"/>
      <c r="D21" s="323"/>
      <c r="E21" s="323"/>
    </row>
    <row r="22" spans="2:5" ht="13.5" customHeight="1" x14ac:dyDescent="0.2">
      <c r="B22" s="1476"/>
      <c r="C22" s="323"/>
      <c r="D22" s="323"/>
      <c r="E22" s="323"/>
    </row>
    <row r="23" spans="2:5" ht="13.5" customHeight="1" x14ac:dyDescent="0.2">
      <c r="B23" s="1476"/>
      <c r="C23" s="323"/>
      <c r="D23" s="323"/>
      <c r="E23" s="323"/>
    </row>
    <row r="24" spans="2:5" ht="13.5" customHeight="1" x14ac:dyDescent="0.2">
      <c r="B24" s="1476"/>
      <c r="C24" s="323"/>
      <c r="D24" s="323"/>
      <c r="E24" s="323"/>
    </row>
    <row r="25" spans="2:5" ht="13.5" customHeight="1" x14ac:dyDescent="0.2">
      <c r="B25" s="1476"/>
      <c r="C25" s="323"/>
      <c r="D25" s="323"/>
      <c r="E25" s="323"/>
    </row>
    <row r="26" spans="2:5" ht="13.5" customHeight="1" x14ac:dyDescent="0.2">
      <c r="B26" s="1476"/>
      <c r="C26" s="323"/>
      <c r="D26" s="323"/>
      <c r="E26" s="323"/>
    </row>
    <row r="27" spans="2:5" ht="13.5" customHeight="1" x14ac:dyDescent="0.2">
      <c r="B27" s="1476"/>
      <c r="C27" s="323"/>
      <c r="D27" s="323"/>
      <c r="E27" s="323"/>
    </row>
    <row r="28" spans="2:5" ht="13.5" customHeight="1" x14ac:dyDescent="0.2">
      <c r="B28" s="1476"/>
      <c r="C28" s="323"/>
      <c r="D28" s="323"/>
      <c r="E28" s="323"/>
    </row>
    <row r="29" spans="2:5" ht="13.5" customHeight="1" x14ac:dyDescent="0.2">
      <c r="B29" s="1476"/>
      <c r="C29" s="323"/>
      <c r="D29" s="323"/>
      <c r="E29" s="323"/>
    </row>
    <row r="30" spans="2:5" ht="13.5" customHeight="1" x14ac:dyDescent="0.2">
      <c r="B30" s="1476"/>
      <c r="C30" s="323"/>
      <c r="D30" s="323"/>
      <c r="E30" s="323"/>
    </row>
    <row r="31" spans="2:5" ht="13.5" customHeight="1" x14ac:dyDescent="0.2">
      <c r="B31" s="1476"/>
      <c r="C31" s="323"/>
      <c r="D31" s="323"/>
      <c r="E31" s="323"/>
    </row>
    <row r="32" spans="2:5" ht="13.5" customHeight="1" x14ac:dyDescent="0.2">
      <c r="B32" s="1478"/>
      <c r="C32" s="323"/>
      <c r="D32" s="323"/>
      <c r="E32" s="323"/>
    </row>
    <row r="33" spans="2:5" ht="13.5" customHeight="1" x14ac:dyDescent="0.2">
      <c r="B33" s="1479"/>
      <c r="C33" s="323"/>
      <c r="D33" s="323"/>
      <c r="E33" s="323"/>
    </row>
    <row r="34" spans="2:5" ht="13.5" customHeight="1" x14ac:dyDescent="0.2">
      <c r="B34" s="1480"/>
      <c r="C34" s="323"/>
      <c r="D34" s="323"/>
      <c r="E34" s="323"/>
    </row>
    <row r="35" spans="2:5" ht="13.5" customHeight="1" x14ac:dyDescent="0.2">
      <c r="B35" s="1479"/>
      <c r="C35" s="323"/>
      <c r="D35" s="323"/>
      <c r="E35" s="323"/>
    </row>
    <row r="36" spans="2:5" ht="13.5" customHeight="1" x14ac:dyDescent="0.2">
      <c r="B36" s="1480"/>
      <c r="C36" s="323"/>
      <c r="D36" s="323"/>
      <c r="E36" s="323"/>
    </row>
    <row r="37" spans="2:5" ht="13.5" customHeight="1" x14ac:dyDescent="0.2">
      <c r="B37" s="1480"/>
      <c r="C37" s="323"/>
      <c r="D37" s="323"/>
      <c r="E37" s="323"/>
    </row>
    <row r="38" spans="2:5" ht="13.5" customHeight="1" x14ac:dyDescent="0.2">
      <c r="B38" s="1479"/>
      <c r="C38" s="323"/>
      <c r="D38" s="323"/>
      <c r="E38" s="323"/>
    </row>
    <row r="39" spans="2:5" ht="13.5" customHeight="1" x14ac:dyDescent="0.2">
      <c r="B39" s="1480"/>
      <c r="C39" s="323"/>
      <c r="D39" s="323"/>
      <c r="E39" s="323"/>
    </row>
    <row r="40" spans="2:5" ht="13.5" customHeight="1" x14ac:dyDescent="0.2">
      <c r="B40" s="1479"/>
      <c r="C40" s="323"/>
      <c r="D40" s="323"/>
      <c r="E40" s="323"/>
    </row>
    <row r="41" spans="2:5" ht="13.5" customHeight="1" x14ac:dyDescent="0.2">
      <c r="B41" s="1481"/>
      <c r="C41" s="323"/>
      <c r="D41" s="323"/>
      <c r="E41" s="323"/>
    </row>
    <row r="42" spans="2:5" ht="13.5" customHeight="1" x14ac:dyDescent="0.2">
      <c r="B42" s="1482"/>
      <c r="C42" s="323"/>
      <c r="D42" s="323"/>
      <c r="E42" s="323"/>
    </row>
    <row r="43" spans="2:5" ht="12.75" customHeight="1" x14ac:dyDescent="0.2">
      <c r="B43" s="1483"/>
      <c r="C43" s="1484"/>
      <c r="D43" s="1484"/>
      <c r="E43" s="323"/>
    </row>
    <row r="44" spans="2:5" ht="12.2" customHeight="1" x14ac:dyDescent="0.2">
      <c r="B44" s="1237" t="s">
        <v>1380</v>
      </c>
      <c r="C44" s="322"/>
    </row>
    <row r="45" spans="2:5" ht="12.2" customHeight="1" x14ac:dyDescent="0.2">
      <c r="B45" s="1485" t="s">
        <v>1868</v>
      </c>
    </row>
    <row r="46" spans="2:5" ht="12.2" customHeight="1" x14ac:dyDescent="0.2">
      <c r="B46" s="1485" t="s">
        <v>1869</v>
      </c>
    </row>
    <row r="47" spans="2:5" ht="12.2" customHeight="1" x14ac:dyDescent="0.2">
      <c r="B47" s="1486" t="s">
        <v>1379</v>
      </c>
    </row>
    <row r="48" spans="2:5" ht="12.2" customHeight="1" x14ac:dyDescent="0.2">
      <c r="B48" s="1486" t="s">
        <v>1378</v>
      </c>
    </row>
    <row r="49" spans="2:5" ht="12.2" customHeight="1" x14ac:dyDescent="0.2">
      <c r="B49" s="1486" t="s">
        <v>1377</v>
      </c>
    </row>
    <row r="50" spans="2:5" ht="12.2" customHeight="1" x14ac:dyDescent="0.2">
      <c r="B50" s="1486" t="s">
        <v>1376</v>
      </c>
    </row>
    <row r="53" spans="2:5" ht="12.75" customHeight="1" x14ac:dyDescent="0.2"/>
    <row r="54" spans="2:5" ht="12.75" customHeight="1" x14ac:dyDescent="0.2">
      <c r="B54" s="124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80"/>
    </row>
    <row r="69" spans="2:2" x14ac:dyDescent="0.2">
      <c r="B69" s="1280"/>
    </row>
    <row r="70" spans="2:2" x14ac:dyDescent="0.2">
      <c r="B70" s="1400"/>
    </row>
    <row r="71" spans="2:2" x14ac:dyDescent="0.2">
      <c r="B71" s="1400"/>
    </row>
    <row r="72" spans="2:2" x14ac:dyDescent="0.2">
      <c r="B72" s="1400"/>
    </row>
    <row r="73" spans="2:2" x14ac:dyDescent="0.2">
      <c r="B73" s="128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L71"/>
  <sheetViews>
    <sheetView showGridLines="0" zoomScale="110" zoomScaleNormal="110" zoomScaleSheetLayoutView="100" workbookViewId="0">
      <selection activeCell="M11" sqref="M11"/>
    </sheetView>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9" spans="2:12" ht="13.5" customHeight="1" x14ac:dyDescent="0.2">
      <c r="B9" s="2542" t="str">
        <f>'[1]Single Audit Cover'!A7</f>
        <v>OTTAWA ELEMENTARY SCHOOLS</v>
      </c>
      <c r="C9" s="2542"/>
      <c r="D9" s="2542"/>
      <c r="E9" s="2542"/>
      <c r="F9" s="1960"/>
      <c r="G9" s="1960"/>
      <c r="H9" s="1960"/>
      <c r="I9" s="1960"/>
      <c r="J9" s="1960"/>
      <c r="K9" s="1960"/>
      <c r="L9" s="1960"/>
    </row>
    <row r="10" spans="2:12" ht="13.5" customHeight="1" x14ac:dyDescent="0.2">
      <c r="B10" s="2543" t="str">
        <f>'[1]Single Audit Cover'!E7</f>
        <v>35-050-1410-002</v>
      </c>
      <c r="C10" s="2543"/>
      <c r="D10" s="2543"/>
      <c r="E10" s="2543"/>
      <c r="F10" s="1961"/>
      <c r="G10" s="1961"/>
      <c r="H10" s="1961"/>
      <c r="I10" s="1961"/>
      <c r="J10" s="1961"/>
      <c r="K10" s="1961"/>
      <c r="L10" s="1961"/>
    </row>
    <row r="11" spans="2:12" ht="13.5" customHeight="1" x14ac:dyDescent="0.2">
      <c r="B11" s="2544" t="s">
        <v>3976</v>
      </c>
      <c r="C11" s="2544"/>
      <c r="D11" s="2544"/>
      <c r="E11" s="2544"/>
      <c r="F11" s="1962"/>
      <c r="G11" s="1962"/>
      <c r="H11" s="1962"/>
      <c r="I11" s="1962"/>
      <c r="J11" s="1962"/>
      <c r="K11" s="1962"/>
      <c r="L11" s="1962"/>
    </row>
    <row r="12" spans="2:12" ht="13.5" customHeight="1" x14ac:dyDescent="0.2">
      <c r="B12" s="2545" t="str">
        <f ca="1">"Year Ending "&amp;TEXT(DATE(YEAR(TODAY()),6,30),"mmmm d, yyyy")</f>
        <v>Year Ending June 30, 2018</v>
      </c>
      <c r="C12" s="2545"/>
      <c r="D12" s="2545"/>
      <c r="E12" s="2545"/>
      <c r="F12" s="1963"/>
      <c r="G12" s="1963"/>
      <c r="H12" s="1963"/>
      <c r="I12" s="1963"/>
      <c r="J12" s="1963"/>
      <c r="K12" s="1963"/>
      <c r="L12" s="1963"/>
    </row>
    <row r="13" spans="2:12" ht="29.85" customHeight="1" x14ac:dyDescent="0.2">
      <c r="B13" s="1964"/>
      <c r="C13" s="1964"/>
      <c r="D13" s="1964"/>
      <c r="E13" s="1964"/>
      <c r="F13" s="1964"/>
      <c r="G13" s="1964"/>
      <c r="H13" s="1964"/>
      <c r="I13" s="1964"/>
    </row>
    <row r="14" spans="2:12" ht="13.5" customHeight="1" x14ac:dyDescent="0.2">
      <c r="B14" s="1965" t="s">
        <v>3977</v>
      </c>
      <c r="C14" s="1965"/>
      <c r="D14" s="1966"/>
      <c r="E14" s="1967"/>
      <c r="F14" s="1967"/>
      <c r="G14" s="1968"/>
      <c r="H14" s="1968"/>
      <c r="I14" s="1968"/>
    </row>
    <row r="15" spans="2:12" ht="13.5" customHeight="1" x14ac:dyDescent="0.2">
      <c r="B15" s="1964" t="s">
        <v>1231</v>
      </c>
      <c r="C15" s="1964"/>
      <c r="D15" s="1964"/>
      <c r="E15" s="1964"/>
      <c r="F15" s="1964"/>
      <c r="G15" s="1964"/>
      <c r="H15" s="1964"/>
      <c r="I15" s="1964"/>
    </row>
    <row r="16" spans="2:12" ht="13.5" customHeight="1" x14ac:dyDescent="0.2">
      <c r="B16" s="1969" t="s">
        <v>3978</v>
      </c>
      <c r="C16" s="1970" t="str">
        <f ca="1">TEXT(DATE(YEAR(TODAY()),6,30),"yyyy-")</f>
        <v>2018-</v>
      </c>
      <c r="D16" s="1971">
        <v>1</v>
      </c>
      <c r="E16" s="1964"/>
      <c r="F16" s="1964"/>
      <c r="G16" s="1964"/>
      <c r="H16" s="1964"/>
      <c r="I16" s="1964"/>
    </row>
    <row r="17" spans="2:5" ht="13.5" customHeight="1" x14ac:dyDescent="0.2">
      <c r="B17" s="1972"/>
      <c r="C17" s="1972"/>
      <c r="D17" s="1972"/>
    </row>
    <row r="18" spans="2:5" ht="13.5" customHeight="1" x14ac:dyDescent="0.2">
      <c r="B18" s="1969" t="s">
        <v>3979</v>
      </c>
      <c r="C18" s="1969"/>
      <c r="D18" s="1964"/>
    </row>
    <row r="19" spans="2:5" ht="66.75" customHeight="1" x14ac:dyDescent="0.2">
      <c r="B19" s="2540" t="s">
        <v>3980</v>
      </c>
      <c r="C19" s="2540"/>
      <c r="D19" s="2541"/>
      <c r="E19" s="2541"/>
    </row>
    <row r="20" spans="2:5" ht="13.5" customHeight="1" x14ac:dyDescent="0.2">
      <c r="B20" s="1964"/>
      <c r="C20" s="1964"/>
      <c r="D20" s="1964"/>
    </row>
    <row r="21" spans="2:5" ht="13.5" customHeight="1" x14ac:dyDescent="0.2">
      <c r="B21" s="1969" t="s">
        <v>3981</v>
      </c>
      <c r="C21" s="1969"/>
      <c r="D21" s="1964"/>
    </row>
    <row r="22" spans="2:5" ht="76.5" customHeight="1" x14ac:dyDescent="0.2">
      <c r="B22" s="2540" t="s">
        <v>3982</v>
      </c>
      <c r="C22" s="2540"/>
      <c r="D22" s="2541"/>
      <c r="E22" s="2541"/>
    </row>
    <row r="23" spans="2:5" ht="13.5" customHeight="1" x14ac:dyDescent="0.2">
      <c r="B23" s="1964"/>
      <c r="C23" s="1964"/>
      <c r="D23" s="1964"/>
    </row>
    <row r="24" spans="2:5" ht="13.5" customHeight="1" x14ac:dyDescent="0.2">
      <c r="B24" s="1969" t="s">
        <v>3983</v>
      </c>
      <c r="C24" s="1969"/>
      <c r="D24" s="1964"/>
      <c r="E24" s="1973" t="s">
        <v>3984</v>
      </c>
    </row>
    <row r="25" spans="2:5" ht="13.5" customHeight="1" x14ac:dyDescent="0.2">
      <c r="B25" s="1964"/>
      <c r="C25" s="1964"/>
      <c r="D25" s="1964"/>
    </row>
    <row r="26" spans="2:5" ht="13.5" customHeight="1" x14ac:dyDescent="0.2">
      <c r="B26" s="1969" t="s">
        <v>3985</v>
      </c>
      <c r="C26" s="1969"/>
      <c r="D26" s="1964"/>
      <c r="E26" s="1974" t="s">
        <v>3986</v>
      </c>
    </row>
    <row r="27" spans="2:5" ht="13.5" customHeight="1" x14ac:dyDescent="0.2">
      <c r="B27" s="1964"/>
      <c r="C27" s="1964"/>
      <c r="D27" s="1964"/>
    </row>
    <row r="28" spans="2:5" ht="13.5" customHeight="1" x14ac:dyDescent="0.2">
      <c r="B28" s="1969" t="s">
        <v>3987</v>
      </c>
      <c r="C28" s="1969"/>
      <c r="D28" s="1964"/>
      <c r="E28" s="1974" t="s">
        <v>3988</v>
      </c>
    </row>
    <row r="29" spans="2:5" ht="13.5" customHeight="1" x14ac:dyDescent="0.2">
      <c r="B29" s="1964"/>
      <c r="C29" s="1964"/>
      <c r="D29" s="1964"/>
      <c r="E29" s="1975"/>
    </row>
    <row r="30" spans="2:5" ht="13.5" customHeight="1" x14ac:dyDescent="0.2">
      <c r="B30" s="1964"/>
      <c r="C30" s="1964"/>
      <c r="D30" s="1964"/>
      <c r="E30" s="1975"/>
    </row>
    <row r="31" spans="2:5" ht="13.5" customHeight="1" x14ac:dyDescent="0.2">
      <c r="B31" s="1964"/>
      <c r="C31" s="1964"/>
      <c r="D31" s="1964"/>
    </row>
    <row r="32" spans="2:5" ht="13.5" customHeight="1" x14ac:dyDescent="0.2">
      <c r="B32" s="1964"/>
      <c r="C32" s="1964"/>
      <c r="D32" s="1964"/>
    </row>
    <row r="33" spans="2:4" ht="13.5" customHeight="1" x14ac:dyDescent="0.2">
      <c r="B33" s="1976"/>
      <c r="C33" s="1976"/>
      <c r="D33" s="1976"/>
    </row>
    <row r="34" spans="2:4" ht="13.5" customHeight="1" x14ac:dyDescent="0.2">
      <c r="B34" s="1976"/>
      <c r="C34" s="1976"/>
      <c r="D34" s="1976"/>
    </row>
    <row r="35" spans="2:4" ht="13.5" customHeight="1" x14ac:dyDescent="0.2">
      <c r="B35" s="1976"/>
      <c r="C35" s="1976"/>
      <c r="D35" s="1976"/>
    </row>
    <row r="36" spans="2:4" ht="13.5" customHeight="1" x14ac:dyDescent="0.2"/>
    <row r="37" spans="2:4" ht="13.5" customHeight="1" x14ac:dyDescent="0.2"/>
    <row r="38" spans="2:4" ht="13.5" customHeight="1" x14ac:dyDescent="0.2"/>
    <row r="39" spans="2:4" ht="13.5" customHeight="1" x14ac:dyDescent="0.2"/>
    <row r="40" spans="2:4" ht="13.5" customHeight="1" x14ac:dyDescent="0.2"/>
    <row r="41" spans="2:4" ht="13.5" customHeight="1" x14ac:dyDescent="0.2"/>
    <row r="42" spans="2:4" ht="13.5" customHeight="1" x14ac:dyDescent="0.2"/>
    <row r="43" spans="2:4" ht="12.2" customHeight="1" x14ac:dyDescent="0.2">
      <c r="B43" s="1977" t="s">
        <v>3989</v>
      </c>
      <c r="C43" s="1977"/>
      <c r="D43" s="1977"/>
    </row>
    <row r="44" spans="2:4" ht="12.2" customHeight="1" x14ac:dyDescent="0.2">
      <c r="B44" s="1978"/>
      <c r="C44" s="1978"/>
      <c r="D44" s="1978"/>
    </row>
    <row r="45" spans="2:4" ht="12.75" customHeight="1" x14ac:dyDescent="0.2">
      <c r="B45" s="1979"/>
      <c r="C45" s="1979"/>
      <c r="D45" s="1979"/>
    </row>
    <row r="46" spans="2:4" ht="12.75" customHeight="1" x14ac:dyDescent="0.2">
      <c r="B46" s="1979"/>
      <c r="C46" s="1979"/>
      <c r="D46" s="1979"/>
    </row>
    <row r="47" spans="2:4" x14ac:dyDescent="0.2">
      <c r="B47" s="1979"/>
      <c r="C47" s="1979"/>
      <c r="D47" s="1979"/>
    </row>
    <row r="48" spans="2:4" x14ac:dyDescent="0.2">
      <c r="B48" s="1979"/>
      <c r="C48" s="1979"/>
      <c r="D48" s="1979"/>
    </row>
    <row r="52" spans="2:9" x14ac:dyDescent="0.2">
      <c r="B52" s="1980"/>
      <c r="C52" s="1980"/>
      <c r="D52" s="1980"/>
    </row>
    <row r="53" spans="2:9" ht="12.75" customHeight="1" x14ac:dyDescent="0.2"/>
    <row r="54" spans="2:9" ht="12.75" customHeight="1" x14ac:dyDescent="0.2">
      <c r="B54" s="1964"/>
      <c r="C54" s="1964"/>
      <c r="D54" s="1964"/>
      <c r="E54" s="1964"/>
      <c r="F54" s="1964"/>
      <c r="G54" s="1964"/>
      <c r="H54" s="1964"/>
      <c r="I54" s="1964"/>
    </row>
    <row r="55" spans="2:9" ht="12.75" customHeight="1" x14ac:dyDescent="0.2">
      <c r="B55" s="1964"/>
      <c r="C55" s="1964"/>
      <c r="D55" s="1964"/>
      <c r="E55" s="1964"/>
      <c r="F55" s="1964"/>
      <c r="G55" s="1964"/>
      <c r="H55" s="1964"/>
      <c r="I55" s="1964"/>
    </row>
    <row r="56" spans="2:9" ht="12.75" customHeight="1" x14ac:dyDescent="0.2">
      <c r="B56" s="1964"/>
      <c r="C56" s="1964"/>
      <c r="D56" s="1964"/>
      <c r="E56" s="1964"/>
      <c r="F56" s="1964"/>
      <c r="G56" s="1964"/>
      <c r="H56" s="1964"/>
      <c r="I56" s="1964"/>
    </row>
    <row r="57" spans="2:9" ht="12.75" customHeight="1" x14ac:dyDescent="0.2">
      <c r="B57" s="1964"/>
      <c r="C57" s="1964"/>
      <c r="D57" s="1964"/>
      <c r="E57" s="1964"/>
      <c r="F57" s="1964"/>
      <c r="G57" s="1964"/>
      <c r="H57" s="1964"/>
      <c r="I57" s="1964"/>
    </row>
    <row r="58" spans="2:9" ht="12.75" customHeight="1" x14ac:dyDescent="0.2">
      <c r="B58" s="1964"/>
      <c r="C58" s="1964"/>
      <c r="D58" s="1964"/>
      <c r="E58" s="1964"/>
      <c r="F58" s="1964"/>
      <c r="G58" s="1964"/>
      <c r="H58" s="1964"/>
      <c r="I58" s="1964"/>
    </row>
    <row r="59" spans="2:9" ht="12.75" customHeight="1" x14ac:dyDescent="0.2">
      <c r="B59" s="1964"/>
      <c r="C59" s="1964"/>
      <c r="D59" s="1964"/>
      <c r="E59" s="1964"/>
      <c r="F59" s="1964"/>
      <c r="G59" s="1964"/>
      <c r="H59" s="1964"/>
      <c r="I59" s="1964"/>
    </row>
    <row r="60" spans="2:9" ht="12.75" customHeight="1" x14ac:dyDescent="0.2">
      <c r="B60" s="1964"/>
      <c r="C60" s="1964"/>
      <c r="D60" s="1964"/>
      <c r="E60" s="1964"/>
      <c r="F60" s="1964"/>
    </row>
    <row r="61" spans="2:9" ht="12.75" customHeight="1" x14ac:dyDescent="0.2">
      <c r="B61" s="1964"/>
      <c r="C61" s="1964"/>
      <c r="D61" s="1964"/>
      <c r="E61" s="1964"/>
      <c r="F61" s="1964"/>
      <c r="G61" s="1964"/>
      <c r="H61" s="1964"/>
      <c r="I61" s="1964"/>
    </row>
    <row r="65" spans="2:4" x14ac:dyDescent="0.2">
      <c r="B65" s="1981"/>
      <c r="C65" s="1981"/>
      <c r="D65" s="1981"/>
    </row>
    <row r="66" spans="2:4" x14ac:dyDescent="0.2">
      <c r="B66" s="1979"/>
      <c r="C66" s="1979"/>
      <c r="D66" s="1979"/>
    </row>
    <row r="67" spans="2:4" x14ac:dyDescent="0.2">
      <c r="B67" s="1979"/>
      <c r="C67" s="1979"/>
      <c r="D67" s="1979"/>
    </row>
    <row r="68" spans="2:4" x14ac:dyDescent="0.2">
      <c r="B68" s="1982"/>
      <c r="C68" s="1982"/>
      <c r="D68" s="1982"/>
    </row>
    <row r="69" spans="2:4" x14ac:dyDescent="0.2">
      <c r="B69" s="1982"/>
      <c r="C69" s="1982"/>
      <c r="D69" s="1982"/>
    </row>
    <row r="70" spans="2:4" x14ac:dyDescent="0.2">
      <c r="B70" s="1982"/>
      <c r="C70" s="1982"/>
      <c r="D70" s="1982"/>
    </row>
    <row r="71" spans="2:4" x14ac:dyDescent="0.2">
      <c r="B71" s="1979"/>
      <c r="C71" s="1979"/>
      <c r="D71" s="1979"/>
    </row>
  </sheetData>
  <mergeCells count="6">
    <mergeCell ref="B22:E22"/>
    <mergeCell ref="B9:E9"/>
    <mergeCell ref="B10:E10"/>
    <mergeCell ref="B11:E11"/>
    <mergeCell ref="B12:E12"/>
    <mergeCell ref="B19:E19"/>
  </mergeCells>
  <pageMargins left="0.25" right="0.27" top="0.68" bottom="0.53" header="0.26" footer="0.27"/>
  <pageSetup firstPageNumber="44" orientation="portrait" useFirstPageNumber="1" r:id="rId1"/>
  <headerFooter alignWithMargins="0">
    <oddHeader xml:space="preserve">&amp;C
&amp;G&amp;R&amp;8
</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86"/>
  <sheetViews>
    <sheetView zoomScaleNormal="100" workbookViewId="0">
      <pane ySplit="2" topLeftCell="A1144" activePane="bottomLeft" state="frozen"/>
      <selection activeCell="M11" sqref="M11"/>
      <selection pane="bottomLeft" activeCell="M11" sqref="M11"/>
    </sheetView>
  </sheetViews>
  <sheetFormatPr defaultColWidth="9.140625" defaultRowHeight="15" x14ac:dyDescent="0.25"/>
  <cols>
    <col min="1" max="1" width="19.140625" bestFit="1" customWidth="1"/>
    <col min="2" max="2" width="21.140625" style="1935" customWidth="1"/>
    <col min="3" max="3" width="54.140625" bestFit="1" customWidth="1"/>
    <col min="4" max="4" width="9.5703125" style="1935" bestFit="1" customWidth="1"/>
    <col min="5" max="5" width="8.85546875" style="1935" customWidth="1"/>
    <col min="6" max="6" width="17" style="1941" bestFit="1" customWidth="1"/>
    <col min="7" max="7" width="17.5703125" style="1941" bestFit="1" customWidth="1"/>
    <col min="8" max="8" width="34.5703125" style="1935" customWidth="1"/>
    <col min="9" max="9" width="42" style="1938" customWidth="1"/>
    <col min="10" max="16384" width="9.140625" style="1935"/>
  </cols>
  <sheetData>
    <row r="1" spans="1:9" ht="24.75" x14ac:dyDescent="0.4">
      <c r="A1" s="2546" t="s">
        <v>3835</v>
      </c>
      <c r="B1" s="2547"/>
      <c r="C1" s="2547"/>
      <c r="D1" s="2547"/>
      <c r="E1" s="2547"/>
      <c r="F1" s="2547"/>
      <c r="G1" s="2547"/>
      <c r="H1" s="2547"/>
    </row>
    <row r="2" spans="1:9" ht="20.25" customHeight="1" x14ac:dyDescent="0.25">
      <c r="A2" t="s">
        <v>3637</v>
      </c>
      <c r="B2" s="1932"/>
      <c r="C2" t="s">
        <v>2085</v>
      </c>
      <c r="D2" s="1932"/>
      <c r="E2" s="1932"/>
      <c r="F2" s="1941" t="s">
        <v>3811</v>
      </c>
      <c r="G2" s="1941" t="s">
        <v>3812</v>
      </c>
      <c r="H2" s="1933" t="s">
        <v>2086</v>
      </c>
      <c r="I2" s="1934" t="s">
        <v>2086</v>
      </c>
    </row>
    <row r="3" spans="1:9" x14ac:dyDescent="0.25">
      <c r="A3" t="s">
        <v>2087</v>
      </c>
      <c r="B3" s="1936"/>
      <c r="C3" t="s">
        <v>2088</v>
      </c>
      <c r="D3" s="1936"/>
      <c r="E3" s="1936"/>
      <c r="F3" s="1941">
        <v>-6175972.5</v>
      </c>
      <c r="G3" s="1941">
        <v>-6197015</v>
      </c>
      <c r="H3" s="1937" t="str">
        <f>IFERROR(IF(F3&gt;=VLOOKUP(A3,[2]Materiality!$I$6:$J$12,2,FALSE),IFERROR(IF(VLOOKUP("*CR",F3,1,FALSE)&gt;=0,"",VLOOKUP("*CR",F3,1,FALSE)),F3),""),"")</f>
        <v/>
      </c>
      <c r="I3" s="1938">
        <f>IF(F3&lt;0,F3,0)</f>
        <v>-6175972.5</v>
      </c>
    </row>
    <row r="4" spans="1:9" x14ac:dyDescent="0.25">
      <c r="A4" t="s">
        <v>1231</v>
      </c>
      <c r="B4" s="1936"/>
      <c r="C4" t="s">
        <v>1231</v>
      </c>
      <c r="D4" s="1936"/>
      <c r="E4" s="1936"/>
      <c r="F4" s="1941">
        <v>-6175972.5</v>
      </c>
      <c r="G4" s="1941">
        <v>-6197015</v>
      </c>
      <c r="H4" s="1937" t="str">
        <f>IFERROR(IF(F4&gt;=VLOOKUP(A4,[2]Materiality!$I$6:$J$12,2,TRUE),IFERROR(IF(VLOOKUP("*CR",F4,1,FALSE)&gt;=0,"",VLOOKUP("*CR",F4,1,FALSE)),F4),""),"")</f>
        <v/>
      </c>
      <c r="I4" s="1938">
        <f t="shared" ref="I4:I67" si="0">IF(F4&lt;0,F4,0)</f>
        <v>-6175972.5</v>
      </c>
    </row>
    <row r="5" spans="1:9" x14ac:dyDescent="0.25">
      <c r="A5" t="s">
        <v>591</v>
      </c>
      <c r="B5" s="1936"/>
      <c r="C5" t="s">
        <v>2089</v>
      </c>
      <c r="D5" s="1936"/>
      <c r="E5" s="1936"/>
      <c r="F5" s="1941">
        <v>-6175972.5</v>
      </c>
      <c r="G5" s="1941">
        <v>-6197015</v>
      </c>
      <c r="H5" s="1937" t="str">
        <f>IFERROR(IF(F5&gt;=VLOOKUP(A5,[2]Materiality!$I$6:$J$12,2,TRUE),IFERROR(IF(VLOOKUP("*CR",F5,1,FALSE)&gt;=0,"",VLOOKUP("*CR",F5,1,FALSE)),F5),""),"")</f>
        <v/>
      </c>
      <c r="I5" s="1938">
        <f t="shared" si="0"/>
        <v>-6175972.5</v>
      </c>
    </row>
    <row r="6" spans="1:9" x14ac:dyDescent="0.25">
      <c r="A6" t="s">
        <v>3893</v>
      </c>
      <c r="B6" s="1936"/>
      <c r="C6" t="s">
        <v>2090</v>
      </c>
      <c r="D6" s="1936"/>
      <c r="E6" s="1936"/>
      <c r="F6" s="1941">
        <v>0</v>
      </c>
      <c r="G6" s="1941">
        <v>0</v>
      </c>
      <c r="H6" s="1937" t="str">
        <f>IFERROR(IF(F6&gt;=VLOOKUP(A6,[2]Materiality!$I$6:$J$12,2,TRUE),IFERROR(IF(VLOOKUP("*CR",F6,1,FALSE)&gt;=0,"",VLOOKUP("*CR",F6,1,FALSE)),F6),""),"")</f>
        <v/>
      </c>
      <c r="I6" s="1938">
        <f t="shared" si="0"/>
        <v>0</v>
      </c>
    </row>
    <row r="7" spans="1:9" x14ac:dyDescent="0.25">
      <c r="A7" t="s">
        <v>3638</v>
      </c>
      <c r="B7" s="1936"/>
      <c r="C7" t="s">
        <v>203</v>
      </c>
      <c r="D7" s="1936"/>
      <c r="E7" s="1936"/>
      <c r="F7" s="1941">
        <v>0</v>
      </c>
      <c r="G7" s="1941">
        <v>0</v>
      </c>
      <c r="H7" s="1937" t="str">
        <f>IFERROR(IF(F7&gt;=VLOOKUP(A7,[2]Materiality!$I$6:$J$12,2,TRUE),IFERROR(IF(VLOOKUP("*CR",F7,1,FALSE)&gt;=0,"",VLOOKUP("*CR",F7,1,FALSE)),F7),""),"")</f>
        <v/>
      </c>
      <c r="I7" s="1938">
        <f>IF(F7&lt;0,F7,0)</f>
        <v>0</v>
      </c>
    </row>
    <row r="8" spans="1:9" x14ac:dyDescent="0.25">
      <c r="A8" t="s">
        <v>3639</v>
      </c>
      <c r="B8" s="1936"/>
      <c r="C8" t="s">
        <v>2091</v>
      </c>
      <c r="D8" s="1936"/>
      <c r="E8" s="1936"/>
      <c r="F8" s="1941">
        <v>0</v>
      </c>
      <c r="G8" s="1941">
        <v>0</v>
      </c>
      <c r="H8" s="1937" t="str">
        <f>IFERROR(IF(F8&gt;=VLOOKUP(A8,[2]Materiality!$I$6:$J$12,2,TRUE),IFERROR(IF(VLOOKUP("*CR",F8,1,FALSE)&gt;=0,"",VLOOKUP("*CR",F8,1,FALSE)),F8),""),"")</f>
        <v/>
      </c>
      <c r="I8" s="1938">
        <f t="shared" si="0"/>
        <v>0</v>
      </c>
    </row>
    <row r="9" spans="1:9" x14ac:dyDescent="0.25">
      <c r="A9" t="s">
        <v>2092</v>
      </c>
      <c r="B9" s="1936"/>
      <c r="C9" t="s">
        <v>2093</v>
      </c>
      <c r="D9" s="1936"/>
      <c r="E9" s="1936"/>
      <c r="F9" s="1941">
        <v>-137485.04999999999</v>
      </c>
      <c r="G9" s="1941">
        <v>-138326</v>
      </c>
      <c r="H9" s="1937" t="str">
        <f>IFERROR(IF(F9&gt;=VLOOKUP(A9,[2]Materiality!$I$6:$J$12,2,TRUE),IFERROR(IF(VLOOKUP("*CR",F9,1,FALSE)&gt;=0,"",VLOOKUP("*CR",F9,1,FALSE)),F9),""),"")</f>
        <v/>
      </c>
      <c r="I9" s="1938">
        <f t="shared" si="0"/>
        <v>-137485.04999999999</v>
      </c>
    </row>
    <row r="10" spans="1:9" x14ac:dyDescent="0.25">
      <c r="A10" t="s">
        <v>1231</v>
      </c>
      <c r="B10" s="1936"/>
      <c r="C10" t="s">
        <v>1231</v>
      </c>
      <c r="D10" s="1936"/>
      <c r="E10" s="1936"/>
      <c r="F10" s="1941">
        <v>-137485.04999999999</v>
      </c>
      <c r="G10" s="1941">
        <v>-138326</v>
      </c>
      <c r="H10" s="1937" t="str">
        <f>IFERROR(IF(F10&gt;=VLOOKUP(A10,[2]Materiality!$I$6:$J$12,2,TRUE),IFERROR(IF(VLOOKUP("*CR",F10,1,FALSE)&gt;=0,"",VLOOKUP("*CR",F10,1,FALSE)),F10),""),"")</f>
        <v/>
      </c>
      <c r="I10" s="1938">
        <f t="shared" si="0"/>
        <v>-137485.04999999999</v>
      </c>
    </row>
    <row r="11" spans="1:9" x14ac:dyDescent="0.25">
      <c r="A11" t="s">
        <v>3640</v>
      </c>
      <c r="B11" s="1936"/>
      <c r="C11" t="s">
        <v>2094</v>
      </c>
      <c r="D11" s="1936"/>
      <c r="E11" s="1936"/>
      <c r="F11" s="1941">
        <v>-137485.04999999999</v>
      </c>
      <c r="G11" s="1941">
        <v>-138326</v>
      </c>
      <c r="H11" s="1937" t="str">
        <f>IFERROR(IF(F11&gt;=VLOOKUP(A11,[2]Materiality!$I$6:$J$12,2,TRUE),IFERROR(IF(VLOOKUP("*CR",F11,1,FALSE)&gt;=0,"",VLOOKUP("*CR",F11,1,FALSE)),F11),""),"")</f>
        <v/>
      </c>
      <c r="I11" s="1938">
        <f t="shared" si="0"/>
        <v>-137485.04999999999</v>
      </c>
    </row>
    <row r="12" spans="1:9" x14ac:dyDescent="0.25">
      <c r="A12" t="s">
        <v>2095</v>
      </c>
      <c r="B12" s="1936"/>
      <c r="C12" t="s">
        <v>2096</v>
      </c>
      <c r="D12" s="1936"/>
      <c r="E12" s="1936"/>
      <c r="F12" s="1941">
        <v>-55476.42</v>
      </c>
      <c r="G12" s="1941">
        <v>-55330</v>
      </c>
      <c r="H12" s="1937" t="str">
        <f>IFERROR(IF(F12&gt;=VLOOKUP(A12,[2]Materiality!$I$6:$J$12,2,TRUE),IFERROR(IF(VLOOKUP("*CR",F12,1,FALSE)&gt;=0,"",VLOOKUP("*CR",F12,1,FALSE)),F12),""),"")</f>
        <v/>
      </c>
      <c r="I12" s="1938">
        <f t="shared" si="0"/>
        <v>-55476.42</v>
      </c>
    </row>
    <row r="13" spans="1:9" x14ac:dyDescent="0.25">
      <c r="A13" t="s">
        <v>1231</v>
      </c>
      <c r="B13" s="1936"/>
      <c r="C13" t="s">
        <v>1231</v>
      </c>
      <c r="D13" s="1936"/>
      <c r="E13" s="1936"/>
      <c r="F13" s="1941">
        <v>-55476.42</v>
      </c>
      <c r="G13" s="1941">
        <v>-55330</v>
      </c>
      <c r="H13" s="1937" t="str">
        <f>IFERROR(IF(F13&gt;=VLOOKUP(A13,[2]Materiality!$I$6:$J$12,2,TRUE),IFERROR(IF(VLOOKUP("*CR",F13,1,FALSE)&gt;=0,"",VLOOKUP("*CR",F13,1,FALSE)),F13),""),"")</f>
        <v/>
      </c>
      <c r="I13" s="1938">
        <f t="shared" si="0"/>
        <v>-55476.42</v>
      </c>
    </row>
    <row r="14" spans="1:9" x14ac:dyDescent="0.25">
      <c r="A14" t="s">
        <v>3641</v>
      </c>
      <c r="B14" s="1936"/>
      <c r="C14" t="s">
        <v>2097</v>
      </c>
      <c r="D14" s="1936"/>
      <c r="E14" s="1936"/>
      <c r="F14" s="1941">
        <v>-55476.42</v>
      </c>
      <c r="G14" s="1941">
        <v>-55330</v>
      </c>
      <c r="H14" s="1937" t="str">
        <f>IFERROR(IF(F14&gt;=VLOOKUP(A14,[2]Materiality!$I$6:$J$12,2,TRUE),IFERROR(IF(VLOOKUP("*CR",F14,1,FALSE)&gt;=0,"",VLOOKUP("*CR",F14,1,FALSE)),F14),""),"")</f>
        <v/>
      </c>
      <c r="I14" s="1938">
        <f t="shared" si="0"/>
        <v>-55476.42</v>
      </c>
    </row>
    <row r="15" spans="1:9" x14ac:dyDescent="0.25">
      <c r="A15" t="s">
        <v>2098</v>
      </c>
      <c r="B15" s="1936"/>
      <c r="C15" t="s">
        <v>2099</v>
      </c>
      <c r="D15" s="1936"/>
      <c r="E15" s="1936"/>
      <c r="F15" s="1941">
        <v>-911513.93</v>
      </c>
      <c r="G15" s="1941">
        <v>-971924</v>
      </c>
      <c r="H15" s="1937" t="str">
        <f>IFERROR(IF(F15&gt;=VLOOKUP(A15,[2]Materiality!$I$6:$J$12,2,TRUE),IFERROR(IF(VLOOKUP("*CR",F15,1,FALSE)&gt;=0,"",VLOOKUP("*CR",F15,1,FALSE)),F15),""),"")</f>
        <v/>
      </c>
      <c r="I15" s="1938">
        <f t="shared" si="0"/>
        <v>-911513.93</v>
      </c>
    </row>
    <row r="16" spans="1:9" x14ac:dyDescent="0.25">
      <c r="A16" t="s">
        <v>1231</v>
      </c>
      <c r="B16" s="1936"/>
      <c r="C16" t="s">
        <v>1231</v>
      </c>
      <c r="D16" s="1936"/>
      <c r="E16" s="1936"/>
      <c r="F16" s="1941">
        <v>-911513.93</v>
      </c>
      <c r="G16" s="1941">
        <v>-971924</v>
      </c>
      <c r="H16" s="1937" t="str">
        <f>IFERROR(IF(F16&gt;=VLOOKUP(A16,[2]Materiality!$I$6:$J$12,2,TRUE),IFERROR(IF(VLOOKUP("*CR",F16,1,FALSE)&gt;=0,"",VLOOKUP("*CR",F16,1,FALSE)),F16),""),"")</f>
        <v/>
      </c>
      <c r="I16" s="1938">
        <f t="shared" si="0"/>
        <v>-911513.93</v>
      </c>
    </row>
    <row r="17" spans="1:9" x14ac:dyDescent="0.25">
      <c r="A17" t="s">
        <v>3642</v>
      </c>
      <c r="B17" s="1936"/>
      <c r="C17" t="s">
        <v>2100</v>
      </c>
      <c r="D17" s="1936"/>
      <c r="E17" s="1936"/>
      <c r="F17" s="1941">
        <v>-911513.93</v>
      </c>
      <c r="G17" s="1941">
        <v>-971924</v>
      </c>
      <c r="H17" s="1937" t="str">
        <f>IFERROR(IF(F17&gt;=VLOOKUP(A17,[2]Materiality!$I$6:$J$12,2,TRUE),IFERROR(IF(VLOOKUP("*CR",F17,1,FALSE)&gt;=0,"",VLOOKUP("*CR",F17,1,FALSE)),F17),""),"")</f>
        <v/>
      </c>
      <c r="I17" s="1938">
        <f t="shared" si="0"/>
        <v>-911513.93</v>
      </c>
    </row>
    <row r="18" spans="1:9" x14ac:dyDescent="0.25">
      <c r="A18" t="s">
        <v>2101</v>
      </c>
      <c r="B18" s="1936"/>
      <c r="C18" t="s">
        <v>2102</v>
      </c>
      <c r="D18" s="1936"/>
      <c r="E18" s="1936"/>
      <c r="F18" s="1941">
        <v>0</v>
      </c>
      <c r="G18" s="1941">
        <v>0</v>
      </c>
      <c r="H18" s="1937" t="str">
        <f>IFERROR(IF(F18&gt;=VLOOKUP(A18,[2]Materiality!$I$6:$J$12,2,TRUE),IFERROR(IF(VLOOKUP("*CR",F18,1,FALSE)&gt;=0,"",VLOOKUP("*CR",F18,1,FALSE)),F18),""),"")</f>
        <v/>
      </c>
      <c r="I18" s="1938">
        <f t="shared" si="0"/>
        <v>0</v>
      </c>
    </row>
    <row r="19" spans="1:9" x14ac:dyDescent="0.25">
      <c r="A19" t="s">
        <v>1231</v>
      </c>
      <c r="B19" s="1936"/>
      <c r="C19" t="s">
        <v>1231</v>
      </c>
      <c r="D19" s="1936"/>
      <c r="E19" s="1936"/>
      <c r="F19" s="1941">
        <v>0</v>
      </c>
      <c r="G19" s="1941">
        <v>0</v>
      </c>
      <c r="H19" s="1937" t="str">
        <f>IFERROR(IF(F19&gt;=VLOOKUP(A19,[2]Materiality!$I$6:$J$12,2,TRUE),IFERROR(IF(VLOOKUP("*CR",F19,1,FALSE)&gt;=0,"",VLOOKUP("*CR",F19,1,FALSE)),F19),""),"")</f>
        <v/>
      </c>
      <c r="I19" s="1938">
        <f t="shared" si="0"/>
        <v>0</v>
      </c>
    </row>
    <row r="20" spans="1:9" x14ac:dyDescent="0.25">
      <c r="A20" t="s">
        <v>3643</v>
      </c>
      <c r="B20" s="1936"/>
      <c r="C20" t="s">
        <v>2103</v>
      </c>
      <c r="D20" s="1936"/>
      <c r="E20" s="1936"/>
      <c r="F20" s="1941">
        <v>0</v>
      </c>
      <c r="G20" s="1941">
        <v>0</v>
      </c>
      <c r="H20" s="1937" t="str">
        <f>IFERROR(IF(F20&gt;=VLOOKUP(A20,[2]Materiality!$I$6:$J$12,2,TRUE),IFERROR(IF(VLOOKUP("*CR",F20,1,FALSE)&gt;=0,"",VLOOKUP("*CR",F20,1,FALSE)),F20),""),"")</f>
        <v/>
      </c>
      <c r="I20" s="1938">
        <f t="shared" si="0"/>
        <v>0</v>
      </c>
    </row>
    <row r="21" spans="1:9" x14ac:dyDescent="0.25">
      <c r="A21" t="s">
        <v>2104</v>
      </c>
      <c r="B21" s="1936"/>
      <c r="C21" t="s">
        <v>2105</v>
      </c>
      <c r="D21" s="1936"/>
      <c r="E21" s="1936"/>
      <c r="F21" s="1941">
        <v>-375301</v>
      </c>
      <c r="G21" s="1941">
        <v>-369000</v>
      </c>
      <c r="H21" s="1937" t="str">
        <f>IFERROR(IF(F21&gt;=VLOOKUP(A21,[2]Materiality!$I$6:$J$12,2,TRUE),IFERROR(IF(VLOOKUP("*CR",F21,1,FALSE)&gt;=0,"",VLOOKUP("*CR",F21,1,FALSE)),F21),""),"")</f>
        <v/>
      </c>
      <c r="I21" s="1938">
        <f t="shared" si="0"/>
        <v>-375301</v>
      </c>
    </row>
    <row r="22" spans="1:9" x14ac:dyDescent="0.25">
      <c r="A22" t="s">
        <v>1231</v>
      </c>
      <c r="B22" s="1936"/>
      <c r="C22" t="s">
        <v>1231</v>
      </c>
      <c r="D22" s="1936"/>
      <c r="E22" s="1936"/>
      <c r="F22" s="1941">
        <v>-375301</v>
      </c>
      <c r="G22" s="1941">
        <v>-369000</v>
      </c>
      <c r="H22" s="1937" t="str">
        <f>IFERROR(IF(F22&gt;=VLOOKUP(A22,[2]Materiality!$I$6:$J$12,2,TRUE),IFERROR(IF(VLOOKUP("*CR",F22,1,FALSE)&gt;=0,"",VLOOKUP("*CR",F22,1,FALSE)),F22),""),"")</f>
        <v/>
      </c>
      <c r="I22" s="1938">
        <f t="shared" si="0"/>
        <v>-375301</v>
      </c>
    </row>
    <row r="23" spans="1:9" x14ac:dyDescent="0.25">
      <c r="A23" t="s">
        <v>3644</v>
      </c>
      <c r="B23" s="1936"/>
      <c r="C23" t="s">
        <v>2106</v>
      </c>
      <c r="D23" s="1936"/>
      <c r="E23" s="1936"/>
      <c r="F23" s="1941">
        <v>-375301</v>
      </c>
      <c r="G23" s="1941">
        <v>-369000</v>
      </c>
      <c r="H23" s="1937" t="str">
        <f>IFERROR(IF(F23&gt;=VLOOKUP(A23,[2]Materiality!$I$6:$J$12,2,TRUE),IFERROR(IF(VLOOKUP("*CR",F23,1,FALSE)&gt;=0,"",VLOOKUP("*CR",F23,1,FALSE)),F23),""),"")</f>
        <v/>
      </c>
      <c r="I23" s="1938">
        <f t="shared" si="0"/>
        <v>-375301</v>
      </c>
    </row>
    <row r="24" spans="1:9" x14ac:dyDescent="0.25">
      <c r="A24" t="s">
        <v>2107</v>
      </c>
      <c r="B24" s="1936"/>
      <c r="C24" t="s">
        <v>2108</v>
      </c>
      <c r="D24" s="1936"/>
      <c r="E24" s="1936"/>
      <c r="F24" s="1941">
        <f>-9635.89+1</f>
        <v>-9634.89</v>
      </c>
      <c r="G24" s="1941">
        <v>-3000</v>
      </c>
      <c r="H24" s="1937" t="str">
        <f>IFERROR(IF(F24&gt;=VLOOKUP(A24,[2]Materiality!$I$6:$J$12,2,TRUE),IFERROR(IF(VLOOKUP("*CR",F24,1,FALSE)&gt;=0,"",VLOOKUP("*CR",F24,1,FALSE)),F24),""),"")</f>
        <v/>
      </c>
      <c r="I24" s="1938">
        <f t="shared" si="0"/>
        <v>-9634.89</v>
      </c>
    </row>
    <row r="25" spans="1:9" x14ac:dyDescent="0.25">
      <c r="A25" t="s">
        <v>1231</v>
      </c>
      <c r="B25" s="1936"/>
      <c r="C25" t="s">
        <v>1231</v>
      </c>
      <c r="D25" s="1936"/>
      <c r="E25" s="1936"/>
      <c r="F25" s="1941">
        <v>-9632.89</v>
      </c>
      <c r="G25" s="1941">
        <v>-3000</v>
      </c>
      <c r="H25" s="1937" t="str">
        <f>IFERROR(IF(F25&gt;=VLOOKUP(A25,[2]Materiality!$I$6:$J$12,2,TRUE),IFERROR(IF(VLOOKUP("*CR",F25,1,FALSE)&gt;=0,"",VLOOKUP("*CR",F25,1,FALSE)),F25),""),"")</f>
        <v/>
      </c>
      <c r="I25" s="1938">
        <f t="shared" si="0"/>
        <v>-9632.89</v>
      </c>
    </row>
    <row r="26" spans="1:9" x14ac:dyDescent="0.25">
      <c r="A26" t="s">
        <v>3645</v>
      </c>
      <c r="B26" s="1936"/>
      <c r="C26" t="s">
        <v>2109</v>
      </c>
      <c r="D26" s="1936"/>
      <c r="E26" s="1936"/>
      <c r="F26" s="1941">
        <v>-9632.89</v>
      </c>
      <c r="G26" s="1941">
        <v>-3000</v>
      </c>
      <c r="H26" s="1937" t="str">
        <f>IFERROR(IF(F26&gt;=VLOOKUP(A26,[2]Materiality!$I$6:$J$12,2,TRUE),IFERROR(IF(VLOOKUP("*CR",F26,1,FALSE)&gt;=0,"",VLOOKUP("*CR",F26,1,FALSE)),F26),""),"")</f>
        <v/>
      </c>
      <c r="I26" s="1938">
        <f t="shared" si="0"/>
        <v>-9632.89</v>
      </c>
    </row>
    <row r="27" spans="1:9" x14ac:dyDescent="0.25">
      <c r="A27" t="s">
        <v>2110</v>
      </c>
      <c r="B27" s="1936"/>
      <c r="C27" t="s">
        <v>2111</v>
      </c>
      <c r="D27" s="1936"/>
      <c r="E27" s="1936"/>
      <c r="F27" s="1941">
        <v>-159501.92000000001</v>
      </c>
      <c r="G27" s="1941">
        <v>-160000</v>
      </c>
      <c r="H27" s="1937" t="str">
        <f>IFERROR(IF(F27&gt;=VLOOKUP(A27,[2]Materiality!$I$6:$J$12,2,TRUE),IFERROR(IF(VLOOKUP("*CR",F27,1,FALSE)&gt;=0,"",VLOOKUP("*CR",F27,1,FALSE)),F27),""),"")</f>
        <v/>
      </c>
      <c r="I27" s="1938">
        <f t="shared" si="0"/>
        <v>-159501.92000000001</v>
      </c>
    </row>
    <row r="28" spans="1:9" x14ac:dyDescent="0.25">
      <c r="A28" t="s">
        <v>1231</v>
      </c>
      <c r="B28" s="1936"/>
      <c r="C28" t="s">
        <v>1231</v>
      </c>
      <c r="D28" s="1936"/>
      <c r="E28" s="1936"/>
      <c r="F28" s="1941">
        <v>-159501.92000000001</v>
      </c>
      <c r="G28" s="1941">
        <v>-160000</v>
      </c>
      <c r="H28" s="1937" t="str">
        <f>IFERROR(IF(F28&gt;=VLOOKUP(A28,[2]Materiality!$I$6:$J$12,2,TRUE),IFERROR(IF(VLOOKUP("*CR",F28,1,FALSE)&gt;=0,"",VLOOKUP("*CR",F28,1,FALSE)),F28),""),"")</f>
        <v/>
      </c>
      <c r="I28" s="1938">
        <f t="shared" si="0"/>
        <v>-159501.92000000001</v>
      </c>
    </row>
    <row r="29" spans="1:9" x14ac:dyDescent="0.25">
      <c r="A29" t="s">
        <v>3646</v>
      </c>
      <c r="B29" s="1936"/>
      <c r="C29" t="s">
        <v>2112</v>
      </c>
      <c r="D29" s="1936"/>
      <c r="E29" s="1936"/>
      <c r="F29" s="1941">
        <v>-159501.92000000001</v>
      </c>
      <c r="G29" s="1941">
        <v>-160000</v>
      </c>
      <c r="H29" s="1937" t="str">
        <f>IFERROR(IF(F29&gt;=VLOOKUP(A29,[2]Materiality!$I$6:$J$12,2,TRUE),IFERROR(IF(VLOOKUP("*CR",F29,1,FALSE)&gt;=0,"",VLOOKUP("*CR",F29,1,FALSE)),F29),""),"")</f>
        <v/>
      </c>
      <c r="I29" s="1938">
        <f t="shared" si="0"/>
        <v>-159501.92000000001</v>
      </c>
    </row>
    <row r="30" spans="1:9" x14ac:dyDescent="0.25">
      <c r="A30" t="s">
        <v>2113</v>
      </c>
      <c r="B30" s="1936"/>
      <c r="C30" t="s">
        <v>2114</v>
      </c>
      <c r="D30" s="1936"/>
      <c r="E30" s="1936"/>
      <c r="F30" s="1941">
        <v>-6254.85</v>
      </c>
      <c r="G30" s="1941">
        <v>-9000</v>
      </c>
      <c r="H30" s="1937" t="str">
        <f>IFERROR(IF(F30&gt;=VLOOKUP(A30,[2]Materiality!$I$6:$J$12,2,TRUE),IFERROR(IF(VLOOKUP("*CR",F30,1,FALSE)&gt;=0,"",VLOOKUP("*CR",F30,1,FALSE)),F30),""),"")</f>
        <v/>
      </c>
      <c r="I30" s="1938">
        <f t="shared" si="0"/>
        <v>-6254.85</v>
      </c>
    </row>
    <row r="31" spans="1:9" x14ac:dyDescent="0.25">
      <c r="A31" t="s">
        <v>1231</v>
      </c>
      <c r="B31" s="1936"/>
      <c r="C31" t="s">
        <v>1231</v>
      </c>
      <c r="D31" s="1936"/>
      <c r="E31" s="1936"/>
      <c r="F31" s="1941">
        <v>-6254.85</v>
      </c>
      <c r="G31" s="1941">
        <v>-9000</v>
      </c>
      <c r="H31" s="1937" t="str">
        <f>IFERROR(IF(F31&gt;=VLOOKUP(A31,[2]Materiality!$I$6:$J$12,2,TRUE),IFERROR(IF(VLOOKUP("*CR",F31,1,FALSE)&gt;=0,"",VLOOKUP("*CR",F31,1,FALSE)),F31),""),"")</f>
        <v/>
      </c>
      <c r="I31" s="1938">
        <f t="shared" si="0"/>
        <v>-6254.85</v>
      </c>
    </row>
    <row r="32" spans="1:9" x14ac:dyDescent="0.25">
      <c r="A32" t="s">
        <v>3647</v>
      </c>
      <c r="B32" s="1936"/>
      <c r="C32" t="s">
        <v>2115</v>
      </c>
      <c r="D32" s="1936"/>
      <c r="E32" s="1936"/>
      <c r="F32" s="1941">
        <v>-6254.85</v>
      </c>
      <c r="G32" s="1941">
        <v>-9000</v>
      </c>
      <c r="H32" s="1937" t="str">
        <f>IFERROR(IF(F32&gt;=VLOOKUP(A32,[2]Materiality!$I$6:$J$12,2,TRUE),IFERROR(IF(VLOOKUP("*CR",F32,1,FALSE)&gt;=0,"",VLOOKUP("*CR",F32,1,FALSE)),F32),""),"")</f>
        <v/>
      </c>
      <c r="I32" s="1938">
        <f t="shared" si="0"/>
        <v>-6254.85</v>
      </c>
    </row>
    <row r="33" spans="1:9" x14ac:dyDescent="0.25">
      <c r="A33" t="s">
        <v>2116</v>
      </c>
      <c r="B33" s="1936"/>
      <c r="C33" t="s">
        <v>2117</v>
      </c>
      <c r="D33" s="1936"/>
      <c r="E33" s="1936"/>
      <c r="F33" s="1941">
        <v>-33446.699999999997</v>
      </c>
      <c r="G33" s="1941">
        <v>-31000</v>
      </c>
      <c r="H33" s="1937" t="str">
        <f>IFERROR(IF(F33&gt;=VLOOKUP(A33,[2]Materiality!$I$6:$J$12,2,TRUE),IFERROR(IF(VLOOKUP("*CR",F33,1,FALSE)&gt;=0,"",VLOOKUP("*CR",F33,1,FALSE)),F33),""),"")</f>
        <v/>
      </c>
      <c r="I33" s="1938">
        <f t="shared" si="0"/>
        <v>-33446.699999999997</v>
      </c>
    </row>
    <row r="34" spans="1:9" x14ac:dyDescent="0.25">
      <c r="A34" t="s">
        <v>1231</v>
      </c>
      <c r="B34" s="1936"/>
      <c r="C34" t="s">
        <v>1231</v>
      </c>
      <c r="D34" s="1936"/>
      <c r="E34" s="1936"/>
      <c r="F34" s="1941">
        <v>-33446.699999999997</v>
      </c>
      <c r="G34" s="1941">
        <v>-31000</v>
      </c>
      <c r="H34" s="1937" t="str">
        <f>IFERROR(IF(F34&gt;=VLOOKUP(A34,[2]Materiality!$I$6:$J$12,2,TRUE),IFERROR(IF(VLOOKUP("*CR",F34,1,FALSE)&gt;=0,"",VLOOKUP("*CR",F34,1,FALSE)),F34),""),"")</f>
        <v/>
      </c>
      <c r="I34" s="1938">
        <f t="shared" si="0"/>
        <v>-33446.699999999997</v>
      </c>
    </row>
    <row r="35" spans="1:9" x14ac:dyDescent="0.25">
      <c r="A35" t="s">
        <v>3648</v>
      </c>
      <c r="B35" s="1936"/>
      <c r="C35" t="s">
        <v>2118</v>
      </c>
      <c r="D35" s="1936"/>
      <c r="E35" s="1936"/>
      <c r="F35" s="1941">
        <v>-33446.699999999997</v>
      </c>
      <c r="G35" s="1941">
        <v>-31000</v>
      </c>
      <c r="H35" s="1937" t="str">
        <f>IFERROR(IF(F35&gt;=VLOOKUP(A35,[2]Materiality!$I$6:$J$12,2,TRUE),IFERROR(IF(VLOOKUP("*CR",F35,1,FALSE)&gt;=0,"",VLOOKUP("*CR",F35,1,FALSE)),F35),""),"")</f>
        <v/>
      </c>
      <c r="I35" s="1938">
        <f t="shared" si="0"/>
        <v>-33446.699999999997</v>
      </c>
    </row>
    <row r="36" spans="1:9" x14ac:dyDescent="0.25">
      <c r="A36" t="s">
        <v>2119</v>
      </c>
      <c r="B36" s="1936"/>
      <c r="C36" t="s">
        <v>2120</v>
      </c>
      <c r="D36" s="1936"/>
      <c r="E36" s="1936"/>
      <c r="F36" s="1941">
        <v>0</v>
      </c>
      <c r="G36" s="1941">
        <v>-100</v>
      </c>
      <c r="H36" s="1937" t="str">
        <f>IFERROR(IF(F36&gt;=VLOOKUP(A36,[2]Materiality!$I$6:$J$12,2,TRUE),IFERROR(IF(VLOOKUP("*CR",F36,1,FALSE)&gt;=0,"",VLOOKUP("*CR",F36,1,FALSE)),F36),""),"")</f>
        <v/>
      </c>
      <c r="I36" s="1938">
        <f t="shared" si="0"/>
        <v>0</v>
      </c>
    </row>
    <row r="37" spans="1:9" x14ac:dyDescent="0.25">
      <c r="A37" t="s">
        <v>1231</v>
      </c>
      <c r="B37" s="1936"/>
      <c r="C37" t="s">
        <v>1231</v>
      </c>
      <c r="D37" s="1936"/>
      <c r="E37" s="1936"/>
      <c r="F37" s="1941">
        <v>0</v>
      </c>
      <c r="G37" s="1941">
        <v>-100</v>
      </c>
      <c r="H37" s="1937" t="str">
        <f>IFERROR(IF(F37&gt;=VLOOKUP(A37,[2]Materiality!$I$6:$J$12,2,TRUE),IFERROR(IF(VLOOKUP("*CR",F37,1,FALSE)&gt;=0,"",VLOOKUP("*CR",F37,1,FALSE)),F37),""),"")</f>
        <v/>
      </c>
      <c r="I37" s="1938">
        <f t="shared" si="0"/>
        <v>0</v>
      </c>
    </row>
    <row r="38" spans="1:9" x14ac:dyDescent="0.25">
      <c r="A38" t="s">
        <v>3649</v>
      </c>
      <c r="B38" s="1936"/>
      <c r="C38" t="s">
        <v>2121</v>
      </c>
      <c r="D38" s="1936"/>
      <c r="E38" s="1936"/>
      <c r="F38" s="1941">
        <v>0</v>
      </c>
      <c r="G38" s="1941">
        <v>-100</v>
      </c>
      <c r="H38" s="1937" t="str">
        <f>IFERROR(IF(F38&gt;=VLOOKUP(A38,[2]Materiality!$I$6:$J$12,2,TRUE),IFERROR(IF(VLOOKUP("*CR",F38,1,FALSE)&gt;=0,"",VLOOKUP("*CR",F38,1,FALSE)),F38),""),"")</f>
        <v/>
      </c>
      <c r="I38" s="1938">
        <f t="shared" si="0"/>
        <v>0</v>
      </c>
    </row>
    <row r="39" spans="1:9" x14ac:dyDescent="0.25">
      <c r="A39" t="s">
        <v>3892</v>
      </c>
      <c r="B39" s="1936"/>
      <c r="C39" t="s">
        <v>2122</v>
      </c>
      <c r="D39" s="1936"/>
      <c r="E39" s="1936"/>
      <c r="F39" s="1941">
        <v>-12446.55</v>
      </c>
      <c r="G39" s="1941">
        <v>-14000</v>
      </c>
      <c r="H39" s="1937" t="str">
        <f>IFERROR(IF(F39&gt;=VLOOKUP(A39,[2]Materiality!$I$6:$J$12,2,TRUE),IFERROR(IF(VLOOKUP("*CR",F39,1,FALSE)&gt;=0,"",VLOOKUP("*CR",F39,1,FALSE)),F39),""),"")</f>
        <v/>
      </c>
      <c r="I39" s="1938">
        <f t="shared" si="0"/>
        <v>-12446.55</v>
      </c>
    </row>
    <row r="40" spans="1:9" x14ac:dyDescent="0.25">
      <c r="A40" t="s">
        <v>3892</v>
      </c>
      <c r="B40" s="1936"/>
      <c r="C40" t="s">
        <v>2123</v>
      </c>
      <c r="D40" s="1936"/>
      <c r="E40" s="1936"/>
      <c r="F40" s="1941">
        <v>-795.7</v>
      </c>
      <c r="G40" s="1941">
        <v>-800</v>
      </c>
      <c r="H40" s="1937" t="str">
        <f>IFERROR(IF(F40&gt;=VLOOKUP(A40,[2]Materiality!$I$6:$J$12,2,TRUE),IFERROR(IF(VLOOKUP("*CR",F40,1,FALSE)&gt;=0,"",VLOOKUP("*CR",F40,1,FALSE)),F40),""),"")</f>
        <v/>
      </c>
      <c r="I40" s="1938">
        <f t="shared" si="0"/>
        <v>-795.7</v>
      </c>
    </row>
    <row r="41" spans="1:9" x14ac:dyDescent="0.25">
      <c r="A41" t="s">
        <v>1231</v>
      </c>
      <c r="B41" s="1936"/>
      <c r="C41" t="s">
        <v>1231</v>
      </c>
      <c r="D41" s="1936"/>
      <c r="E41" s="1936"/>
      <c r="F41" s="1941">
        <v>-13242.25</v>
      </c>
      <c r="G41" s="1941">
        <v>-14800</v>
      </c>
      <c r="H41" s="1937" t="str">
        <f>IFERROR(IF(F41&gt;=VLOOKUP(A41,[2]Materiality!$I$6:$J$12,2,TRUE),IFERROR(IF(VLOOKUP("*CR",F41,1,FALSE)&gt;=0,"",VLOOKUP("*CR",F41,1,FALSE)),F41),""),"")</f>
        <v/>
      </c>
      <c r="I41" s="1938">
        <f t="shared" si="0"/>
        <v>-13242.25</v>
      </c>
    </row>
    <row r="42" spans="1:9" x14ac:dyDescent="0.25">
      <c r="A42" t="s">
        <v>3650</v>
      </c>
      <c r="B42" s="1936"/>
      <c r="C42" t="s">
        <v>2124</v>
      </c>
      <c r="D42" s="1936"/>
      <c r="E42" s="1936"/>
      <c r="F42" s="1941">
        <v>-13242.25</v>
      </c>
      <c r="G42" s="1941">
        <v>-14800</v>
      </c>
      <c r="H42" s="1937" t="str">
        <f>IFERROR(IF(F42&gt;=VLOOKUP(A42,[2]Materiality!$I$6:$J$12,2,TRUE),IFERROR(IF(VLOOKUP("*CR",F42,1,FALSE)&gt;=0,"",VLOOKUP("*CR",F42,1,FALSE)),F42),""),"")</f>
        <v/>
      </c>
      <c r="I42" s="1938">
        <f t="shared" si="0"/>
        <v>-13242.25</v>
      </c>
    </row>
    <row r="43" spans="1:9" x14ac:dyDescent="0.25">
      <c r="A43" t="s">
        <v>2125</v>
      </c>
      <c r="B43" s="1936"/>
      <c r="C43" t="s">
        <v>2126</v>
      </c>
      <c r="D43" s="1936"/>
      <c r="E43" s="1936"/>
      <c r="F43" s="1941">
        <v>-1476.35</v>
      </c>
      <c r="G43" s="1941">
        <v>-1900</v>
      </c>
      <c r="H43" s="1937" t="str">
        <f>IFERROR(IF(F43&gt;=VLOOKUP(A43,[2]Materiality!$I$6:$J$12,2,TRUE),IFERROR(IF(VLOOKUP("*CR",F43,1,FALSE)&gt;=0,"",VLOOKUP("*CR",F43,1,FALSE)),F43),""),"")</f>
        <v/>
      </c>
      <c r="I43" s="1938">
        <f t="shared" si="0"/>
        <v>-1476.35</v>
      </c>
    </row>
    <row r="44" spans="1:9" x14ac:dyDescent="0.25">
      <c r="A44" t="s">
        <v>1231</v>
      </c>
      <c r="B44" s="1936"/>
      <c r="C44" t="s">
        <v>1231</v>
      </c>
      <c r="D44" s="1936"/>
      <c r="E44" s="1936"/>
      <c r="F44" s="1941">
        <v>-1476.35</v>
      </c>
      <c r="G44" s="1941">
        <v>-1900</v>
      </c>
      <c r="H44" s="1937" t="str">
        <f>IFERROR(IF(F44&gt;=VLOOKUP(A44,[2]Materiality!$I$6:$J$12,2,TRUE),IFERROR(IF(VLOOKUP("*CR",F44,1,FALSE)&gt;=0,"",VLOOKUP("*CR",F44,1,FALSE)),F44),""),"")</f>
        <v/>
      </c>
      <c r="I44" s="1938">
        <f t="shared" si="0"/>
        <v>-1476.35</v>
      </c>
    </row>
    <row r="45" spans="1:9" x14ac:dyDescent="0.25">
      <c r="A45" t="s">
        <v>3651</v>
      </c>
      <c r="B45" s="1936"/>
      <c r="C45" t="s">
        <v>2127</v>
      </c>
      <c r="D45" s="1936"/>
      <c r="E45" s="1936"/>
      <c r="F45" s="1941">
        <v>-1476.35</v>
      </c>
      <c r="G45" s="1941">
        <v>-1900</v>
      </c>
      <c r="H45" s="1937" t="str">
        <f>IFERROR(IF(F45&gt;=VLOOKUP(A45,[2]Materiality!$I$6:$J$12,2,TRUE),IFERROR(IF(VLOOKUP("*CR",F45,1,FALSE)&gt;=0,"",VLOOKUP("*CR",F45,1,FALSE)),F45),""),"")</f>
        <v/>
      </c>
      <c r="I45" s="1938">
        <f t="shared" si="0"/>
        <v>-1476.35</v>
      </c>
    </row>
    <row r="46" spans="1:9" x14ac:dyDescent="0.25">
      <c r="A46" t="s">
        <v>2128</v>
      </c>
      <c r="B46" s="1936"/>
      <c r="C46" t="s">
        <v>2129</v>
      </c>
      <c r="D46" s="1936"/>
      <c r="E46" s="1936"/>
      <c r="F46" s="1941">
        <v>-25695.75</v>
      </c>
      <c r="G46" s="1941">
        <v>-23000</v>
      </c>
      <c r="H46" s="1937" t="str">
        <f>IFERROR(IF(F46&gt;=VLOOKUP(A46,[2]Materiality!$I$6:$J$12,2,TRUE),IFERROR(IF(VLOOKUP("*CR",F46,1,FALSE)&gt;=0,"",VLOOKUP("*CR",F46,1,FALSE)),F46),""),"")</f>
        <v/>
      </c>
      <c r="I46" s="1938">
        <f t="shared" si="0"/>
        <v>-25695.75</v>
      </c>
    </row>
    <row r="47" spans="1:9" x14ac:dyDescent="0.25">
      <c r="A47" t="s">
        <v>1231</v>
      </c>
      <c r="B47" s="1936"/>
      <c r="C47" t="s">
        <v>1231</v>
      </c>
      <c r="D47" s="1936"/>
      <c r="E47" s="1936"/>
      <c r="F47" s="1941">
        <v>-25695.75</v>
      </c>
      <c r="G47" s="1941">
        <v>-23000</v>
      </c>
      <c r="H47" s="1937" t="str">
        <f>IFERROR(IF(F47&gt;=VLOOKUP(A47,[2]Materiality!$I$6:$J$12,2,TRUE),IFERROR(IF(VLOOKUP("*CR",F47,1,FALSE)&gt;=0,"",VLOOKUP("*CR",F47,1,FALSE)),F47),""),"")</f>
        <v/>
      </c>
      <c r="I47" s="1938">
        <f t="shared" si="0"/>
        <v>-25695.75</v>
      </c>
    </row>
    <row r="48" spans="1:9" x14ac:dyDescent="0.25">
      <c r="A48" t="s">
        <v>3652</v>
      </c>
      <c r="B48" s="1936"/>
      <c r="C48" t="s">
        <v>2130</v>
      </c>
      <c r="D48" s="1936"/>
      <c r="E48" s="1936"/>
      <c r="F48" s="1941">
        <v>-25695.75</v>
      </c>
      <c r="G48" s="1941">
        <v>-23000</v>
      </c>
      <c r="H48" s="1937" t="str">
        <f>IFERROR(IF(F48&gt;=VLOOKUP(A48,[2]Materiality!$I$6:$J$12,2,TRUE),IFERROR(IF(VLOOKUP("*CR",F48,1,FALSE)&gt;=0,"",VLOOKUP("*CR",F48,1,FALSE)),F48),""),"")</f>
        <v/>
      </c>
      <c r="I48" s="1938">
        <f t="shared" si="0"/>
        <v>-25695.75</v>
      </c>
    </row>
    <row r="49" spans="1:9" x14ac:dyDescent="0.25">
      <c r="A49" t="s">
        <v>2131</v>
      </c>
      <c r="B49" s="1936"/>
      <c r="C49" t="s">
        <v>2132</v>
      </c>
      <c r="D49" s="1936"/>
      <c r="E49" s="1936"/>
      <c r="F49" s="1941">
        <v>-7375.1</v>
      </c>
      <c r="G49" s="1941">
        <v>-8200</v>
      </c>
      <c r="H49" s="1937" t="str">
        <f>IFERROR(IF(F49&gt;=VLOOKUP(A49,[2]Materiality!$I$6:$J$12,2,TRUE),IFERROR(IF(VLOOKUP("*CR",F49,1,FALSE)&gt;=0,"",VLOOKUP("*CR",F49,1,FALSE)),F49),""),"")</f>
        <v/>
      </c>
      <c r="I49" s="1938">
        <f t="shared" si="0"/>
        <v>-7375.1</v>
      </c>
    </row>
    <row r="50" spans="1:9" x14ac:dyDescent="0.25">
      <c r="A50" t="s">
        <v>2133</v>
      </c>
      <c r="B50" s="1936"/>
      <c r="C50" t="s">
        <v>2134</v>
      </c>
      <c r="D50" s="1936"/>
      <c r="E50" s="1936"/>
      <c r="F50" s="1941">
        <v>-1295</v>
      </c>
      <c r="G50" s="1941">
        <v>-1500</v>
      </c>
      <c r="H50" s="1937" t="str">
        <f>IFERROR(IF(F50&gt;=VLOOKUP(A50,[2]Materiality!$I$6:$J$12,2,TRUE),IFERROR(IF(VLOOKUP("*CR",F50,1,FALSE)&gt;=0,"",VLOOKUP("*CR",F50,1,FALSE)),F50),""),"")</f>
        <v/>
      </c>
      <c r="I50" s="1938">
        <f t="shared" si="0"/>
        <v>-1295</v>
      </c>
    </row>
    <row r="51" spans="1:9" x14ac:dyDescent="0.25">
      <c r="A51" t="s">
        <v>2135</v>
      </c>
      <c r="B51" s="1936"/>
      <c r="C51" t="s">
        <v>2136</v>
      </c>
      <c r="D51" s="1936"/>
      <c r="E51" s="1936"/>
      <c r="F51" s="1941">
        <v>-7686</v>
      </c>
      <c r="G51" s="1941">
        <v>-9000</v>
      </c>
      <c r="H51" s="1937" t="str">
        <f>IFERROR(IF(F51&gt;=VLOOKUP(A51,[2]Materiality!$I$6:$J$12,2,TRUE),IFERROR(IF(VLOOKUP("*CR",F51,1,FALSE)&gt;=0,"",VLOOKUP("*CR",F51,1,FALSE)),F51),""),"")</f>
        <v/>
      </c>
      <c r="I51" s="1938">
        <f t="shared" si="0"/>
        <v>-7686</v>
      </c>
    </row>
    <row r="52" spans="1:9" x14ac:dyDescent="0.25">
      <c r="A52" t="s">
        <v>2137</v>
      </c>
      <c r="B52" s="1936"/>
      <c r="C52" t="s">
        <v>2138</v>
      </c>
      <c r="D52" s="1936"/>
      <c r="E52" s="1936"/>
      <c r="F52" s="1941">
        <v>-3647</v>
      </c>
      <c r="G52" s="1941">
        <v>-4500</v>
      </c>
      <c r="H52" s="1937" t="str">
        <f>IFERROR(IF(F52&gt;=VLOOKUP(A52,[2]Materiality!$I$6:$J$12,2,TRUE),IFERROR(IF(VLOOKUP("*CR",F52,1,FALSE)&gt;=0,"",VLOOKUP("*CR",F52,1,FALSE)),F52),""),"")</f>
        <v/>
      </c>
      <c r="I52" s="1938">
        <f t="shared" si="0"/>
        <v>-3647</v>
      </c>
    </row>
    <row r="53" spans="1:9" x14ac:dyDescent="0.25">
      <c r="A53" t="s">
        <v>2139</v>
      </c>
      <c r="B53" s="1936"/>
      <c r="C53" t="s">
        <v>2140</v>
      </c>
      <c r="D53" s="1936"/>
      <c r="E53" s="1936"/>
      <c r="F53" s="1941">
        <v>-78039.009999999995</v>
      </c>
      <c r="G53" s="1941">
        <v>-80000</v>
      </c>
      <c r="H53" s="1937" t="str">
        <f>IFERROR(IF(F53&gt;=VLOOKUP(A53,[2]Materiality!$I$6:$J$12,2,TRUE),IFERROR(IF(VLOOKUP("*CR",F53,1,FALSE)&gt;=0,"",VLOOKUP("*CR",F53,1,FALSE)),F53),""),"")</f>
        <v/>
      </c>
      <c r="I53" s="1938">
        <f t="shared" si="0"/>
        <v>-78039.009999999995</v>
      </c>
    </row>
    <row r="54" spans="1:9" x14ac:dyDescent="0.25">
      <c r="A54" t="s">
        <v>2141</v>
      </c>
      <c r="B54" s="1936"/>
      <c r="C54" t="s">
        <v>2142</v>
      </c>
      <c r="D54" s="1936"/>
      <c r="E54" s="1936"/>
      <c r="F54" s="1941">
        <v>-138.72999999999999</v>
      </c>
      <c r="G54" s="1941">
        <v>-500</v>
      </c>
      <c r="H54" s="1937" t="str">
        <f>IFERROR(IF(F54&gt;=VLOOKUP(A54,[2]Materiality!$I$6:$J$12,2,TRUE),IFERROR(IF(VLOOKUP("*CR",F54,1,FALSE)&gt;=0,"",VLOOKUP("*CR",F54,1,FALSE)),F54),""),"")</f>
        <v/>
      </c>
      <c r="I54" s="1938">
        <f t="shared" si="0"/>
        <v>-138.72999999999999</v>
      </c>
    </row>
    <row r="55" spans="1:9" x14ac:dyDescent="0.25">
      <c r="A55" t="s">
        <v>2143</v>
      </c>
      <c r="B55" s="1936"/>
      <c r="C55" t="s">
        <v>2144</v>
      </c>
      <c r="D55" s="1936"/>
      <c r="E55" s="1936"/>
      <c r="F55" s="1941">
        <v>-5705</v>
      </c>
      <c r="G55" s="1941">
        <v>-6200</v>
      </c>
      <c r="H55" s="1937" t="str">
        <f>IFERROR(IF(F55&gt;=VLOOKUP(A55,[2]Materiality!$I$6:$J$12,2,TRUE),IFERROR(IF(VLOOKUP("*CR",F55,1,FALSE)&gt;=0,"",VLOOKUP("*CR",F55,1,FALSE)),F55),""),"")</f>
        <v/>
      </c>
      <c r="I55" s="1938">
        <f t="shared" si="0"/>
        <v>-5705</v>
      </c>
    </row>
    <row r="56" spans="1:9" x14ac:dyDescent="0.25">
      <c r="A56" t="s">
        <v>1231</v>
      </c>
      <c r="B56" s="1936"/>
      <c r="C56" t="s">
        <v>1231</v>
      </c>
      <c r="D56" s="1936"/>
      <c r="E56" s="1936"/>
      <c r="F56" s="1941">
        <v>-103885.84</v>
      </c>
      <c r="G56" s="1941">
        <v>-109900</v>
      </c>
      <c r="H56" s="1937" t="str">
        <f>IFERROR(IF(F56&gt;=VLOOKUP(A56,[2]Materiality!$I$6:$J$12,2,TRUE),IFERROR(IF(VLOOKUP("*CR",F56,1,FALSE)&gt;=0,"",VLOOKUP("*CR",F56,1,FALSE)),F56),""),"")</f>
        <v/>
      </c>
      <c r="I56" s="1938">
        <f t="shared" si="0"/>
        <v>-103885.84</v>
      </c>
    </row>
    <row r="57" spans="1:9" x14ac:dyDescent="0.25">
      <c r="A57" t="s">
        <v>3653</v>
      </c>
      <c r="B57" s="1936"/>
      <c r="C57" t="s">
        <v>571</v>
      </c>
      <c r="D57" s="1936"/>
      <c r="E57" s="1936"/>
      <c r="F57" s="1941">
        <v>-103885.84</v>
      </c>
      <c r="G57" s="1941">
        <v>-109900</v>
      </c>
      <c r="H57" s="1937" t="str">
        <f>IFERROR(IF(F57&gt;=VLOOKUP(A57,[2]Materiality!$I$6:$J$12,2,TRUE),IFERROR(IF(VLOOKUP("*CR",F57,1,FALSE)&gt;=0,"",VLOOKUP("*CR",F57,1,FALSE)),F57),""),"")</f>
        <v/>
      </c>
      <c r="I57" s="1938">
        <f t="shared" si="0"/>
        <v>-103885.84</v>
      </c>
    </row>
    <row r="58" spans="1:9" x14ac:dyDescent="0.25">
      <c r="A58" t="s">
        <v>3654</v>
      </c>
      <c r="B58" s="1936"/>
      <c r="C58" t="s">
        <v>2145</v>
      </c>
      <c r="D58" s="1936"/>
      <c r="E58" s="1936"/>
      <c r="F58" s="1941">
        <v>-290913.59000000003</v>
      </c>
      <c r="G58" s="1941">
        <v>-5000</v>
      </c>
      <c r="H58" s="1937" t="str">
        <f>IFERROR(IF(F58&gt;=VLOOKUP(A58,[2]Materiality!$I$6:$J$12,2,TRUE),IFERROR(IF(VLOOKUP("*CR",F58,1,FALSE)&gt;=0,"",VLOOKUP("*CR",F58,1,FALSE)),F58),""),"")</f>
        <v/>
      </c>
      <c r="I58" s="1938">
        <f t="shared" si="0"/>
        <v>-290913.59000000003</v>
      </c>
    </row>
    <row r="59" spans="1:9" x14ac:dyDescent="0.25">
      <c r="A59" t="s">
        <v>1231</v>
      </c>
      <c r="B59" s="1936"/>
      <c r="C59" t="s">
        <v>1231</v>
      </c>
      <c r="D59" s="1936"/>
      <c r="E59" s="1936"/>
      <c r="F59" s="1941">
        <v>-290913.59000000003</v>
      </c>
      <c r="G59" s="1941">
        <v>-5000</v>
      </c>
      <c r="H59" s="1937" t="str">
        <f>IFERROR(IF(F59&gt;=VLOOKUP(A59,[2]Materiality!$I$6:$J$12,2,TRUE),IFERROR(IF(VLOOKUP("*CR",F59,1,FALSE)&gt;=0,"",VLOOKUP("*CR",F59,1,FALSE)),F59),""),"")</f>
        <v/>
      </c>
      <c r="I59" s="1938">
        <f t="shared" si="0"/>
        <v>-290913.59000000003</v>
      </c>
    </row>
    <row r="60" spans="1:9" x14ac:dyDescent="0.25">
      <c r="A60" t="s">
        <v>759</v>
      </c>
      <c r="B60" s="1936"/>
      <c r="C60" t="s">
        <v>2146</v>
      </c>
      <c r="D60" s="1936"/>
      <c r="E60" s="1936"/>
      <c r="F60" s="1941">
        <v>-290913.59000000003</v>
      </c>
      <c r="G60" s="1941">
        <v>-5000</v>
      </c>
      <c r="H60" s="1937" t="str">
        <f>IFERROR(IF(F60&gt;=VLOOKUP(A60,[2]Materiality!$I$6:$J$12,2,TRUE),IFERROR(IF(VLOOKUP("*CR",F60,1,FALSE)&gt;=0,"",VLOOKUP("*CR",F60,1,FALSE)),F60),""),"")</f>
        <v/>
      </c>
      <c r="I60" s="1938">
        <f t="shared" si="0"/>
        <v>-290913.59000000003</v>
      </c>
    </row>
    <row r="61" spans="1:9" x14ac:dyDescent="0.25">
      <c r="A61" t="s">
        <v>3655</v>
      </c>
      <c r="B61" s="1936"/>
      <c r="C61" t="s">
        <v>2147</v>
      </c>
      <c r="D61" s="1936"/>
      <c r="E61" s="1936"/>
      <c r="F61" s="1941">
        <v>-10548.76</v>
      </c>
      <c r="G61" s="1941">
        <v>-5000</v>
      </c>
      <c r="H61" s="1937" t="str">
        <f>IFERROR(IF(F61&gt;=VLOOKUP(A61,[2]Materiality!$I$6:$J$12,2,TRUE),IFERROR(IF(VLOOKUP("*CR",F61,1,FALSE)&gt;=0,"",VLOOKUP("*CR",F61,1,FALSE)),F61),""),"")</f>
        <v/>
      </c>
      <c r="I61" s="1938">
        <f t="shared" si="0"/>
        <v>-10548.76</v>
      </c>
    </row>
    <row r="62" spans="1:9" x14ac:dyDescent="0.25">
      <c r="A62" t="s">
        <v>1231</v>
      </c>
      <c r="B62" s="1936"/>
      <c r="C62" t="s">
        <v>1231</v>
      </c>
      <c r="D62" s="1936"/>
      <c r="E62" s="1936"/>
      <c r="F62" s="1941">
        <v>-10548.76</v>
      </c>
      <c r="G62" s="1941">
        <v>-5000</v>
      </c>
      <c r="H62" s="1937" t="str">
        <f>IFERROR(IF(F62&gt;=VLOOKUP(A62,[2]Materiality!$I$6:$J$12,2,TRUE),IFERROR(IF(VLOOKUP("*CR",F62,1,FALSE)&gt;=0,"",VLOOKUP("*CR",F62,1,FALSE)),F62),""),"")</f>
        <v/>
      </c>
      <c r="I62" s="1938">
        <f t="shared" si="0"/>
        <v>-10548.76</v>
      </c>
    </row>
    <row r="63" spans="1:9" x14ac:dyDescent="0.25">
      <c r="A63" t="s">
        <v>3656</v>
      </c>
      <c r="B63" s="1936"/>
      <c r="C63" t="s">
        <v>2148</v>
      </c>
      <c r="D63" s="1936"/>
      <c r="E63" s="1936"/>
      <c r="F63" s="1941">
        <v>-10548.76</v>
      </c>
      <c r="G63" s="1941">
        <v>-5000</v>
      </c>
      <c r="H63" s="1937" t="str">
        <f>IFERROR(IF(F63&gt;=VLOOKUP(A63,[2]Materiality!$I$6:$J$12,2,TRUE),IFERROR(IF(VLOOKUP("*CR",F63,1,FALSE)&gt;=0,"",VLOOKUP("*CR",F63,1,FALSE)),F63),""),"")</f>
        <v/>
      </c>
      <c r="I63" s="1938">
        <f t="shared" si="0"/>
        <v>-10548.76</v>
      </c>
    </row>
    <row r="64" spans="1:9" x14ac:dyDescent="0.25">
      <c r="A64" t="s">
        <v>3657</v>
      </c>
      <c r="B64" s="1936"/>
      <c r="C64" t="s">
        <v>2149</v>
      </c>
      <c r="D64" s="1936"/>
      <c r="E64" s="1936"/>
      <c r="F64" s="1941">
        <v>0</v>
      </c>
      <c r="G64" s="1941">
        <v>-25</v>
      </c>
      <c r="H64" s="1937" t="str">
        <f>IFERROR(IF(F64&gt;=VLOOKUP(A64,[2]Materiality!$I$6:$J$12,2,TRUE),IFERROR(IF(VLOOKUP("*CR",F64,1,FALSE)&gt;=0,"",VLOOKUP("*CR",F64,1,FALSE)),F64),""),"")</f>
        <v/>
      </c>
      <c r="I64" s="1938">
        <f t="shared" si="0"/>
        <v>0</v>
      </c>
    </row>
    <row r="65" spans="1:9" x14ac:dyDescent="0.25">
      <c r="A65" t="s">
        <v>1231</v>
      </c>
      <c r="B65" s="1936"/>
      <c r="C65" t="s">
        <v>1231</v>
      </c>
      <c r="D65" s="1936"/>
      <c r="E65" s="1936"/>
      <c r="F65" s="1941">
        <v>0</v>
      </c>
      <c r="G65" s="1941">
        <v>-25</v>
      </c>
      <c r="H65" s="1937" t="str">
        <f>IFERROR(IF(F65&gt;=VLOOKUP(A65,[2]Materiality!$I$6:$J$12,2,TRUE),IFERROR(IF(VLOOKUP("*CR",F65,1,FALSE)&gt;=0,"",VLOOKUP("*CR",F65,1,FALSE)),F65),""),"")</f>
        <v/>
      </c>
      <c r="I65" s="1938">
        <f t="shared" si="0"/>
        <v>0</v>
      </c>
    </row>
    <row r="66" spans="1:9" x14ac:dyDescent="0.25">
      <c r="A66" t="s">
        <v>3658</v>
      </c>
      <c r="B66" s="1936"/>
      <c r="C66" t="s">
        <v>2150</v>
      </c>
      <c r="D66" s="1936"/>
      <c r="E66" s="1936"/>
      <c r="F66" s="1941">
        <v>0</v>
      </c>
      <c r="G66" s="1941">
        <v>-25</v>
      </c>
      <c r="H66" s="1937" t="str">
        <f>IFERROR(IF(F66&gt;=VLOOKUP(A66,[2]Materiality!$I$6:$J$12,2,TRUE),IFERROR(IF(VLOOKUP("*CR",F66,1,FALSE)&gt;=0,"",VLOOKUP("*CR",F66,1,FALSE)),F66),""),"")</f>
        <v/>
      </c>
      <c r="I66" s="1938">
        <f t="shared" si="0"/>
        <v>0</v>
      </c>
    </row>
    <row r="67" spans="1:9" x14ac:dyDescent="0.25">
      <c r="A67" t="s">
        <v>3659</v>
      </c>
      <c r="B67" s="1936"/>
      <c r="C67" t="s">
        <v>2151</v>
      </c>
      <c r="D67" s="1936"/>
      <c r="E67" s="1936"/>
      <c r="F67" s="1941">
        <v>-217730.57</v>
      </c>
      <c r="G67" s="1941">
        <v>-217730</v>
      </c>
      <c r="H67" s="1937" t="str">
        <f>IFERROR(IF(F67&gt;=VLOOKUP(A67,[2]Materiality!$I$6:$J$12,2,TRUE),IFERROR(IF(VLOOKUP("*CR",F67,1,FALSE)&gt;=0,"",VLOOKUP("*CR",F67,1,FALSE)),F67),""),"")</f>
        <v/>
      </c>
      <c r="I67" s="1938">
        <f t="shared" si="0"/>
        <v>-217730.57</v>
      </c>
    </row>
    <row r="68" spans="1:9" x14ac:dyDescent="0.25">
      <c r="A68" t="s">
        <v>3660</v>
      </c>
      <c r="B68" s="1936"/>
      <c r="C68" t="s">
        <v>2152</v>
      </c>
      <c r="D68" s="1936"/>
      <c r="E68" s="1936"/>
      <c r="F68" s="1941">
        <v>-608.62</v>
      </c>
      <c r="G68" s="1941">
        <v>-1000</v>
      </c>
      <c r="H68" s="1937" t="str">
        <f>IFERROR(IF(F68&gt;=VLOOKUP(A68,[2]Materiality!$I$6:$J$12,2,TRUE),IFERROR(IF(VLOOKUP("*CR",F68,1,FALSE)&gt;=0,"",VLOOKUP("*CR",F68,1,FALSE)),F68),""),"")</f>
        <v/>
      </c>
      <c r="I68" s="1938">
        <f t="shared" ref="I68:I131" si="1">IF(F68&lt;0,F68,0)</f>
        <v>-608.62</v>
      </c>
    </row>
    <row r="69" spans="1:9" x14ac:dyDescent="0.25">
      <c r="A69" t="s">
        <v>1231</v>
      </c>
      <c r="B69" s="1936"/>
      <c r="C69" t="s">
        <v>1231</v>
      </c>
      <c r="D69" s="1936"/>
      <c r="E69" s="1936"/>
      <c r="F69" s="1941">
        <v>-218339.19</v>
      </c>
      <c r="G69" s="1941">
        <v>-218730</v>
      </c>
      <c r="H69" s="1937" t="str">
        <f>IFERROR(IF(F69&gt;=VLOOKUP(A69,[2]Materiality!$I$6:$J$12,2,TRUE),IFERROR(IF(VLOOKUP("*CR",F69,1,FALSE)&gt;=0,"",VLOOKUP("*CR",F69,1,FALSE)),F69),""),"")</f>
        <v/>
      </c>
      <c r="I69" s="1938">
        <f t="shared" si="1"/>
        <v>-218339.19</v>
      </c>
    </row>
    <row r="70" spans="1:9" x14ac:dyDescent="0.25">
      <c r="A70" t="s">
        <v>3661</v>
      </c>
      <c r="B70" s="1936"/>
      <c r="C70" t="s">
        <v>2153</v>
      </c>
      <c r="D70" s="1936"/>
      <c r="E70" s="1936"/>
      <c r="F70" s="1941">
        <v>-218339.19</v>
      </c>
      <c r="G70" s="1941">
        <v>-218730</v>
      </c>
      <c r="H70" s="1937" t="str">
        <f>IFERROR(IF(F70&gt;=VLOOKUP(A70,[2]Materiality!$I$6:$J$12,2,TRUE),IFERROR(IF(VLOOKUP("*CR",F70,1,FALSE)&gt;=0,"",VLOOKUP("*CR",F70,1,FALSE)),F70),""),"")</f>
        <v/>
      </c>
      <c r="I70" s="1938">
        <f t="shared" si="1"/>
        <v>-218339.19</v>
      </c>
    </row>
    <row r="71" spans="1:9" x14ac:dyDescent="0.25">
      <c r="A71" t="s">
        <v>591</v>
      </c>
      <c r="B71" s="1936"/>
      <c r="C71" t="s">
        <v>2154</v>
      </c>
      <c r="D71" s="1936"/>
      <c r="E71" s="1936"/>
      <c r="F71" s="1941">
        <v>-8517185.9900000002</v>
      </c>
      <c r="G71" s="1941">
        <v>-8313050</v>
      </c>
      <c r="H71" s="1937" t="str">
        <f>IFERROR(IF(F71&gt;=VLOOKUP(A71,[2]Materiality!$I$6:$J$12,2,TRUE),IFERROR(IF(VLOOKUP("*CR",F71,1,FALSE)&gt;=0,"",VLOOKUP("*CR",F71,1,FALSE)),F71),""),"")</f>
        <v/>
      </c>
      <c r="I71" s="1938">
        <f t="shared" si="1"/>
        <v>-8517185.9900000002</v>
      </c>
    </row>
    <row r="72" spans="1:9" x14ac:dyDescent="0.25">
      <c r="A72" t="s">
        <v>3662</v>
      </c>
      <c r="B72" s="1936"/>
      <c r="C72" t="s">
        <v>2155</v>
      </c>
      <c r="D72" s="1936"/>
      <c r="E72" s="1936"/>
      <c r="F72" s="1941">
        <v>-6213325.8300000001</v>
      </c>
      <c r="G72" s="1941">
        <v>-6213325</v>
      </c>
      <c r="H72" s="1937" t="str">
        <f>IFERROR(IF(F72&gt;=VLOOKUP(A72,[2]Materiality!$I$6:$J$12,2,TRUE),IFERROR(IF(VLOOKUP("*CR",F72,1,FALSE)&gt;=0,"",VLOOKUP("*CR",F72,1,FALSE)),F72),""),"")</f>
        <v/>
      </c>
      <c r="I72" s="1938">
        <f t="shared" si="1"/>
        <v>-6213325.8300000001</v>
      </c>
    </row>
    <row r="73" spans="1:9" x14ac:dyDescent="0.25">
      <c r="A73" t="s">
        <v>1231</v>
      </c>
      <c r="B73" s="1936"/>
      <c r="C73" t="s">
        <v>1231</v>
      </c>
      <c r="D73" s="1936"/>
      <c r="E73" s="1936"/>
      <c r="F73" s="1941">
        <v>-6213325.8300000001</v>
      </c>
      <c r="G73" s="1941">
        <v>-6213325</v>
      </c>
      <c r="H73" s="1937" t="str">
        <f>IFERROR(IF(F73&gt;=VLOOKUP(A73,[2]Materiality!$I$6:$J$12,2,TRUE),IFERROR(IF(VLOOKUP("*CR",F73,1,FALSE)&gt;=0,"",VLOOKUP("*CR",F73,1,FALSE)),F73),""),"")</f>
        <v/>
      </c>
      <c r="I73" s="1938">
        <f t="shared" si="1"/>
        <v>-6213325.8300000001</v>
      </c>
    </row>
    <row r="74" spans="1:9" x14ac:dyDescent="0.25">
      <c r="A74" t="s">
        <v>3663</v>
      </c>
      <c r="B74" s="1936"/>
      <c r="C74" t="s">
        <v>2156</v>
      </c>
      <c r="D74" s="1936"/>
      <c r="E74" s="1936"/>
      <c r="F74" s="1941">
        <v>-6213325.8300000001</v>
      </c>
      <c r="G74" s="1941">
        <v>-6213325</v>
      </c>
      <c r="H74" s="1937" t="str">
        <f>IFERROR(IF(F74&gt;=VLOOKUP(A74,[2]Materiality!$I$6:$J$12,2,TRUE),IFERROR(IF(VLOOKUP("*CR",F74,1,FALSE)&gt;=0,"",VLOOKUP("*CR",F74,1,FALSE)),F74),""),"")</f>
        <v/>
      </c>
      <c r="I74" s="1938">
        <f t="shared" si="1"/>
        <v>-6213325.8300000001</v>
      </c>
    </row>
    <row r="75" spans="1:9" x14ac:dyDescent="0.25">
      <c r="A75" t="s">
        <v>3664</v>
      </c>
      <c r="B75" s="1936"/>
      <c r="C75" t="s">
        <v>2157</v>
      </c>
      <c r="D75" s="1936"/>
      <c r="E75" s="1936"/>
      <c r="F75" s="1941">
        <v>-204915.58</v>
      </c>
      <c r="G75" s="1941">
        <v>-204915</v>
      </c>
      <c r="H75" s="1937" t="str">
        <f>IFERROR(IF(F75&gt;=VLOOKUP(A75,[2]Materiality!$I$6:$J$12,2,TRUE),IFERROR(IF(VLOOKUP("*CR",F75,1,FALSE)&gt;=0,"",VLOOKUP("*CR",F75,1,FALSE)),F75),""),"")</f>
        <v/>
      </c>
      <c r="I75" s="1938">
        <f t="shared" si="1"/>
        <v>-204915.58</v>
      </c>
    </row>
    <row r="76" spans="1:9" x14ac:dyDescent="0.25">
      <c r="A76" t="s">
        <v>1231</v>
      </c>
      <c r="B76" s="1936"/>
      <c r="C76" t="s">
        <v>1231</v>
      </c>
      <c r="D76" s="1936"/>
      <c r="E76" s="1936"/>
      <c r="F76" s="1941">
        <v>-204915.58</v>
      </c>
      <c r="G76" s="1941">
        <v>-204915</v>
      </c>
      <c r="H76" s="1937" t="str">
        <f>IFERROR(IF(F76&gt;=VLOOKUP(A76,[2]Materiality!$I$6:$J$12,2,TRUE),IFERROR(IF(VLOOKUP("*CR",F76,1,FALSE)&gt;=0,"",VLOOKUP("*CR",F76,1,FALSE)),F76),""),"")</f>
        <v/>
      </c>
      <c r="I76" s="1938">
        <f t="shared" si="1"/>
        <v>-204915.58</v>
      </c>
    </row>
    <row r="77" spans="1:9" x14ac:dyDescent="0.25">
      <c r="A77" t="s">
        <v>1427</v>
      </c>
      <c r="B77" s="1936"/>
      <c r="C77" t="s">
        <v>2158</v>
      </c>
      <c r="D77" s="1936"/>
      <c r="E77" s="1936"/>
      <c r="F77" s="1941">
        <v>-204915.58</v>
      </c>
      <c r="G77" s="1941">
        <v>-204915</v>
      </c>
      <c r="H77" s="1937" t="str">
        <f>IFERROR(IF(F77&gt;=VLOOKUP(A77,[2]Materiality!$I$6:$J$12,2,TRUE),IFERROR(IF(VLOOKUP("*CR",F77,1,FALSE)&gt;=0,"",VLOOKUP("*CR",F77,1,FALSE)),F77),""),"")</f>
        <v/>
      </c>
      <c r="I77" s="1938">
        <f t="shared" si="1"/>
        <v>-204915.58</v>
      </c>
    </row>
    <row r="78" spans="1:9" x14ac:dyDescent="0.25">
      <c r="A78" t="s">
        <v>3665</v>
      </c>
      <c r="B78" s="1936"/>
      <c r="C78" t="s">
        <v>2159</v>
      </c>
      <c r="D78" s="1936"/>
      <c r="E78" s="1936"/>
      <c r="F78" s="1941">
        <v>-136256.42000000001</v>
      </c>
      <c r="G78" s="1941">
        <v>-136256</v>
      </c>
      <c r="H78" s="1937" t="str">
        <f>IFERROR(IF(F78&gt;=VLOOKUP(A78,[2]Materiality!$I$6:$J$12,2,TRUE),IFERROR(IF(VLOOKUP("*CR",F78,1,FALSE)&gt;=0,"",VLOOKUP("*CR",F78,1,FALSE)),F78),""),"")</f>
        <v/>
      </c>
      <c r="I78" s="1938">
        <f t="shared" si="1"/>
        <v>-136256.42000000001</v>
      </c>
    </row>
    <row r="79" spans="1:9" x14ac:dyDescent="0.25">
      <c r="A79" t="s">
        <v>1231</v>
      </c>
      <c r="B79" s="1936"/>
      <c r="C79" t="s">
        <v>1231</v>
      </c>
      <c r="D79" s="1936"/>
      <c r="E79" s="1936"/>
      <c r="F79" s="1941">
        <v>-136256.42000000001</v>
      </c>
      <c r="G79" s="1941">
        <v>-136256</v>
      </c>
      <c r="H79" s="1937" t="str">
        <f>IFERROR(IF(F79&gt;=VLOOKUP(A79,[2]Materiality!$I$6:$J$12,2,TRUE),IFERROR(IF(VLOOKUP("*CR",F79,1,FALSE)&gt;=0,"",VLOOKUP("*CR",F79,1,FALSE)),F79),""),"")</f>
        <v/>
      </c>
      <c r="I79" s="1938">
        <f t="shared" si="1"/>
        <v>-136256.42000000001</v>
      </c>
    </row>
    <row r="80" spans="1:9" x14ac:dyDescent="0.25">
      <c r="A80" t="s">
        <v>1428</v>
      </c>
      <c r="B80" s="1936"/>
      <c r="C80" t="s">
        <v>2160</v>
      </c>
      <c r="D80" s="1936"/>
      <c r="E80" s="1936"/>
      <c r="F80" s="1941">
        <v>-136256.42000000001</v>
      </c>
      <c r="G80" s="1941">
        <v>-136256</v>
      </c>
      <c r="H80" s="1937" t="str">
        <f>IFERROR(IF(F80&gt;=VLOOKUP(A80,[2]Materiality!$I$6:$J$12,2,TRUE),IFERROR(IF(VLOOKUP("*CR",F80,1,FALSE)&gt;=0,"",VLOOKUP("*CR",F80,1,FALSE)),F80),""),"")</f>
        <v/>
      </c>
      <c r="I80" s="1938">
        <f t="shared" si="1"/>
        <v>-136256.42000000001</v>
      </c>
    </row>
    <row r="81" spans="1:9" x14ac:dyDescent="0.25">
      <c r="A81" t="s">
        <v>3666</v>
      </c>
      <c r="B81" s="1936"/>
      <c r="C81" t="s">
        <v>2161</v>
      </c>
      <c r="D81" s="1936"/>
      <c r="E81" s="1936"/>
      <c r="F81" s="1941">
        <v>-293357.5</v>
      </c>
      <c r="G81" s="1941">
        <v>-293358</v>
      </c>
      <c r="H81" s="1937" t="str">
        <f>IFERROR(IF(F81&gt;=VLOOKUP(A81,[2]Materiality!$I$6:$J$12,2,TRUE),IFERROR(IF(VLOOKUP("*CR",F81,1,FALSE)&gt;=0,"",VLOOKUP("*CR",F81,1,FALSE)),F81),""),"")</f>
        <v/>
      </c>
      <c r="I81" s="1938">
        <f t="shared" si="1"/>
        <v>-293357.5</v>
      </c>
    </row>
    <row r="82" spans="1:9" x14ac:dyDescent="0.25">
      <c r="A82" t="s">
        <v>1231</v>
      </c>
      <c r="B82" s="1936"/>
      <c r="C82" t="s">
        <v>1231</v>
      </c>
      <c r="D82" s="1936"/>
      <c r="E82" s="1936"/>
      <c r="F82" s="1941">
        <v>-293357.5</v>
      </c>
      <c r="G82" s="1941">
        <v>-293358</v>
      </c>
      <c r="H82" s="1937" t="str">
        <f>IFERROR(IF(F82&gt;=VLOOKUP(A82,[2]Materiality!$I$6:$J$12,2,TRUE),IFERROR(IF(VLOOKUP("*CR",F82,1,FALSE)&gt;=0,"",VLOOKUP("*CR",F82,1,FALSE)),F82),""),"")</f>
        <v/>
      </c>
      <c r="I82" s="1938">
        <f t="shared" si="1"/>
        <v>-293357.5</v>
      </c>
    </row>
    <row r="83" spans="1:9" x14ac:dyDescent="0.25">
      <c r="A83" t="s">
        <v>1424</v>
      </c>
      <c r="B83" s="1936"/>
      <c r="C83" t="s">
        <v>2162</v>
      </c>
      <c r="D83" s="1936"/>
      <c r="E83" s="1936"/>
      <c r="F83" s="1941">
        <v>-293357.5</v>
      </c>
      <c r="G83" s="1941">
        <v>-293358</v>
      </c>
      <c r="H83" s="1937" t="str">
        <f>IFERROR(IF(F83&gt;=VLOOKUP(A83,[2]Materiality!$I$6:$J$12,2,TRUE),IFERROR(IF(VLOOKUP("*CR",F83,1,FALSE)&gt;=0,"",VLOOKUP("*CR",F83,1,FALSE)),F83),""),"")</f>
        <v/>
      </c>
      <c r="I83" s="1938">
        <f t="shared" si="1"/>
        <v>-293357.5</v>
      </c>
    </row>
    <row r="84" spans="1:9" x14ac:dyDescent="0.25">
      <c r="A84" t="s">
        <v>3667</v>
      </c>
      <c r="B84" s="1936"/>
      <c r="C84" t="s">
        <v>2163</v>
      </c>
      <c r="D84" s="1936"/>
      <c r="E84" s="1936"/>
      <c r="F84" s="1941">
        <v>0</v>
      </c>
      <c r="G84" s="1941">
        <v>0</v>
      </c>
      <c r="H84" s="1937" t="str">
        <f>IFERROR(IF(F84&gt;=VLOOKUP(A84,[2]Materiality!$I$6:$J$12,2,TRUE),IFERROR(IF(VLOOKUP("*CR",F84,1,FALSE)&gt;=0,"",VLOOKUP("*CR",F84,1,FALSE)),F84),""),"")</f>
        <v/>
      </c>
      <c r="I84" s="1938">
        <f t="shared" si="1"/>
        <v>0</v>
      </c>
    </row>
    <row r="85" spans="1:9" x14ac:dyDescent="0.25">
      <c r="A85" t="s">
        <v>1231</v>
      </c>
      <c r="B85" s="1936"/>
      <c r="C85" t="s">
        <v>1231</v>
      </c>
      <c r="D85" s="1936"/>
      <c r="E85" s="1936"/>
      <c r="F85" s="1941">
        <v>0</v>
      </c>
      <c r="G85" s="1941">
        <v>0</v>
      </c>
      <c r="H85" s="1937" t="str">
        <f>IFERROR(IF(F85&gt;=VLOOKUP(A85,[2]Materiality!$I$6:$J$12,2,TRUE),IFERROR(IF(VLOOKUP("*CR",F85,1,FALSE)&gt;=0,"",VLOOKUP("*CR",F85,1,FALSE)),F85),""),"")</f>
        <v/>
      </c>
      <c r="I85" s="1938">
        <f t="shared" si="1"/>
        <v>0</v>
      </c>
    </row>
    <row r="86" spans="1:9" x14ac:dyDescent="0.25">
      <c r="A86" t="s">
        <v>3668</v>
      </c>
      <c r="B86" s="1936"/>
      <c r="C86" t="s">
        <v>2164</v>
      </c>
      <c r="D86" s="1936"/>
      <c r="E86" s="1936"/>
      <c r="F86" s="1941">
        <v>0</v>
      </c>
      <c r="G86" s="1941">
        <v>0</v>
      </c>
      <c r="H86" s="1937" t="str">
        <f>IFERROR(IF(F86&gt;=VLOOKUP(A86,[2]Materiality!$I$6:$J$12,2,TRUE),IFERROR(IF(VLOOKUP("*CR",F86,1,FALSE)&gt;=0,"",VLOOKUP("*CR",F86,1,FALSE)),F86),""),"")</f>
        <v/>
      </c>
      <c r="I86" s="1938">
        <f t="shared" si="1"/>
        <v>0</v>
      </c>
    </row>
    <row r="87" spans="1:9" x14ac:dyDescent="0.25">
      <c r="A87" t="s">
        <v>3669</v>
      </c>
      <c r="B87" s="1936"/>
      <c r="C87" t="s">
        <v>2165</v>
      </c>
      <c r="D87" s="1936"/>
      <c r="E87" s="1936"/>
      <c r="F87" s="1941">
        <v>-1517.48</v>
      </c>
      <c r="G87" s="1941">
        <v>-1517</v>
      </c>
      <c r="H87" s="1937" t="str">
        <f>IFERROR(IF(F87&gt;=VLOOKUP(A87,[2]Materiality!$I$6:$J$12,2,TRUE),IFERROR(IF(VLOOKUP("*CR",F87,1,FALSE)&gt;=0,"",VLOOKUP("*CR",F87,1,FALSE)),F87),""),"")</f>
        <v/>
      </c>
      <c r="I87" s="1938">
        <f t="shared" si="1"/>
        <v>-1517.48</v>
      </c>
    </row>
    <row r="88" spans="1:9" x14ac:dyDescent="0.25">
      <c r="A88" t="s">
        <v>1231</v>
      </c>
      <c r="B88" s="1936"/>
      <c r="C88" t="s">
        <v>1231</v>
      </c>
      <c r="D88" s="1936"/>
      <c r="E88" s="1936"/>
      <c r="F88" s="1941">
        <v>-1517.48</v>
      </c>
      <c r="G88" s="1941">
        <v>-1517</v>
      </c>
      <c r="H88" s="1937" t="str">
        <f>IFERROR(IF(F88&gt;=VLOOKUP(A88,[2]Materiality!$I$6:$J$12,2,TRUE),IFERROR(IF(VLOOKUP("*CR",F88,1,FALSE)&gt;=0,"",VLOOKUP("*CR",F88,1,FALSE)),F88),""),"")</f>
        <v/>
      </c>
      <c r="I88" s="1938">
        <f t="shared" si="1"/>
        <v>-1517.48</v>
      </c>
    </row>
    <row r="89" spans="1:9" x14ac:dyDescent="0.25">
      <c r="A89" t="s">
        <v>3670</v>
      </c>
      <c r="B89" s="1936"/>
      <c r="C89" t="s">
        <v>2166</v>
      </c>
      <c r="D89" s="1936"/>
      <c r="E89" s="1936"/>
      <c r="F89" s="1941">
        <v>-1517.48</v>
      </c>
      <c r="G89" s="1941">
        <v>-1517</v>
      </c>
      <c r="H89" s="1937" t="str">
        <f>IFERROR(IF(F89&gt;=VLOOKUP(A89,[2]Materiality!$I$6:$J$12,2,TRUE),IFERROR(IF(VLOOKUP("*CR",F89,1,FALSE)&gt;=0,"",VLOOKUP("*CR",F89,1,FALSE)),F89),""),"")</f>
        <v/>
      </c>
      <c r="I89" s="1938">
        <f t="shared" si="1"/>
        <v>-1517.48</v>
      </c>
    </row>
    <row r="90" spans="1:9" x14ac:dyDescent="0.25">
      <c r="A90" t="s">
        <v>3671</v>
      </c>
      <c r="B90" s="1936"/>
      <c r="C90" t="s">
        <v>2167</v>
      </c>
      <c r="D90" s="1936"/>
      <c r="E90" s="1936"/>
      <c r="F90" s="1941">
        <v>-7143.36</v>
      </c>
      <c r="G90" s="1941">
        <v>-7500</v>
      </c>
      <c r="H90" s="1937" t="str">
        <f>IFERROR(IF(F90&gt;=VLOOKUP(A90,[2]Materiality!$I$6:$J$12,2,TRUE),IFERROR(IF(VLOOKUP("*CR",F90,1,FALSE)&gt;=0,"",VLOOKUP("*CR",F90,1,FALSE)),F90),""),"")</f>
        <v/>
      </c>
      <c r="I90" s="1938">
        <f t="shared" si="1"/>
        <v>-7143.36</v>
      </c>
    </row>
    <row r="91" spans="1:9" x14ac:dyDescent="0.25">
      <c r="A91" t="s">
        <v>1231</v>
      </c>
      <c r="B91" s="1936"/>
      <c r="C91" t="s">
        <v>1231</v>
      </c>
      <c r="D91" s="1936"/>
      <c r="E91" s="1936"/>
      <c r="F91" s="1941">
        <v>-7143.36</v>
      </c>
      <c r="G91" s="1941">
        <v>-7500</v>
      </c>
      <c r="H91" s="1937" t="str">
        <f>IFERROR(IF(F91&gt;=VLOOKUP(A91,[2]Materiality!$I$6:$J$12,2,TRUE),IFERROR(IF(VLOOKUP("*CR",F91,1,FALSE)&gt;=0,"",VLOOKUP("*CR",F91,1,FALSE)),F91),""),"")</f>
        <v/>
      </c>
      <c r="I91" s="1938">
        <f t="shared" si="1"/>
        <v>-7143.36</v>
      </c>
    </row>
    <row r="92" spans="1:9" x14ac:dyDescent="0.25">
      <c r="A92" t="s">
        <v>3672</v>
      </c>
      <c r="B92" s="1936"/>
      <c r="C92" t="s">
        <v>2168</v>
      </c>
      <c r="D92" s="1936"/>
      <c r="E92" s="1936"/>
      <c r="F92" s="1941">
        <v>-7143.36</v>
      </c>
      <c r="G92" s="1941">
        <v>-7500</v>
      </c>
      <c r="H92" s="1937" t="str">
        <f>IFERROR(IF(F92&gt;=VLOOKUP(A92,[2]Materiality!$I$6:$J$12,2,TRUE),IFERROR(IF(VLOOKUP("*CR",F92,1,FALSE)&gt;=0,"",VLOOKUP("*CR",F92,1,FALSE)),F92),""),"")</f>
        <v/>
      </c>
      <c r="I92" s="1938">
        <f t="shared" si="1"/>
        <v>-7143.36</v>
      </c>
    </row>
    <row r="93" spans="1:9" x14ac:dyDescent="0.25">
      <c r="A93" t="s">
        <v>3673</v>
      </c>
      <c r="B93" s="1936"/>
      <c r="C93" t="s">
        <v>2102</v>
      </c>
      <c r="D93" s="1936"/>
      <c r="E93" s="1936"/>
      <c r="F93" s="1941">
        <v>0</v>
      </c>
      <c r="G93" s="1941">
        <v>0</v>
      </c>
      <c r="H93" s="1937" t="str">
        <f>IFERROR(IF(F93&gt;=VLOOKUP(A93,[2]Materiality!$I$6:$J$12,2,TRUE),IFERROR(IF(VLOOKUP("*CR",F93,1,FALSE)&gt;=0,"",VLOOKUP("*CR",F93,1,FALSE)),F93),""),"")</f>
        <v/>
      </c>
      <c r="I93" s="1938">
        <f t="shared" si="1"/>
        <v>0</v>
      </c>
    </row>
    <row r="94" spans="1:9" x14ac:dyDescent="0.25">
      <c r="A94" t="s">
        <v>1231</v>
      </c>
      <c r="B94" s="1936"/>
      <c r="C94" t="s">
        <v>1231</v>
      </c>
      <c r="D94" s="1936"/>
      <c r="E94" s="1936"/>
      <c r="F94" s="1941">
        <v>0</v>
      </c>
      <c r="G94" s="1941">
        <v>0</v>
      </c>
      <c r="H94" s="1937" t="str">
        <f>IFERROR(IF(F94&gt;=VLOOKUP(A94,[2]Materiality!$I$6:$J$12,2,TRUE),IFERROR(IF(VLOOKUP("*CR",F94,1,FALSE)&gt;=0,"",VLOOKUP("*CR",F94,1,FALSE)),F94),""),"")</f>
        <v/>
      </c>
      <c r="I94" s="1938">
        <f t="shared" si="1"/>
        <v>0</v>
      </c>
    </row>
    <row r="95" spans="1:9" x14ac:dyDescent="0.25">
      <c r="A95" t="s">
        <v>3674</v>
      </c>
      <c r="B95" s="1936"/>
      <c r="C95" t="s">
        <v>2169</v>
      </c>
      <c r="D95" s="1936"/>
      <c r="E95" s="1936"/>
      <c r="F95" s="1941">
        <v>0</v>
      </c>
      <c r="G95" s="1941">
        <v>0</v>
      </c>
      <c r="H95" s="1937" t="str">
        <f>IFERROR(IF(F95&gt;=VLOOKUP(A95,[2]Materiality!$I$6:$J$12,2,TRUE),IFERROR(IF(VLOOKUP("*CR",F95,1,FALSE)&gt;=0,"",VLOOKUP("*CR",F95,1,FALSE)),F95),""),"")</f>
        <v/>
      </c>
      <c r="I95" s="1938">
        <f t="shared" si="1"/>
        <v>0</v>
      </c>
    </row>
    <row r="96" spans="1:9" x14ac:dyDescent="0.25">
      <c r="A96" t="s">
        <v>3675</v>
      </c>
      <c r="B96" s="1936"/>
      <c r="C96" t="s">
        <v>2170</v>
      </c>
      <c r="D96" s="1936"/>
      <c r="E96" s="1936"/>
      <c r="F96" s="1941">
        <v>-740879</v>
      </c>
      <c r="G96" s="1941">
        <v>-638851</v>
      </c>
      <c r="H96" s="1937" t="str">
        <f>IFERROR(IF(F96&gt;=VLOOKUP(A96,[2]Materiality!$I$6:$J$12,2,TRUE),IFERROR(IF(VLOOKUP("*CR",F96,1,FALSE)&gt;=0,"",VLOOKUP("*CR",F96,1,FALSE)),F96),""),"")</f>
        <v/>
      </c>
      <c r="I96" s="1938">
        <f t="shared" si="1"/>
        <v>-740879</v>
      </c>
    </row>
    <row r="97" spans="1:9" x14ac:dyDescent="0.25">
      <c r="A97" t="s">
        <v>1231</v>
      </c>
      <c r="B97" s="1936"/>
      <c r="C97" t="s">
        <v>1231</v>
      </c>
      <c r="D97" s="1936"/>
      <c r="E97" s="1936"/>
      <c r="F97" s="1941">
        <v>-740879</v>
      </c>
      <c r="G97" s="1941">
        <v>-638851</v>
      </c>
      <c r="H97" s="1937" t="str">
        <f>IFERROR(IF(F97&gt;=VLOOKUP(A97,[2]Materiality!$I$6:$J$12,2,TRUE),IFERROR(IF(VLOOKUP("*CR",F97,1,FALSE)&gt;=0,"",VLOOKUP("*CR",F97,1,FALSE)),F97),""),"")</f>
        <v/>
      </c>
      <c r="I97" s="1938">
        <f t="shared" si="1"/>
        <v>-740879</v>
      </c>
    </row>
    <row r="98" spans="1:9" x14ac:dyDescent="0.25">
      <c r="A98" t="s">
        <v>3676</v>
      </c>
      <c r="B98" s="1936"/>
      <c r="C98" t="s">
        <v>1111</v>
      </c>
      <c r="D98" s="1936"/>
      <c r="E98" s="1936"/>
      <c r="F98" s="1941">
        <v>-740879</v>
      </c>
      <c r="G98" s="1941">
        <v>-638851</v>
      </c>
      <c r="H98" s="1937" t="str">
        <f>IFERROR(IF(F98&gt;=VLOOKUP(A98,[2]Materiality!$I$6:$J$12,2,TRUE),IFERROR(IF(VLOOKUP("*CR",F98,1,FALSE)&gt;=0,"",VLOOKUP("*CR",F98,1,FALSE)),F98),""),"")</f>
        <v/>
      </c>
      <c r="I98" s="1938">
        <f t="shared" si="1"/>
        <v>-740879</v>
      </c>
    </row>
    <row r="99" spans="1:9" x14ac:dyDescent="0.25">
      <c r="A99" t="str">
        <f>"1-3999"</f>
        <v>1-3999</v>
      </c>
      <c r="B99" s="1936"/>
      <c r="C99" t="s">
        <v>2171</v>
      </c>
      <c r="D99" s="1936"/>
      <c r="E99" s="1936"/>
      <c r="F99" s="1941">
        <v>-2641.72</v>
      </c>
      <c r="G99" s="1941">
        <v>-2641.72</v>
      </c>
      <c r="H99" s="1937" t="str">
        <f>IFERROR(IF(F99&gt;=VLOOKUP(A99,[2]Materiality!$I$6:$J$12,2,TRUE),IFERROR(IF(VLOOKUP("*CR",F99,1,FALSE)&gt;=0,"",VLOOKUP("*CR",F99,1,FALSE)),F99),""),"")</f>
        <v/>
      </c>
      <c r="I99" s="1938">
        <f t="shared" si="1"/>
        <v>-2641.72</v>
      </c>
    </row>
    <row r="100" spans="1:9" x14ac:dyDescent="0.25">
      <c r="A100" t="s">
        <v>1231</v>
      </c>
      <c r="B100" s="1936"/>
      <c r="C100" t="s">
        <v>1231</v>
      </c>
      <c r="D100" s="1936"/>
      <c r="E100" s="1936"/>
      <c r="F100" s="1941">
        <v>-2641.72</v>
      </c>
      <c r="G100" s="1941">
        <v>-2641.72</v>
      </c>
      <c r="H100" s="1937" t="str">
        <f>IFERROR(IF(F100&gt;=VLOOKUP(A100,[2]Materiality!$I$6:$J$12,2,TRUE),IFERROR(IF(VLOOKUP("*CR",F100,1,FALSE)&gt;=0,"",VLOOKUP("*CR",F100,1,FALSE)),F100),""),"")</f>
        <v/>
      </c>
      <c r="I100" s="1938">
        <f t="shared" si="1"/>
        <v>-2641.72</v>
      </c>
    </row>
    <row r="101" spans="1:9" x14ac:dyDescent="0.25">
      <c r="A101" t="s">
        <v>3677</v>
      </c>
      <c r="B101" s="1936"/>
      <c r="C101" t="s">
        <v>2172</v>
      </c>
      <c r="D101" s="1936"/>
      <c r="E101" s="1936"/>
      <c r="F101" s="1941">
        <v>-2641.72</v>
      </c>
      <c r="G101" s="1941">
        <v>-2641.72</v>
      </c>
      <c r="H101" s="1937" t="str">
        <f>IFERROR(IF(F101&gt;=VLOOKUP(A101,[2]Materiality!$I$6:$J$12,2,TRUE),IFERROR(IF(VLOOKUP("*CR",F101,1,FALSE)&gt;=0,"",VLOOKUP("*CR",F101,1,FALSE)),F101),""),"")</f>
        <v/>
      </c>
      <c r="I101" s="1938">
        <f t="shared" si="1"/>
        <v>-2641.72</v>
      </c>
    </row>
    <row r="102" spans="1:9" x14ac:dyDescent="0.25">
      <c r="A102" t="s">
        <v>3678</v>
      </c>
      <c r="B102" s="1936"/>
      <c r="C102" t="s">
        <v>2173</v>
      </c>
      <c r="D102" s="1936"/>
      <c r="E102" s="1936"/>
      <c r="F102" s="1941">
        <v>0</v>
      </c>
      <c r="G102" s="1941">
        <v>0</v>
      </c>
      <c r="H102" s="1937" t="str">
        <f>IFERROR(IF(F102&gt;=VLOOKUP(A102,[2]Materiality!$I$6:$J$12,2,TRUE),IFERROR(IF(VLOOKUP("*CR",F102,1,FALSE)&gt;=0,"",VLOOKUP("*CR",F102,1,FALSE)),F102),""),"")</f>
        <v/>
      </c>
      <c r="I102" s="1938">
        <f t="shared" si="1"/>
        <v>0</v>
      </c>
    </row>
    <row r="103" spans="1:9" x14ac:dyDescent="0.25">
      <c r="A103" t="s">
        <v>1231</v>
      </c>
      <c r="B103" s="1936"/>
      <c r="C103" t="s">
        <v>1231</v>
      </c>
      <c r="D103" s="1936"/>
      <c r="E103" s="1936"/>
      <c r="F103" s="1941">
        <v>0</v>
      </c>
      <c r="G103" s="1941">
        <v>0</v>
      </c>
      <c r="H103" s="1937" t="str">
        <f>IFERROR(IF(F103&gt;=VLOOKUP(A103,[2]Materiality!$I$6:$J$12,2,TRUE),IFERROR(IF(VLOOKUP("*CR",F103,1,FALSE)&gt;=0,"",VLOOKUP("*CR",F103,1,FALSE)),F103),""),"")</f>
        <v/>
      </c>
      <c r="I103" s="1938">
        <f t="shared" si="1"/>
        <v>0</v>
      </c>
    </row>
    <row r="104" spans="1:9" x14ac:dyDescent="0.25">
      <c r="A104" t="s">
        <v>3679</v>
      </c>
      <c r="B104" s="1936"/>
      <c r="C104" t="s">
        <v>2174</v>
      </c>
      <c r="D104" s="1936"/>
      <c r="E104" s="1936"/>
      <c r="F104" s="1941">
        <v>0</v>
      </c>
      <c r="G104" s="1941">
        <v>0</v>
      </c>
      <c r="H104" s="1937" t="str">
        <f>IFERROR(IF(F104&gt;=VLOOKUP(A104,[2]Materiality!$I$6:$J$12,2,TRUE),IFERROR(IF(VLOOKUP("*CR",F104,1,FALSE)&gt;=0,"",VLOOKUP("*CR",F104,1,FALSE)),F104),""),"")</f>
        <v/>
      </c>
      <c r="I104" s="1938">
        <f t="shared" si="1"/>
        <v>0</v>
      </c>
    </row>
    <row r="105" spans="1:9" x14ac:dyDescent="0.25">
      <c r="A105" t="s">
        <v>3680</v>
      </c>
      <c r="B105" s="1936"/>
      <c r="C105" t="s">
        <v>2102</v>
      </c>
      <c r="D105" s="1936"/>
      <c r="E105" s="1936"/>
      <c r="F105" s="1941">
        <v>0</v>
      </c>
      <c r="G105" s="1941">
        <v>0</v>
      </c>
      <c r="H105" s="1937" t="str">
        <f>IFERROR(IF(F105&gt;=VLOOKUP(A105,[2]Materiality!$I$6:$J$12,2,TRUE),IFERROR(IF(VLOOKUP("*CR",F105,1,FALSE)&gt;=0,"",VLOOKUP("*CR",F105,1,FALSE)),F105),""),"")</f>
        <v/>
      </c>
      <c r="I105" s="1938">
        <f t="shared" si="1"/>
        <v>0</v>
      </c>
    </row>
    <row r="106" spans="1:9" x14ac:dyDescent="0.25">
      <c r="A106" t="s">
        <v>1231</v>
      </c>
      <c r="B106" s="1936"/>
      <c r="C106" t="s">
        <v>1231</v>
      </c>
      <c r="D106" s="1936"/>
      <c r="E106" s="1936"/>
      <c r="F106" s="1941">
        <v>0</v>
      </c>
      <c r="G106" s="1941">
        <v>0</v>
      </c>
      <c r="H106" s="1937" t="str">
        <f>IFERROR(IF(F106&gt;=VLOOKUP(A106,[2]Materiality!$I$6:$J$12,2,TRUE),IFERROR(IF(VLOOKUP("*CR",F106,1,FALSE)&gt;=0,"",VLOOKUP("*CR",F106,1,FALSE)),F106),""),"")</f>
        <v/>
      </c>
      <c r="I106" s="1938">
        <f t="shared" si="1"/>
        <v>0</v>
      </c>
    </row>
    <row r="107" spans="1:9" x14ac:dyDescent="0.25">
      <c r="A107" t="s">
        <v>3681</v>
      </c>
      <c r="B107" s="1936"/>
      <c r="C107" t="s">
        <v>2175</v>
      </c>
      <c r="D107" s="1936"/>
      <c r="E107" s="1936"/>
      <c r="F107" s="1941">
        <v>0</v>
      </c>
      <c r="G107" s="1941">
        <v>0</v>
      </c>
      <c r="H107" s="1937" t="str">
        <f>IFERROR(IF(F107&gt;=VLOOKUP(A107,[2]Materiality!$I$6:$J$12,2,TRUE),IFERROR(IF(VLOOKUP("*CR",F107,1,FALSE)&gt;=0,"",VLOOKUP("*CR",F107,1,FALSE)),F107),""),"")</f>
        <v/>
      </c>
      <c r="I107" s="1938">
        <f t="shared" si="1"/>
        <v>0</v>
      </c>
    </row>
    <row r="108" spans="1:9" x14ac:dyDescent="0.25">
      <c r="A108" t="s">
        <v>596</v>
      </c>
      <c r="B108" s="1936"/>
      <c r="C108" t="s">
        <v>2176</v>
      </c>
      <c r="D108" s="1936"/>
      <c r="E108" s="1936"/>
      <c r="F108" s="1941">
        <v>-7600036.8899999997</v>
      </c>
      <c r="G108" s="1941">
        <v>-7498363.7199999997</v>
      </c>
      <c r="H108" s="1937" t="str">
        <f>IFERROR(IF(F108&gt;=VLOOKUP(A108,[2]Materiality!$I$6:$J$12,2,TRUE),IFERROR(IF(VLOOKUP("*CR",F108,1,FALSE)&gt;=0,"",VLOOKUP("*CR",F108,1,FALSE)),F108),""),"")</f>
        <v/>
      </c>
      <c r="I108" s="1938">
        <f t="shared" si="1"/>
        <v>-7600036.8899999997</v>
      </c>
    </row>
    <row r="109" spans="1:9" x14ac:dyDescent="0.25">
      <c r="A109" t="s">
        <v>3682</v>
      </c>
      <c r="B109" s="1936"/>
      <c r="C109" t="s">
        <v>2177</v>
      </c>
      <c r="D109" s="1936"/>
      <c r="E109" s="1936"/>
      <c r="F109" s="1941">
        <v>0</v>
      </c>
      <c r="G109" s="1941">
        <v>0</v>
      </c>
      <c r="H109" s="1937" t="str">
        <f>IFERROR(IF(F109&gt;=VLOOKUP(A109,[2]Materiality!$I$6:$J$12,2,TRUE),IFERROR(IF(VLOOKUP("*CR",F109,1,FALSE)&gt;=0,"",VLOOKUP("*CR",F109,1,FALSE)),F109),""),"")</f>
        <v/>
      </c>
      <c r="I109" s="1938">
        <f t="shared" si="1"/>
        <v>0</v>
      </c>
    </row>
    <row r="110" spans="1:9" x14ac:dyDescent="0.25">
      <c r="A110" t="s">
        <v>1231</v>
      </c>
      <c r="B110" s="1936"/>
      <c r="C110" t="s">
        <v>1231</v>
      </c>
      <c r="D110" s="1936"/>
      <c r="E110" s="1936"/>
      <c r="F110" s="1941">
        <v>0</v>
      </c>
      <c r="G110" s="1941">
        <v>0</v>
      </c>
      <c r="H110" s="1937" t="str">
        <f>IFERROR(IF(F110&gt;=VLOOKUP(A110,[2]Materiality!$I$6:$J$12,2,TRUE),IFERROR(IF(VLOOKUP("*CR",F110,1,FALSE)&gt;=0,"",VLOOKUP("*CR",F110,1,FALSE)),F110),""),"")</f>
        <v/>
      </c>
      <c r="I110" s="1938">
        <f t="shared" si="1"/>
        <v>0</v>
      </c>
    </row>
    <row r="111" spans="1:9" x14ac:dyDescent="0.25">
      <c r="A111" t="s">
        <v>3683</v>
      </c>
      <c r="B111" s="1936"/>
      <c r="C111" t="s">
        <v>2178</v>
      </c>
      <c r="D111" s="1936"/>
      <c r="E111" s="1936"/>
      <c r="F111" s="1941">
        <v>0</v>
      </c>
      <c r="G111" s="1941">
        <v>0</v>
      </c>
      <c r="H111" s="1937" t="str">
        <f>IFERROR(IF(F111&gt;=VLOOKUP(A111,[2]Materiality!$I$6:$J$12,2,TRUE),IFERROR(IF(VLOOKUP("*CR",F111,1,FALSE)&gt;=0,"",VLOOKUP("*CR",F111,1,FALSE)),F111),""),"")</f>
        <v/>
      </c>
      <c r="I111" s="1938">
        <f t="shared" si="1"/>
        <v>0</v>
      </c>
    </row>
    <row r="112" spans="1:9" x14ac:dyDescent="0.25">
      <c r="A112" t="s">
        <v>3684</v>
      </c>
      <c r="B112" s="1936"/>
      <c r="C112" t="s">
        <v>2179</v>
      </c>
      <c r="D112" s="1936"/>
      <c r="E112" s="1936"/>
      <c r="F112" s="1941">
        <v>-403763.84</v>
      </c>
      <c r="G112" s="1941">
        <v>-400000</v>
      </c>
      <c r="H112" s="1937" t="str">
        <f>IFERROR(IF(F112&gt;=VLOOKUP(A112,[2]Materiality!$I$6:$J$12,2,TRUE),IFERROR(IF(VLOOKUP("*CR",F112,1,FALSE)&gt;=0,"",VLOOKUP("*CR",F112,1,FALSE)),F112),""),"")</f>
        <v/>
      </c>
      <c r="I112" s="1938">
        <f t="shared" si="1"/>
        <v>-403763.84</v>
      </c>
    </row>
    <row r="113" spans="1:9" x14ac:dyDescent="0.25">
      <c r="A113" t="s">
        <v>1231</v>
      </c>
      <c r="B113" s="1936"/>
      <c r="C113" t="s">
        <v>1231</v>
      </c>
      <c r="D113" s="1936"/>
      <c r="E113" s="1936"/>
      <c r="F113" s="1941">
        <v>-403763.84</v>
      </c>
      <c r="G113" s="1941">
        <v>-400000</v>
      </c>
      <c r="H113" s="1937" t="str">
        <f>IFERROR(IF(F113&gt;=VLOOKUP(A113,[2]Materiality!$I$6:$J$12,2,TRUE),IFERROR(IF(VLOOKUP("*CR",F113,1,FALSE)&gt;=0,"",VLOOKUP("*CR",F113,1,FALSE)),F113),""),"")</f>
        <v/>
      </c>
      <c r="I113" s="1938">
        <f t="shared" si="1"/>
        <v>-403763.84</v>
      </c>
    </row>
    <row r="114" spans="1:9" x14ac:dyDescent="0.25">
      <c r="A114" t="s">
        <v>3685</v>
      </c>
      <c r="B114" s="1936"/>
      <c r="C114" t="s">
        <v>2180</v>
      </c>
      <c r="D114" s="1936"/>
      <c r="E114" s="1936"/>
      <c r="F114" s="1941">
        <v>-403763.84</v>
      </c>
      <c r="G114" s="1941">
        <v>-400000</v>
      </c>
      <c r="H114" s="1937" t="str">
        <f>IFERROR(IF(F114&gt;=VLOOKUP(A114,[2]Materiality!$I$6:$J$12,2,TRUE),IFERROR(IF(VLOOKUP("*CR",F114,1,FALSE)&gt;=0,"",VLOOKUP("*CR",F114,1,FALSE)),F114),""),"")</f>
        <v/>
      </c>
      <c r="I114" s="1938">
        <f t="shared" si="1"/>
        <v>-403763.84</v>
      </c>
    </row>
    <row r="115" spans="1:9" x14ac:dyDescent="0.25">
      <c r="A115" t="s">
        <v>3686</v>
      </c>
      <c r="B115" s="1936"/>
      <c r="C115" t="s">
        <v>2181</v>
      </c>
      <c r="D115" s="1936"/>
      <c r="E115" s="1936"/>
      <c r="F115" s="1941">
        <v>-92904.320000000007</v>
      </c>
      <c r="G115" s="1941">
        <v>-93000</v>
      </c>
      <c r="H115" s="1937" t="str">
        <f>IFERROR(IF(F115&gt;=VLOOKUP(A115,[2]Materiality!$I$6:$J$12,2,TRUE),IFERROR(IF(VLOOKUP("*CR",F115,1,FALSE)&gt;=0,"",VLOOKUP("*CR",F115,1,FALSE)),F115),""),"")</f>
        <v/>
      </c>
      <c r="I115" s="1938">
        <f t="shared" si="1"/>
        <v>-92904.320000000007</v>
      </c>
    </row>
    <row r="116" spans="1:9" x14ac:dyDescent="0.25">
      <c r="A116" t="s">
        <v>1231</v>
      </c>
      <c r="B116" s="1936"/>
      <c r="C116" t="s">
        <v>1231</v>
      </c>
      <c r="D116" s="1936"/>
      <c r="E116" s="1936"/>
      <c r="F116" s="1941">
        <v>-92904.320000000007</v>
      </c>
      <c r="G116" s="1941">
        <v>-93000</v>
      </c>
      <c r="H116" s="1937" t="str">
        <f>IFERROR(IF(F116&gt;=VLOOKUP(A116,[2]Materiality!$I$6:$J$12,2,TRUE),IFERROR(IF(VLOOKUP("*CR",F116,1,FALSE)&gt;=0,"",VLOOKUP("*CR",F116,1,FALSE)),F116),""),"")</f>
        <v/>
      </c>
      <c r="I116" s="1938">
        <f t="shared" si="1"/>
        <v>-92904.320000000007</v>
      </c>
    </row>
    <row r="117" spans="1:9" x14ac:dyDescent="0.25">
      <c r="A117" t="s">
        <v>3687</v>
      </c>
      <c r="B117" s="1936"/>
      <c r="C117" t="s">
        <v>2182</v>
      </c>
      <c r="D117" s="1936"/>
      <c r="E117" s="1936"/>
      <c r="F117" s="1941">
        <v>-92904.320000000007</v>
      </c>
      <c r="G117" s="1941">
        <v>-93000</v>
      </c>
      <c r="H117" s="1937" t="str">
        <f>IFERROR(IF(F117&gt;=VLOOKUP(A117,[2]Materiality!$I$6:$J$12,2,TRUE),IFERROR(IF(VLOOKUP("*CR",F117,1,FALSE)&gt;=0,"",VLOOKUP("*CR",F117,1,FALSE)),F117),""),"")</f>
        <v/>
      </c>
      <c r="I117" s="1938">
        <f t="shared" si="1"/>
        <v>-92904.320000000007</v>
      </c>
    </row>
    <row r="118" spans="1:9" x14ac:dyDescent="0.25">
      <c r="A118" t="s">
        <v>3688</v>
      </c>
      <c r="B118" s="1936"/>
      <c r="C118" t="s">
        <v>2183</v>
      </c>
      <c r="D118" s="1936"/>
      <c r="E118" s="1936"/>
      <c r="F118" s="1941">
        <v>-565026</v>
      </c>
      <c r="G118" s="1941">
        <v>-550000</v>
      </c>
      <c r="H118" s="1937" t="str">
        <f>IFERROR(IF(F118&gt;=VLOOKUP(A118,[2]Materiality!$I$6:$J$12,2,TRUE),IFERROR(IF(VLOOKUP("*CR",F118,1,FALSE)&gt;=0,"",VLOOKUP("*CR",F118,1,FALSE)),F118),""),"")</f>
        <v/>
      </c>
      <c r="I118" s="1938">
        <f t="shared" si="1"/>
        <v>-565026</v>
      </c>
    </row>
    <row r="119" spans="1:9" x14ac:dyDescent="0.25">
      <c r="A119" t="s">
        <v>1231</v>
      </c>
      <c r="B119" s="1936"/>
      <c r="C119" t="s">
        <v>1231</v>
      </c>
      <c r="D119" s="1936"/>
      <c r="E119" s="1936"/>
      <c r="F119" s="1941">
        <v>-565026</v>
      </c>
      <c r="G119" s="1941">
        <v>-550000</v>
      </c>
      <c r="H119" s="1937" t="str">
        <f>IFERROR(IF(F119&gt;=VLOOKUP(A119,[2]Materiality!$I$6:$J$12,2,TRUE),IFERROR(IF(VLOOKUP("*CR",F119,1,FALSE)&gt;=0,"",VLOOKUP("*CR",F119,1,FALSE)),F119),""),"")</f>
        <v/>
      </c>
      <c r="I119" s="1938">
        <f t="shared" si="1"/>
        <v>-565026</v>
      </c>
    </row>
    <row r="120" spans="1:9" x14ac:dyDescent="0.25">
      <c r="A120" t="s">
        <v>3689</v>
      </c>
      <c r="B120" s="1936"/>
      <c r="C120" t="s">
        <v>974</v>
      </c>
      <c r="D120" s="1936"/>
      <c r="E120" s="1936"/>
      <c r="F120" s="1941">
        <v>-565026</v>
      </c>
      <c r="G120" s="1941">
        <v>-550000</v>
      </c>
      <c r="H120" s="1937" t="str">
        <f>IFERROR(IF(F120&gt;=VLOOKUP(A120,[2]Materiality!$I$6:$J$12,2,TRUE),IFERROR(IF(VLOOKUP("*CR",F120,1,FALSE)&gt;=0,"",VLOOKUP("*CR",F120,1,FALSE)),F120),""),"")</f>
        <v/>
      </c>
      <c r="I120" s="1938">
        <f t="shared" si="1"/>
        <v>-565026</v>
      </c>
    </row>
    <row r="121" spans="1:9" x14ac:dyDescent="0.25">
      <c r="A121" t="s">
        <v>3690</v>
      </c>
      <c r="B121" s="1936"/>
      <c r="C121" t="s">
        <v>2184</v>
      </c>
      <c r="D121" s="1936"/>
      <c r="E121" s="1936"/>
      <c r="F121" s="1941">
        <v>-589</v>
      </c>
      <c r="G121" s="1941">
        <v>0</v>
      </c>
      <c r="H121" s="1937" t="str">
        <f>IFERROR(IF(F121&gt;=VLOOKUP(A121,[2]Materiality!$I$6:$J$12,2,TRUE),IFERROR(IF(VLOOKUP("*CR",F121,1,FALSE)&gt;=0,"",VLOOKUP("*CR",F121,1,FALSE)),F121),""),"")</f>
        <v/>
      </c>
      <c r="I121" s="1938">
        <f t="shared" si="1"/>
        <v>-589</v>
      </c>
    </row>
    <row r="122" spans="1:9" x14ac:dyDescent="0.25">
      <c r="A122" t="s">
        <v>1231</v>
      </c>
      <c r="B122" s="1936"/>
      <c r="C122" t="s">
        <v>1231</v>
      </c>
      <c r="D122" s="1936"/>
      <c r="E122" s="1936"/>
      <c r="F122" s="1941">
        <v>0</v>
      </c>
      <c r="G122" s="1941">
        <v>0</v>
      </c>
      <c r="H122" s="1937" t="str">
        <f>IFERROR(IF(F122&gt;=VLOOKUP(A122,[2]Materiality!$I$6:$J$12,2,TRUE),IFERROR(IF(VLOOKUP("*CR",F122,1,FALSE)&gt;=0,"",VLOOKUP("*CR",F122,1,FALSE)),F122),""),"")</f>
        <v/>
      </c>
      <c r="I122" s="1938">
        <f t="shared" si="1"/>
        <v>0</v>
      </c>
    </row>
    <row r="123" spans="1:9" x14ac:dyDescent="0.25">
      <c r="A123" t="s">
        <v>3691</v>
      </c>
      <c r="B123" s="1936"/>
      <c r="C123" t="s">
        <v>2185</v>
      </c>
      <c r="D123" s="1936"/>
      <c r="E123" s="1936"/>
      <c r="F123" s="1941">
        <v>0</v>
      </c>
      <c r="G123" s="1941">
        <v>0</v>
      </c>
      <c r="H123" s="1937" t="str">
        <f>IFERROR(IF(F123&gt;=VLOOKUP(A123,[2]Materiality!$I$6:$J$12,2,TRUE),IFERROR(IF(VLOOKUP("*CR",F123,1,FALSE)&gt;=0,"",VLOOKUP("*CR",F123,1,FALSE)),F123),""),"")</f>
        <v/>
      </c>
      <c r="I123" s="1938">
        <f t="shared" si="1"/>
        <v>0</v>
      </c>
    </row>
    <row r="124" spans="1:9" x14ac:dyDescent="0.25">
      <c r="A124" t="s">
        <v>3692</v>
      </c>
      <c r="B124" s="1936"/>
      <c r="C124" t="s">
        <v>2186</v>
      </c>
      <c r="D124" s="1936"/>
      <c r="E124" s="1936"/>
      <c r="F124" s="1941">
        <v>-414715.62</v>
      </c>
      <c r="G124" s="1941">
        <v>-329939</v>
      </c>
      <c r="H124" s="1937" t="str">
        <f>IFERROR(IF(F124&gt;=VLOOKUP(A124,[2]Materiality!$I$6:$J$12,2,TRUE),IFERROR(IF(VLOOKUP("*CR",F124,1,FALSE)&gt;=0,"",VLOOKUP("*CR",F124,1,FALSE)),F124),""),"")</f>
        <v/>
      </c>
      <c r="I124" s="1938">
        <f t="shared" si="1"/>
        <v>-414715.62</v>
      </c>
    </row>
    <row r="125" spans="1:9" x14ac:dyDescent="0.25">
      <c r="A125" t="s">
        <v>1231</v>
      </c>
      <c r="B125" s="1936"/>
      <c r="C125" t="s">
        <v>1231</v>
      </c>
      <c r="D125" s="1936"/>
      <c r="E125" s="1936"/>
      <c r="F125" s="1941">
        <v>-415304.62</v>
      </c>
      <c r="G125" s="1941">
        <v>-329939</v>
      </c>
      <c r="H125" s="1937" t="str">
        <f>IFERROR(IF(F125&gt;=VLOOKUP(A125,[2]Materiality!$I$6:$J$12,2,TRUE),IFERROR(IF(VLOOKUP("*CR",F125,1,FALSE)&gt;=0,"",VLOOKUP("*CR",F125,1,FALSE)),F125),""),"")</f>
        <v/>
      </c>
      <c r="I125" s="1938">
        <f t="shared" si="1"/>
        <v>-415304.62</v>
      </c>
    </row>
    <row r="126" spans="1:9" x14ac:dyDescent="0.25">
      <c r="A126" t="s">
        <v>3693</v>
      </c>
      <c r="B126" s="1936"/>
      <c r="C126" t="s">
        <v>2187</v>
      </c>
      <c r="D126" s="1936"/>
      <c r="E126" s="1936"/>
      <c r="F126" s="1941">
        <v>-415304.62</v>
      </c>
      <c r="G126" s="1941">
        <v>-329939</v>
      </c>
      <c r="H126" s="1937" t="str">
        <f>IFERROR(IF(F126&gt;=VLOOKUP(A126,[2]Materiality!$I$6:$J$12,2,TRUE),IFERROR(IF(VLOOKUP("*CR",F126,1,FALSE)&gt;=0,"",VLOOKUP("*CR",F126,1,FALSE)),F126),""),"")</f>
        <v/>
      </c>
      <c r="I126" s="1938">
        <f t="shared" si="1"/>
        <v>-415304.62</v>
      </c>
    </row>
    <row r="127" spans="1:9" x14ac:dyDescent="0.25">
      <c r="A127" t="s">
        <v>3694</v>
      </c>
      <c r="B127" s="1936"/>
      <c r="C127" t="s">
        <v>2188</v>
      </c>
      <c r="D127" s="1936"/>
      <c r="E127" s="1936"/>
      <c r="F127" s="1941">
        <v>-5117.28</v>
      </c>
      <c r="G127" s="1941">
        <v>-5117.28</v>
      </c>
      <c r="H127" s="1937" t="str">
        <f>IFERROR(IF(F127&gt;=VLOOKUP(A127,[2]Materiality!$I$6:$J$12,2,TRUE),IFERROR(IF(VLOOKUP("*CR",F127,1,FALSE)&gt;=0,"",VLOOKUP("*CR",F127,1,FALSE)),F127),""),"")</f>
        <v/>
      </c>
      <c r="I127" s="1938">
        <f t="shared" si="1"/>
        <v>-5117.28</v>
      </c>
    </row>
    <row r="128" spans="1:9" x14ac:dyDescent="0.25">
      <c r="A128" t="s">
        <v>1231</v>
      </c>
      <c r="B128" s="1936"/>
      <c r="C128" t="s">
        <v>1231</v>
      </c>
      <c r="D128" s="1936"/>
      <c r="E128" s="1936"/>
      <c r="F128" s="1941">
        <v>-5117.28</v>
      </c>
      <c r="G128" s="1941">
        <v>-5117.28</v>
      </c>
      <c r="H128" s="1937" t="str">
        <f>IFERROR(IF(F128&gt;=VLOOKUP(A128,[2]Materiality!$I$6:$J$12,2,TRUE),IFERROR(IF(VLOOKUP("*CR",F128,1,FALSE)&gt;=0,"",VLOOKUP("*CR",F128,1,FALSE)),F128),""),"")</f>
        <v/>
      </c>
      <c r="I128" s="1938">
        <f t="shared" si="1"/>
        <v>-5117.28</v>
      </c>
    </row>
    <row r="129" spans="1:9" x14ac:dyDescent="0.25">
      <c r="A129" t="s">
        <v>3695</v>
      </c>
      <c r="B129" s="1936"/>
      <c r="C129" t="s">
        <v>2189</v>
      </c>
      <c r="D129" s="1936"/>
      <c r="E129" s="1936"/>
      <c r="F129" s="1941">
        <v>-5117.28</v>
      </c>
      <c r="G129" s="1941">
        <v>-5117.28</v>
      </c>
      <c r="H129" s="1937" t="str">
        <f>IFERROR(IF(F129&gt;=VLOOKUP(A129,[2]Materiality!$I$6:$J$12,2,TRUE),IFERROR(IF(VLOOKUP("*CR",F129,1,FALSE)&gt;=0,"",VLOOKUP("*CR",F129,1,FALSE)),F129),""),"")</f>
        <v/>
      </c>
      <c r="I129" s="1938">
        <f t="shared" si="1"/>
        <v>-5117.28</v>
      </c>
    </row>
    <row r="130" spans="1:9" x14ac:dyDescent="0.25">
      <c r="A130" t="s">
        <v>3696</v>
      </c>
      <c r="B130" s="1936"/>
      <c r="C130" t="s">
        <v>2102</v>
      </c>
      <c r="D130" s="1936"/>
      <c r="E130" s="1936"/>
      <c r="F130" s="1941">
        <v>0</v>
      </c>
      <c r="G130" s="1941">
        <v>0</v>
      </c>
      <c r="H130" s="1937" t="str">
        <f>IFERROR(IF(F130&gt;=VLOOKUP(A130,[2]Materiality!$I$6:$J$12,2,TRUE),IFERROR(IF(VLOOKUP("*CR",F130,1,FALSE)&gt;=0,"",VLOOKUP("*CR",F130,1,FALSE)),F130),""),"")</f>
        <v/>
      </c>
      <c r="I130" s="1938">
        <f t="shared" si="1"/>
        <v>0</v>
      </c>
    </row>
    <row r="131" spans="1:9" x14ac:dyDescent="0.25">
      <c r="A131" t="s">
        <v>1231</v>
      </c>
      <c r="B131" s="1936"/>
      <c r="C131" t="s">
        <v>1231</v>
      </c>
      <c r="D131" s="1936"/>
      <c r="E131" s="1936"/>
      <c r="F131" s="1941">
        <v>0</v>
      </c>
      <c r="G131" s="1941">
        <v>0</v>
      </c>
      <c r="H131" s="1937" t="str">
        <f>IFERROR(IF(F131&gt;=VLOOKUP(A131,[2]Materiality!$I$6:$J$12,2,TRUE),IFERROR(IF(VLOOKUP("*CR",F131,1,FALSE)&gt;=0,"",VLOOKUP("*CR",F131,1,FALSE)),F131),""),"")</f>
        <v/>
      </c>
      <c r="I131" s="1938">
        <f t="shared" si="1"/>
        <v>0</v>
      </c>
    </row>
    <row r="132" spans="1:9" x14ac:dyDescent="0.25">
      <c r="A132" t="s">
        <v>225</v>
      </c>
      <c r="B132" s="1936"/>
      <c r="C132" t="s">
        <v>2190</v>
      </c>
      <c r="D132" s="1936"/>
      <c r="E132" s="1936"/>
      <c r="F132" s="1941">
        <v>0</v>
      </c>
      <c r="G132" s="1941">
        <v>0</v>
      </c>
      <c r="H132" s="1937" t="str">
        <f>IFERROR(IF(F132&gt;=VLOOKUP(A132,[2]Materiality!$I$6:$J$12,2,TRUE),IFERROR(IF(VLOOKUP("*CR",F132,1,FALSE)&gt;=0,"",VLOOKUP("*CR",F132,1,FALSE)),F132),""),"")</f>
        <v/>
      </c>
      <c r="I132" s="1938">
        <f t="shared" ref="I132:I195" si="2">IF(F132&lt;0,F132,0)</f>
        <v>0</v>
      </c>
    </row>
    <row r="133" spans="1:9" x14ac:dyDescent="0.25">
      <c r="A133" t="s">
        <v>3697</v>
      </c>
      <c r="B133" s="1936"/>
      <c r="C133" t="s">
        <v>2102</v>
      </c>
      <c r="D133" s="1936"/>
      <c r="E133" s="1936"/>
      <c r="F133" s="1941">
        <v>0</v>
      </c>
      <c r="G133" s="1941">
        <v>0</v>
      </c>
      <c r="H133" s="1937" t="str">
        <f>IFERROR(IF(F133&gt;=VLOOKUP(A133,[2]Materiality!$I$6:$J$12,2,TRUE),IFERROR(IF(VLOOKUP("*CR",F133,1,FALSE)&gt;=0,"",VLOOKUP("*CR",F133,1,FALSE)),F133),""),"")</f>
        <v/>
      </c>
      <c r="I133" s="1938">
        <f t="shared" si="2"/>
        <v>0</v>
      </c>
    </row>
    <row r="134" spans="1:9" x14ac:dyDescent="0.25">
      <c r="A134" t="s">
        <v>1231</v>
      </c>
      <c r="B134" s="1936"/>
      <c r="C134" t="s">
        <v>1231</v>
      </c>
      <c r="D134" s="1936"/>
      <c r="E134" s="1936"/>
      <c r="F134" s="1941">
        <v>0</v>
      </c>
      <c r="G134" s="1941">
        <v>0</v>
      </c>
      <c r="H134" s="1937" t="str">
        <f>IFERROR(IF(F134&gt;=VLOOKUP(A134,[2]Materiality!$I$6:$J$12,2,TRUE),IFERROR(IF(VLOOKUP("*CR",F134,1,FALSE)&gt;=0,"",VLOOKUP("*CR",F134,1,FALSE)),F134),""),"")</f>
        <v/>
      </c>
      <c r="I134" s="1938">
        <f t="shared" si="2"/>
        <v>0</v>
      </c>
    </row>
    <row r="135" spans="1:9" x14ac:dyDescent="0.25">
      <c r="A135" t="s">
        <v>255</v>
      </c>
      <c r="B135" s="1936"/>
      <c r="C135" t="s">
        <v>2191</v>
      </c>
      <c r="D135" s="1936"/>
      <c r="E135" s="1936"/>
      <c r="F135" s="1941">
        <v>0</v>
      </c>
      <c r="G135" s="1941">
        <v>0</v>
      </c>
      <c r="H135" s="1937" t="str">
        <f>IFERROR(IF(F135&gt;=VLOOKUP(A135,[2]Materiality!$I$6:$J$12,2,TRUE),IFERROR(IF(VLOOKUP("*CR",F135,1,FALSE)&gt;=0,"",VLOOKUP("*CR",F135,1,FALSE)),F135),""),"")</f>
        <v/>
      </c>
      <c r="I135" s="1938">
        <f t="shared" si="2"/>
        <v>0</v>
      </c>
    </row>
    <row r="136" spans="1:9" x14ac:dyDescent="0.25">
      <c r="A136" s="1946" t="s">
        <v>3836</v>
      </c>
      <c r="B136" s="1936"/>
      <c r="C136" t="s">
        <v>2192</v>
      </c>
      <c r="D136" s="1936"/>
      <c r="E136" s="1936"/>
      <c r="F136" s="1941">
        <v>-76111.710000000006</v>
      </c>
      <c r="G136" s="1941">
        <v>-65000</v>
      </c>
      <c r="H136" s="1937" t="str">
        <f>IFERROR(IF(F136&gt;=VLOOKUP(A136,[2]Materiality!$I$6:$J$12,2,TRUE),IFERROR(IF(VLOOKUP("*CR",F136,1,FALSE)&gt;=0,"",VLOOKUP("*CR",F136,1,FALSE)),F136),""),"")</f>
        <v/>
      </c>
      <c r="I136" s="1938">
        <f t="shared" si="2"/>
        <v>-76111.710000000006</v>
      </c>
    </row>
    <row r="137" spans="1:9" x14ac:dyDescent="0.25">
      <c r="A137" t="s">
        <v>1231</v>
      </c>
      <c r="B137" s="1936"/>
      <c r="C137" t="s">
        <v>1231</v>
      </c>
      <c r="D137" s="1936"/>
      <c r="E137" s="1936"/>
      <c r="F137" s="1941">
        <v>-76111.710000000006</v>
      </c>
      <c r="G137" s="1941">
        <v>-65000</v>
      </c>
      <c r="H137" s="1937" t="str">
        <f>IFERROR(IF(F137&gt;=VLOOKUP(A137,[2]Materiality!$I$6:$J$12,2,TRUE),IFERROR(IF(VLOOKUP("*CR",F137,1,FALSE)&gt;=0,"",VLOOKUP("*CR",F137,1,FALSE)),F137),""),"")</f>
        <v/>
      </c>
      <c r="I137" s="1938">
        <f t="shared" si="2"/>
        <v>-76111.710000000006</v>
      </c>
    </row>
    <row r="138" spans="1:9" x14ac:dyDescent="0.25">
      <c r="A138" t="s">
        <v>3698</v>
      </c>
      <c r="B138" s="1936"/>
      <c r="C138" t="s">
        <v>2193</v>
      </c>
      <c r="D138" s="1936"/>
      <c r="E138" s="1936"/>
      <c r="F138" s="1941">
        <v>-76111.710000000006</v>
      </c>
      <c r="G138" s="1941">
        <v>-65000</v>
      </c>
      <c r="H138" s="1937" t="str">
        <f>IFERROR(IF(F138&gt;=VLOOKUP(A138,[2]Materiality!$I$6:$J$12,2,TRUE),IFERROR(IF(VLOOKUP("*CR",F138,1,FALSE)&gt;=0,"",VLOOKUP("*CR",F138,1,FALSE)),F138),""),"")</f>
        <v/>
      </c>
      <c r="I138" s="1938">
        <f t="shared" si="2"/>
        <v>-76111.710000000006</v>
      </c>
    </row>
    <row r="139" spans="1:9" x14ac:dyDescent="0.25">
      <c r="A139" t="s">
        <v>3699</v>
      </c>
      <c r="B139" s="1936"/>
      <c r="C139" t="s">
        <v>2194</v>
      </c>
      <c r="D139" s="1936"/>
      <c r="E139" s="1936"/>
      <c r="F139" s="1941">
        <v>-45917</v>
      </c>
      <c r="G139" s="1941">
        <v>-108800</v>
      </c>
      <c r="H139" s="1937" t="str">
        <f>IFERROR(IF(F139&gt;=VLOOKUP(A139,[2]Materiality!$I$6:$J$12,2,TRUE),IFERROR(IF(VLOOKUP("*CR",F139,1,FALSE)&gt;=0,"",VLOOKUP("*CR",F139,1,FALSE)),F139),""),"")</f>
        <v/>
      </c>
      <c r="I139" s="1938">
        <f t="shared" si="2"/>
        <v>-45917</v>
      </c>
    </row>
    <row r="140" spans="1:9" x14ac:dyDescent="0.25">
      <c r="A140" t="s">
        <v>1231</v>
      </c>
      <c r="B140" s="1936"/>
      <c r="C140" t="s">
        <v>1231</v>
      </c>
      <c r="D140" s="1936"/>
      <c r="E140" s="1936"/>
      <c r="F140" s="1941">
        <v>-45917</v>
      </c>
      <c r="G140" s="1941">
        <v>-108800</v>
      </c>
      <c r="H140" s="1937" t="str">
        <f>IFERROR(IF(F140&gt;=VLOOKUP(A140,[2]Materiality!$I$6:$J$12,2,TRUE),IFERROR(IF(VLOOKUP("*CR",F140,1,FALSE)&gt;=0,"",VLOOKUP("*CR",F140,1,FALSE)),F140),""),"")</f>
        <v/>
      </c>
      <c r="I140" s="1938">
        <f t="shared" si="2"/>
        <v>-45917</v>
      </c>
    </row>
    <row r="141" spans="1:9" x14ac:dyDescent="0.25">
      <c r="A141" t="s">
        <v>3700</v>
      </c>
      <c r="B141" s="1936"/>
      <c r="C141" t="s">
        <v>2195</v>
      </c>
      <c r="D141" s="1936"/>
      <c r="E141" s="1936"/>
      <c r="F141" s="1941">
        <v>-45917</v>
      </c>
      <c r="G141" s="1941">
        <v>-108800</v>
      </c>
      <c r="H141" s="1937" t="str">
        <f>IFERROR(IF(F141&gt;=VLOOKUP(A141,[2]Materiality!$I$6:$J$12,2,TRUE),IFERROR(IF(VLOOKUP("*CR",F141,1,FALSE)&gt;=0,"",VLOOKUP("*CR",F141,1,FALSE)),F141),""),"")</f>
        <v/>
      </c>
      <c r="I141" s="1938">
        <f t="shared" si="2"/>
        <v>-45917</v>
      </c>
    </row>
    <row r="142" spans="1:9" x14ac:dyDescent="0.25">
      <c r="A142" t="s">
        <v>3701</v>
      </c>
      <c r="B142" s="1936"/>
      <c r="C142" t="s">
        <v>2196</v>
      </c>
      <c r="D142" s="1936"/>
      <c r="E142" s="1936"/>
      <c r="F142" s="1941">
        <v>-210880.34</v>
      </c>
      <c r="G142" s="1941">
        <v>-1000</v>
      </c>
      <c r="H142" s="1937" t="str">
        <f>IFERROR(IF(F142&gt;=VLOOKUP(A142,[2]Materiality!$I$6:$J$12,2,TRUE),IFERROR(IF(VLOOKUP("*CR",F142,1,FALSE)&gt;=0,"",VLOOKUP("*CR",F142,1,FALSE)),F142),""),"")</f>
        <v/>
      </c>
      <c r="I142" s="1938">
        <f t="shared" si="2"/>
        <v>-210880.34</v>
      </c>
    </row>
    <row r="143" spans="1:9" x14ac:dyDescent="0.25">
      <c r="A143" t="s">
        <v>1231</v>
      </c>
      <c r="B143" s="1936"/>
      <c r="C143" t="s">
        <v>1231</v>
      </c>
      <c r="D143" s="1936"/>
      <c r="E143" s="1936"/>
      <c r="F143" s="1941">
        <v>-210880.34</v>
      </c>
      <c r="G143" s="1941">
        <v>-1000</v>
      </c>
      <c r="H143" s="1937" t="str">
        <f>IFERROR(IF(F143&gt;=VLOOKUP(A143,[2]Materiality!$I$6:$J$12,2,TRUE),IFERROR(IF(VLOOKUP("*CR",F143,1,FALSE)&gt;=0,"",VLOOKUP("*CR",F143,1,FALSE)),F143),""),"")</f>
        <v/>
      </c>
      <c r="I143" s="1938">
        <f t="shared" si="2"/>
        <v>-210880.34</v>
      </c>
    </row>
    <row r="144" spans="1:9" x14ac:dyDescent="0.25">
      <c r="A144" t="s">
        <v>3702</v>
      </c>
      <c r="B144" s="1936"/>
      <c r="C144" t="s">
        <v>2197</v>
      </c>
      <c r="D144" s="1936"/>
      <c r="E144" s="1936"/>
      <c r="F144" s="1941">
        <v>-210880.34</v>
      </c>
      <c r="G144" s="1941">
        <v>-1000</v>
      </c>
      <c r="H144" s="1937" t="str">
        <f>IFERROR(IF(F144&gt;=VLOOKUP(A144,[2]Materiality!$I$6:$J$12,2,TRUE),IFERROR(IF(VLOOKUP("*CR",F144,1,FALSE)&gt;=0,"",VLOOKUP("*CR",F144,1,FALSE)),F144),""),"")</f>
        <v/>
      </c>
      <c r="I144" s="1938">
        <f t="shared" si="2"/>
        <v>-210880.34</v>
      </c>
    </row>
    <row r="145" spans="1:9" x14ac:dyDescent="0.25">
      <c r="A145" t="s">
        <v>3703</v>
      </c>
      <c r="B145" s="1936"/>
      <c r="C145" t="s">
        <v>2198</v>
      </c>
      <c r="D145" s="1936"/>
      <c r="E145" s="1936"/>
      <c r="F145" s="1941">
        <v>-18603</v>
      </c>
      <c r="G145" s="1941">
        <v>-18883</v>
      </c>
      <c r="H145" s="1937" t="str">
        <f>IFERROR(IF(F145&gt;=VLOOKUP(A145,[2]Materiality!$I$6:$J$12,2,TRUE),IFERROR(IF(VLOOKUP("*CR",F145,1,FALSE)&gt;=0,"",VLOOKUP("*CR",F145,1,FALSE)),F145),""),"")</f>
        <v/>
      </c>
      <c r="I145" s="1938">
        <f t="shared" si="2"/>
        <v>-18603</v>
      </c>
    </row>
    <row r="146" spans="1:9" x14ac:dyDescent="0.25">
      <c r="A146" t="s">
        <v>1231</v>
      </c>
      <c r="B146" s="1936"/>
      <c r="C146" t="s">
        <v>1231</v>
      </c>
      <c r="D146" s="1936"/>
      <c r="E146" s="1936"/>
      <c r="F146" s="1941">
        <v>-18603</v>
      </c>
      <c r="G146" s="1941">
        <v>-18883</v>
      </c>
      <c r="H146" s="1937" t="str">
        <f>IFERROR(IF(F146&gt;=VLOOKUP(A146,[2]Materiality!$I$6:$J$12,2,TRUE),IFERROR(IF(VLOOKUP("*CR",F146,1,FALSE)&gt;=0,"",VLOOKUP("*CR",F146,1,FALSE)),F146),""),"")</f>
        <v/>
      </c>
      <c r="I146" s="1938">
        <f t="shared" si="2"/>
        <v>-18603</v>
      </c>
    </row>
    <row r="147" spans="1:9" x14ac:dyDescent="0.25">
      <c r="A147" t="s">
        <v>3704</v>
      </c>
      <c r="B147" s="1936"/>
      <c r="C147" t="s">
        <v>2199</v>
      </c>
      <c r="D147" s="1936"/>
      <c r="E147" s="1936"/>
      <c r="F147" s="1941">
        <v>-18603</v>
      </c>
      <c r="G147" s="1941">
        <v>-18883</v>
      </c>
      <c r="H147" s="1937" t="str">
        <f>IFERROR(IF(F147&gt;=VLOOKUP(A147,[2]Materiality!$I$6:$J$12,2,TRUE),IFERROR(IF(VLOOKUP("*CR",F147,1,FALSE)&gt;=0,"",VLOOKUP("*CR",F147,1,FALSE)),F147),""),"")</f>
        <v/>
      </c>
      <c r="I147" s="1938">
        <f t="shared" si="2"/>
        <v>-18603</v>
      </c>
    </row>
    <row r="148" spans="1:9" x14ac:dyDescent="0.25">
      <c r="A148" t="s">
        <v>915</v>
      </c>
      <c r="B148" s="1936"/>
      <c r="C148" t="s">
        <v>2200</v>
      </c>
      <c r="D148" s="1936"/>
      <c r="E148" s="1936"/>
      <c r="F148" s="1941">
        <v>-1833628.11</v>
      </c>
      <c r="G148" s="1941">
        <v>-1571739.28</v>
      </c>
      <c r="H148" s="1937" t="str">
        <f>IFERROR(IF(F148&gt;=VLOOKUP(A148,[2]Materiality!$I$6:$J$12,2,TRUE),IFERROR(IF(VLOOKUP("*CR",F148,1,FALSE)&gt;=0,"",VLOOKUP("*CR",F148,1,FALSE)),F148),""),"")</f>
        <v/>
      </c>
      <c r="I148" s="1938">
        <f t="shared" si="2"/>
        <v>-1833628.11</v>
      </c>
    </row>
    <row r="149" spans="1:9" x14ac:dyDescent="0.25">
      <c r="A149" t="s">
        <v>3705</v>
      </c>
      <c r="B149" s="1936"/>
      <c r="C149" t="s">
        <v>2201</v>
      </c>
      <c r="D149" s="1936"/>
      <c r="E149" s="1936"/>
      <c r="F149" s="1941">
        <v>-1727215</v>
      </c>
      <c r="G149" s="1941">
        <v>-1727215</v>
      </c>
      <c r="H149" s="1937" t="str">
        <f>IFERROR(IF(F149&gt;=VLOOKUP(A149,[2]Materiality!$I$6:$J$12,2,TRUE),IFERROR(IF(VLOOKUP("*CR",F149,1,FALSE)&gt;=0,"",VLOOKUP("*CR",F149,1,FALSE)),F149),""),"")</f>
        <v/>
      </c>
      <c r="I149" s="1938">
        <f t="shared" si="2"/>
        <v>-1727215</v>
      </c>
    </row>
    <row r="150" spans="1:9" x14ac:dyDescent="0.25">
      <c r="A150" t="s">
        <v>1231</v>
      </c>
      <c r="B150" s="1936"/>
      <c r="C150" t="s">
        <v>1231</v>
      </c>
      <c r="D150" s="1936"/>
      <c r="E150" s="1936"/>
      <c r="F150" s="1941">
        <v>-1727215</v>
      </c>
      <c r="G150" s="1941">
        <v>-1727215</v>
      </c>
      <c r="H150" s="1937" t="str">
        <f>IFERROR(IF(F150&gt;=VLOOKUP(A150,[2]Materiality!$I$6:$J$12,2,TRUE),IFERROR(IF(VLOOKUP("*CR",F150,1,FALSE)&gt;=0,"",VLOOKUP("*CR",F150,1,FALSE)),F150),""),"")</f>
        <v/>
      </c>
      <c r="I150" s="1938">
        <f t="shared" si="2"/>
        <v>-1727215</v>
      </c>
    </row>
    <row r="151" spans="1:9" x14ac:dyDescent="0.25">
      <c r="A151" t="s">
        <v>3706</v>
      </c>
      <c r="B151" s="1936"/>
      <c r="C151" t="s">
        <v>2202</v>
      </c>
      <c r="D151" s="1936"/>
      <c r="E151" s="1936"/>
      <c r="F151" s="1941">
        <v>-1727215</v>
      </c>
      <c r="G151" s="1941">
        <v>-1727215</v>
      </c>
      <c r="H151" s="1937" t="str">
        <f>IFERROR(IF(F151&gt;=VLOOKUP(A151,[2]Materiality!$I$6:$J$12,2,TRUE),IFERROR(IF(VLOOKUP("*CR",F151,1,FALSE)&gt;=0,"",VLOOKUP("*CR",F151,1,FALSE)),F151),""),"")</f>
        <v/>
      </c>
      <c r="I151" s="1938">
        <f t="shared" si="2"/>
        <v>-1727215</v>
      </c>
    </row>
    <row r="152" spans="1:9" x14ac:dyDescent="0.25">
      <c r="A152" t="s">
        <v>3707</v>
      </c>
      <c r="B152" s="1936"/>
      <c r="C152" t="s">
        <v>2203</v>
      </c>
      <c r="D152" s="1936"/>
      <c r="E152" s="1936"/>
      <c r="F152" s="1941">
        <v>-1727215</v>
      </c>
      <c r="G152" s="1941">
        <v>-1727215</v>
      </c>
      <c r="H152" s="1937" t="str">
        <f>IFERROR(IF(F152&gt;=VLOOKUP(A152,[2]Materiality!$I$6:$J$12,2,TRUE),IFERROR(IF(VLOOKUP("*CR",F152,1,FALSE)&gt;=0,"",VLOOKUP("*CR",F152,1,FALSE)),F152),""),"")</f>
        <v/>
      </c>
      <c r="I152" s="1938">
        <f t="shared" si="2"/>
        <v>-1727215</v>
      </c>
    </row>
    <row r="153" spans="1:9" x14ac:dyDescent="0.25">
      <c r="A153" t="s">
        <v>2204</v>
      </c>
      <c r="B153" s="1936"/>
      <c r="C153" t="s">
        <v>82</v>
      </c>
      <c r="D153" s="1936"/>
      <c r="E153" s="1936"/>
      <c r="F153" s="1941">
        <v>-19678065.989999998</v>
      </c>
      <c r="G153" s="1941">
        <v>-19110368</v>
      </c>
      <c r="H153" s="1937" t="str">
        <f>IFERROR(IF(F153&gt;=VLOOKUP(A153,[2]Materiality!$I$6:$J$12,2,TRUE),IFERROR(IF(VLOOKUP("*CR",F153,1,FALSE)&gt;=0,"",VLOOKUP("*CR",F153,1,FALSE)),F153),""),"")</f>
        <v/>
      </c>
      <c r="I153" s="1938">
        <f t="shared" si="2"/>
        <v>-19678065.989999998</v>
      </c>
    </row>
    <row r="154" spans="1:9" x14ac:dyDescent="0.25">
      <c r="A154" t="s">
        <v>3893</v>
      </c>
      <c r="B154" s="1936"/>
      <c r="C154" t="s">
        <v>2205</v>
      </c>
      <c r="D154" s="1936"/>
      <c r="E154" s="1936"/>
      <c r="F154" s="1941">
        <v>922275.12</v>
      </c>
      <c r="G154" s="1941">
        <v>922276</v>
      </c>
      <c r="H154" s="1937">
        <f>IFERROR(IF(F154&gt;=VLOOKUP(A154,[2]Materiality!$I$6:$J$12,2,TRUE),IFERROR(IF(VLOOKUP("*CR",F154,1,FALSE)&gt;=0,"",VLOOKUP("*CR",F154,1,FALSE)),F154),""),"")</f>
        <v>922275.12</v>
      </c>
      <c r="I154" s="1938">
        <f t="shared" si="2"/>
        <v>0</v>
      </c>
    </row>
    <row r="155" spans="1:9" x14ac:dyDescent="0.25">
      <c r="A155" t="s">
        <v>3893</v>
      </c>
      <c r="B155" s="1936"/>
      <c r="C155" t="s">
        <v>2206</v>
      </c>
      <c r="D155" s="1936"/>
      <c r="E155" s="1936"/>
      <c r="F155" s="1941">
        <v>751747.06</v>
      </c>
      <c r="G155" s="1941">
        <v>751885</v>
      </c>
      <c r="H155" s="1937">
        <f>IFERROR(IF(F155&gt;=VLOOKUP(A155,[2]Materiality!$I$6:$J$12,2,TRUE),IFERROR(IF(VLOOKUP("*CR",F155,1,FALSE)&gt;=0,"",VLOOKUP("*CR",F155,1,FALSE)),F155),""),"")</f>
        <v>751747.06</v>
      </c>
      <c r="I155" s="1938">
        <f t="shared" si="2"/>
        <v>0</v>
      </c>
    </row>
    <row r="156" spans="1:9" x14ac:dyDescent="0.25">
      <c r="A156" t="s">
        <v>3893</v>
      </c>
      <c r="B156" s="1936"/>
      <c r="C156" t="s">
        <v>2207</v>
      </c>
      <c r="D156" s="1936"/>
      <c r="E156" s="1936"/>
      <c r="F156" s="1941">
        <v>855423.73</v>
      </c>
      <c r="G156" s="1941">
        <v>857484</v>
      </c>
      <c r="H156" s="1937">
        <f>IFERROR(IF(F156&gt;=VLOOKUP(A156,[2]Materiality!$I$6:$J$12,2,TRUE),IFERROR(IF(VLOOKUP("*CR",F156,1,FALSE)&gt;=0,"",VLOOKUP("*CR",F156,1,FALSE)),F156),""),"")</f>
        <v>855423.73</v>
      </c>
      <c r="I156" s="1938">
        <f t="shared" si="2"/>
        <v>0</v>
      </c>
    </row>
    <row r="157" spans="1:9" x14ac:dyDescent="0.25">
      <c r="A157" t="s">
        <v>3893</v>
      </c>
      <c r="B157" s="1936"/>
      <c r="C157" t="s">
        <v>2208</v>
      </c>
      <c r="D157" s="1936"/>
      <c r="E157" s="1936"/>
      <c r="F157" s="1941">
        <v>768739.02</v>
      </c>
      <c r="G157" s="1941">
        <v>768588</v>
      </c>
      <c r="H157" s="1937">
        <f>IFERROR(IF(F157&gt;=VLOOKUP(A157,[2]Materiality!$I$6:$J$12,2,TRUE),IFERROR(IF(VLOOKUP("*CR",F157,1,FALSE)&gt;=0,"",VLOOKUP("*CR",F157,1,FALSE)),F157),""),"")</f>
        <v>768739.02</v>
      </c>
      <c r="I157" s="1938">
        <f t="shared" si="2"/>
        <v>0</v>
      </c>
    </row>
    <row r="158" spans="1:9" x14ac:dyDescent="0.25">
      <c r="A158" t="s">
        <v>3893</v>
      </c>
      <c r="B158" s="1936"/>
      <c r="C158" t="s">
        <v>2209</v>
      </c>
      <c r="D158" s="1936"/>
      <c r="E158" s="1936"/>
      <c r="F158" s="1941">
        <v>1314154.47</v>
      </c>
      <c r="G158" s="1941">
        <v>1316281</v>
      </c>
      <c r="H158" s="1937">
        <f>IFERROR(IF(F158&gt;=VLOOKUP(A158,[2]Materiality!$I$6:$J$12,2,TRUE),IFERROR(IF(VLOOKUP("*CR",F158,1,FALSE)&gt;=0,"",VLOOKUP("*CR",F158,1,FALSE)),F158),""),"")</f>
        <v>1314154.47</v>
      </c>
      <c r="I158" s="1938">
        <f t="shared" si="2"/>
        <v>0</v>
      </c>
    </row>
    <row r="159" spans="1:9" x14ac:dyDescent="0.25">
      <c r="A159" t="s">
        <v>3893</v>
      </c>
      <c r="B159" s="1936"/>
      <c r="C159" t="s">
        <v>2210</v>
      </c>
      <c r="D159" s="1936"/>
      <c r="E159" s="1936"/>
      <c r="F159" s="1941">
        <v>394661.36</v>
      </c>
      <c r="G159" s="1941">
        <v>395120</v>
      </c>
      <c r="H159" s="1937">
        <f>IFERROR(IF(F159&gt;=VLOOKUP(A159,[2]Materiality!$I$6:$J$12,2,TRUE),IFERROR(IF(VLOOKUP("*CR",F159,1,FALSE)&gt;=0,"",VLOOKUP("*CR",F159,1,FALSE)),F159),""),"")</f>
        <v>394661.36</v>
      </c>
      <c r="I159" s="1938">
        <f t="shared" si="2"/>
        <v>0</v>
      </c>
    </row>
    <row r="160" spans="1:9" x14ac:dyDescent="0.25">
      <c r="A160" t="s">
        <v>3893</v>
      </c>
      <c r="B160" s="1936"/>
      <c r="C160" t="s">
        <v>2211</v>
      </c>
      <c r="D160" s="1936"/>
      <c r="E160" s="1936"/>
      <c r="F160" s="1941">
        <v>0</v>
      </c>
      <c r="G160" s="1941">
        <v>0</v>
      </c>
      <c r="H160" s="1937" t="str">
        <f>IFERROR(IF(F160&gt;=VLOOKUP(A160,[2]Materiality!$I$6:$J$12,2,TRUE),IFERROR(IF(VLOOKUP("*CR",F160,1,FALSE)&gt;=0,"",VLOOKUP("*CR",F160,1,FALSE)),F160),""),"")</f>
        <v/>
      </c>
      <c r="I160" s="1938">
        <f t="shared" si="2"/>
        <v>0</v>
      </c>
    </row>
    <row r="161" spans="1:9" x14ac:dyDescent="0.25">
      <c r="A161" t="s">
        <v>3894</v>
      </c>
      <c r="B161" s="1936"/>
      <c r="C161" t="s">
        <v>2212</v>
      </c>
      <c r="D161" s="1936"/>
      <c r="E161" s="1936"/>
      <c r="F161" s="1941">
        <v>0</v>
      </c>
      <c r="G161" s="1941">
        <v>0</v>
      </c>
      <c r="H161" s="1937" t="str">
        <f>IFERROR(IF(F161&gt;=VLOOKUP(A161,[2]Materiality!$I$6:$J$12,2,TRUE),IFERROR(IF(VLOOKUP("*CR",F161,1,FALSE)&gt;=0,"",VLOOKUP("*CR",F161,1,FALSE)),F161),""),"")</f>
        <v/>
      </c>
      <c r="I161" s="1938">
        <f t="shared" si="2"/>
        <v>0</v>
      </c>
    </row>
    <row r="162" spans="1:9" x14ac:dyDescent="0.25">
      <c r="A162" t="s">
        <v>3894</v>
      </c>
      <c r="B162" s="1936"/>
      <c r="C162" t="s">
        <v>2212</v>
      </c>
      <c r="D162" s="1936"/>
      <c r="E162" s="1936"/>
      <c r="F162" s="1941">
        <v>0</v>
      </c>
      <c r="G162" s="1941">
        <v>0</v>
      </c>
      <c r="H162" s="1937" t="str">
        <f>IFERROR(IF(F162&gt;=VLOOKUP(A162,[2]Materiality!$I$6:$J$12,2,TRUE),IFERROR(IF(VLOOKUP("*CR",F162,1,FALSE)&gt;=0,"",VLOOKUP("*CR",F162,1,FALSE)),F162),""),"")</f>
        <v/>
      </c>
      <c r="I162" s="1938">
        <f t="shared" si="2"/>
        <v>0</v>
      </c>
    </row>
    <row r="163" spans="1:9" x14ac:dyDescent="0.25">
      <c r="A163" t="s">
        <v>3894</v>
      </c>
      <c r="B163" s="1936"/>
      <c r="C163" t="s">
        <v>2212</v>
      </c>
      <c r="D163" s="1936"/>
      <c r="E163" s="1936"/>
      <c r="F163" s="1941">
        <v>0</v>
      </c>
      <c r="G163" s="1941">
        <v>0</v>
      </c>
      <c r="H163" s="1937" t="str">
        <f>IFERROR(IF(F163&gt;=VLOOKUP(A163,[2]Materiality!$I$6:$J$12,2,TRUE),IFERROR(IF(VLOOKUP("*CR",F163,1,FALSE)&gt;=0,"",VLOOKUP("*CR",F163,1,FALSE)),F163),""),"")</f>
        <v/>
      </c>
      <c r="I163" s="1938">
        <f t="shared" si="2"/>
        <v>0</v>
      </c>
    </row>
    <row r="164" spans="1:9" x14ac:dyDescent="0.25">
      <c r="A164" t="s">
        <v>3894</v>
      </c>
      <c r="B164" s="1936"/>
      <c r="C164" t="s">
        <v>2212</v>
      </c>
      <c r="D164" s="1936"/>
      <c r="E164" s="1936"/>
      <c r="F164" s="1941">
        <v>0</v>
      </c>
      <c r="G164" s="1941">
        <v>0</v>
      </c>
      <c r="H164" s="1937" t="str">
        <f>IFERROR(IF(F164&gt;=VLOOKUP(A164,[2]Materiality!$I$6:$J$12,2,TRUE),IFERROR(IF(VLOOKUP("*CR",F164,1,FALSE)&gt;=0,"",VLOOKUP("*CR",F164,1,FALSE)),F164),""),"")</f>
        <v/>
      </c>
      <c r="I164" s="1938">
        <f t="shared" si="2"/>
        <v>0</v>
      </c>
    </row>
    <row r="165" spans="1:9" x14ac:dyDescent="0.25">
      <c r="A165" t="s">
        <v>3894</v>
      </c>
      <c r="B165" s="1936"/>
      <c r="C165" t="s">
        <v>2212</v>
      </c>
      <c r="D165" s="1936"/>
      <c r="E165" s="1936"/>
      <c r="F165" s="1941">
        <v>0</v>
      </c>
      <c r="G165" s="1941">
        <v>0</v>
      </c>
      <c r="H165" s="1937" t="str">
        <f>IFERROR(IF(F165&gt;=VLOOKUP(A165,[2]Materiality!$I$6:$J$12,2,TRUE),IFERROR(IF(VLOOKUP("*CR",F165,1,FALSE)&gt;=0,"",VLOOKUP("*CR",F165,1,FALSE)),F165),""),"")</f>
        <v/>
      </c>
      <c r="I165" s="1938">
        <f t="shared" si="2"/>
        <v>0</v>
      </c>
    </row>
    <row r="166" spans="1:9" x14ac:dyDescent="0.25">
      <c r="A166" t="s">
        <v>3895</v>
      </c>
      <c r="B166" s="1936"/>
      <c r="C166" t="s">
        <v>2213</v>
      </c>
      <c r="D166" s="1936"/>
      <c r="E166" s="1936"/>
      <c r="F166" s="1941">
        <v>56036.160000000003</v>
      </c>
      <c r="G166" s="1941">
        <v>56036</v>
      </c>
      <c r="H166" s="1937" t="str">
        <f>IFERROR(IF(F166&gt;=VLOOKUP(A166,[2]Materiality!$I$6:$J$12,2,TRUE),IFERROR(IF(VLOOKUP("*CR",F166,1,FALSE)&gt;=0,"",VLOOKUP("*CR",F166,1,FALSE)),F166),""),"")</f>
        <v/>
      </c>
      <c r="I166" s="1938">
        <f t="shared" si="2"/>
        <v>0</v>
      </c>
    </row>
    <row r="167" spans="1:9" x14ac:dyDescent="0.25">
      <c r="A167" t="s">
        <v>3896</v>
      </c>
      <c r="B167" s="1936"/>
      <c r="C167" t="s">
        <v>2214</v>
      </c>
      <c r="D167" s="1936"/>
      <c r="E167" s="1936"/>
      <c r="F167" s="1941">
        <v>5395</v>
      </c>
      <c r="G167" s="1941">
        <v>5395</v>
      </c>
      <c r="H167" s="1937" t="str">
        <f>IFERROR(IF(F167&gt;=VLOOKUP(A167,[2]Materiality!$I$6:$J$12,2,TRUE),IFERROR(IF(VLOOKUP("*CR",F167,1,FALSE)&gt;=0,"",VLOOKUP("*CR",F167,1,FALSE)),F167),""),"")</f>
        <v/>
      </c>
      <c r="I167" s="1938">
        <f t="shared" si="2"/>
        <v>0</v>
      </c>
    </row>
    <row r="168" spans="1:9" x14ac:dyDescent="0.25">
      <c r="A168" t="s">
        <v>3897</v>
      </c>
      <c r="B168" s="1936"/>
      <c r="C168" t="s">
        <v>2215</v>
      </c>
      <c r="D168" s="1936"/>
      <c r="E168" s="1936"/>
      <c r="F168" s="1941">
        <v>61915.54</v>
      </c>
      <c r="G168" s="1941">
        <v>45000</v>
      </c>
      <c r="H168" s="1937" t="str">
        <f>IFERROR(IF(F168&gt;=VLOOKUP(A168,[2]Materiality!$I$6:$J$12,2,TRUE),IFERROR(IF(VLOOKUP("*CR",F168,1,FALSE)&gt;=0,"",VLOOKUP("*CR",F168,1,FALSE)),F168),""),"")</f>
        <v/>
      </c>
      <c r="I168" s="1938">
        <f t="shared" si="2"/>
        <v>0</v>
      </c>
    </row>
    <row r="169" spans="1:9" x14ac:dyDescent="0.25">
      <c r="A169" t="s">
        <v>3898</v>
      </c>
      <c r="B169" s="1936"/>
      <c r="C169" t="s">
        <v>2216</v>
      </c>
      <c r="D169" s="1936"/>
      <c r="E169" s="1936"/>
      <c r="F169" s="1941">
        <v>104121.65</v>
      </c>
      <c r="G169" s="1941">
        <v>120000</v>
      </c>
      <c r="H169" s="1937" t="str">
        <f>IFERROR(IF(F169&gt;=VLOOKUP(A169,[2]Materiality!$I$6:$J$12,2,TRUE),IFERROR(IF(VLOOKUP("*CR",F169,1,FALSE)&gt;=0,"",VLOOKUP("*CR",F169,1,FALSE)),F169),""),"")</f>
        <v/>
      </c>
      <c r="I169" s="1938">
        <f t="shared" si="2"/>
        <v>0</v>
      </c>
    </row>
    <row r="170" spans="1:9" x14ac:dyDescent="0.25">
      <c r="A170" t="s">
        <v>3899</v>
      </c>
      <c r="B170" s="1936"/>
      <c r="C170" t="s">
        <v>2217</v>
      </c>
      <c r="D170" s="1936"/>
      <c r="E170" s="1936"/>
      <c r="F170" s="1941">
        <v>700</v>
      </c>
      <c r="G170" s="1941">
        <v>1000</v>
      </c>
      <c r="H170" s="1937" t="str">
        <f>IFERROR(IF(F170&gt;=VLOOKUP(A170,[2]Materiality!$I$6:$J$12,2,TRUE),IFERROR(IF(VLOOKUP("*CR",F170,1,FALSE)&gt;=0,"",VLOOKUP("*CR",F170,1,FALSE)),F170),""),"")</f>
        <v/>
      </c>
      <c r="I170" s="1938">
        <f t="shared" si="2"/>
        <v>0</v>
      </c>
    </row>
    <row r="171" spans="1:9" x14ac:dyDescent="0.25">
      <c r="A171" t="s">
        <v>3900</v>
      </c>
      <c r="B171" s="1936"/>
      <c r="C171" t="s">
        <v>2218</v>
      </c>
      <c r="D171" s="1936"/>
      <c r="E171" s="1936"/>
      <c r="F171" s="1941">
        <v>42660.19</v>
      </c>
      <c r="G171" s="1941">
        <v>45000</v>
      </c>
      <c r="H171" s="1937" t="str">
        <f>IFERROR(IF(F171&gt;=VLOOKUP(A171,[2]Materiality!$I$6:$J$12,2,TRUE),IFERROR(IF(VLOOKUP("*CR",F171,1,FALSE)&gt;=0,"",VLOOKUP("*CR",F171,1,FALSE)),F171),""),"")</f>
        <v/>
      </c>
      <c r="I171" s="1938">
        <f t="shared" si="2"/>
        <v>0</v>
      </c>
    </row>
    <row r="172" spans="1:9" x14ac:dyDescent="0.25">
      <c r="A172" t="s">
        <v>3901</v>
      </c>
      <c r="B172" s="1936"/>
      <c r="C172" t="s">
        <v>2219</v>
      </c>
      <c r="D172" s="1936"/>
      <c r="E172" s="1936"/>
      <c r="F172" s="1941">
        <v>0</v>
      </c>
      <c r="G172" s="1941">
        <v>1000</v>
      </c>
      <c r="H172" s="1937" t="str">
        <f>IFERROR(IF(F172&gt;=VLOOKUP(A172,[2]Materiality!$I$6:$J$12,2,TRUE),IFERROR(IF(VLOOKUP("*CR",F172,1,FALSE)&gt;=0,"",VLOOKUP("*CR",F172,1,FALSE)),F172),""),"")</f>
        <v/>
      </c>
      <c r="I172" s="1938">
        <f t="shared" si="2"/>
        <v>0</v>
      </c>
    </row>
    <row r="173" spans="1:9" x14ac:dyDescent="0.25">
      <c r="A173" t="s">
        <v>3902</v>
      </c>
      <c r="B173" s="1936"/>
      <c r="C173" t="s">
        <v>2220</v>
      </c>
      <c r="D173" s="1936"/>
      <c r="E173" s="1936"/>
      <c r="F173" s="1941">
        <v>3800</v>
      </c>
      <c r="G173" s="1941">
        <v>3800</v>
      </c>
      <c r="H173" s="1937" t="str">
        <f>IFERROR(IF(F173&gt;=VLOOKUP(A173,[2]Materiality!$I$6:$J$12,2,TRUE),IFERROR(IF(VLOOKUP("*CR",F173,1,FALSE)&gt;=0,"",VLOOKUP("*CR",F173,1,FALSE)),F173),""),"")</f>
        <v/>
      </c>
      <c r="I173" s="1938">
        <f t="shared" si="2"/>
        <v>0</v>
      </c>
    </row>
    <row r="174" spans="1:9" x14ac:dyDescent="0.25">
      <c r="A174" t="s">
        <v>3638</v>
      </c>
      <c r="B174" s="1936"/>
      <c r="C174" t="s">
        <v>203</v>
      </c>
      <c r="D174" s="1936"/>
      <c r="E174" s="1936"/>
      <c r="F174" s="1941">
        <v>5281629.58</v>
      </c>
      <c r="G174" s="1941">
        <v>5288865</v>
      </c>
      <c r="H174" s="1937">
        <f>IFERROR(IF(F174&gt;=VLOOKUP(A174,[2]Materiality!$I$6:$J$12,2,TRUE),IFERROR(IF(VLOOKUP("*CR",F174,1,FALSE)&gt;=0,"",VLOOKUP("*CR",F174,1,FALSE)),F174),""),"")</f>
        <v>5281629.58</v>
      </c>
      <c r="I174" s="1938">
        <f t="shared" si="2"/>
        <v>0</v>
      </c>
    </row>
    <row r="175" spans="1:9" x14ac:dyDescent="0.25">
      <c r="A175" t="s">
        <v>3903</v>
      </c>
      <c r="B175" s="1936"/>
      <c r="C175" t="s">
        <v>2221</v>
      </c>
      <c r="D175" s="1936"/>
      <c r="E175" s="1936"/>
      <c r="F175" s="1941">
        <v>106526.52</v>
      </c>
      <c r="G175" s="1941">
        <v>106527</v>
      </c>
      <c r="H175" s="1937" t="str">
        <f>IFERROR(IF(F175&gt;=VLOOKUP(A175,[2]Materiality!$I$6:$J$12,2,TRUE),IFERROR(IF(VLOOKUP("*CR",F175,1,FALSE)&gt;=0,"",VLOOKUP("*CR",F175,1,FALSE)),F175),""),"")</f>
        <v/>
      </c>
      <c r="I175" s="1938">
        <f t="shared" si="2"/>
        <v>0</v>
      </c>
    </row>
    <row r="176" spans="1:9" x14ac:dyDescent="0.25">
      <c r="A176" t="s">
        <v>3903</v>
      </c>
      <c r="B176" s="1936"/>
      <c r="C176" t="s">
        <v>2222</v>
      </c>
      <c r="D176" s="1936"/>
      <c r="E176" s="1936"/>
      <c r="F176" s="1941">
        <v>86641.32</v>
      </c>
      <c r="G176" s="1941">
        <v>86657</v>
      </c>
      <c r="H176" s="1937" t="str">
        <f>IFERROR(IF(F176&gt;=VLOOKUP(A176,[2]Materiality!$I$6:$J$12,2,TRUE),IFERROR(IF(VLOOKUP("*CR",F176,1,FALSE)&gt;=0,"",VLOOKUP("*CR",F176,1,FALSE)),F176),""),"")</f>
        <v/>
      </c>
      <c r="I176" s="1938">
        <f t="shared" si="2"/>
        <v>0</v>
      </c>
    </row>
    <row r="177" spans="1:9" x14ac:dyDescent="0.25">
      <c r="A177" t="s">
        <v>3903</v>
      </c>
      <c r="B177" s="1936"/>
      <c r="C177" t="s">
        <v>2223</v>
      </c>
      <c r="D177" s="1936"/>
      <c r="E177" s="1936"/>
      <c r="F177" s="1941">
        <v>97810.62</v>
      </c>
      <c r="G177" s="1941">
        <v>98202</v>
      </c>
      <c r="H177" s="1937" t="str">
        <f>IFERROR(IF(F177&gt;=VLOOKUP(A177,[2]Materiality!$I$6:$J$12,2,TRUE),IFERROR(IF(VLOOKUP("*CR",F177,1,FALSE)&gt;=0,"",VLOOKUP("*CR",F177,1,FALSE)),F177),""),"")</f>
        <v/>
      </c>
      <c r="I177" s="1938">
        <f t="shared" si="2"/>
        <v>0</v>
      </c>
    </row>
    <row r="178" spans="1:9" x14ac:dyDescent="0.25">
      <c r="A178" t="s">
        <v>3903</v>
      </c>
      <c r="B178" s="1936"/>
      <c r="C178" t="s">
        <v>2224</v>
      </c>
      <c r="D178" s="1936"/>
      <c r="E178" s="1936"/>
      <c r="F178" s="1941">
        <v>87818.89</v>
      </c>
      <c r="G178" s="1941">
        <v>87802</v>
      </c>
      <c r="H178" s="1937" t="str">
        <f>IFERROR(IF(F178&gt;=VLOOKUP(A178,[2]Materiality!$I$6:$J$12,2,TRUE),IFERROR(IF(VLOOKUP("*CR",F178,1,FALSE)&gt;=0,"",VLOOKUP("*CR",F178,1,FALSE)),F178),""),"")</f>
        <v/>
      </c>
      <c r="I178" s="1938">
        <f t="shared" si="2"/>
        <v>0</v>
      </c>
    </row>
    <row r="179" spans="1:9" x14ac:dyDescent="0.25">
      <c r="A179" t="s">
        <v>3903</v>
      </c>
      <c r="B179" s="1936"/>
      <c r="C179" t="s">
        <v>2225</v>
      </c>
      <c r="D179" s="1936"/>
      <c r="E179" s="1936"/>
      <c r="F179" s="1941">
        <v>152649.04999999999</v>
      </c>
      <c r="G179" s="1941">
        <v>152252</v>
      </c>
      <c r="H179" s="1937">
        <f>IFERROR(IF(F179&gt;=VLOOKUP(A179,[2]Materiality!$I$6:$J$12,2,TRUE),IFERROR(IF(VLOOKUP("*CR",F179,1,FALSE)&gt;=0,"",VLOOKUP("*CR",F179,1,FALSE)),F179),""),"")</f>
        <v>152649.04999999999</v>
      </c>
      <c r="I179" s="1938">
        <f t="shared" si="2"/>
        <v>0</v>
      </c>
    </row>
    <row r="180" spans="1:9" x14ac:dyDescent="0.25">
      <c r="A180" t="s">
        <v>3903</v>
      </c>
      <c r="B180" s="1936"/>
      <c r="C180" t="s">
        <v>2226</v>
      </c>
      <c r="D180" s="1936"/>
      <c r="E180" s="1936"/>
      <c r="F180" s="1941">
        <v>44885.27</v>
      </c>
      <c r="G180" s="1941">
        <v>44801</v>
      </c>
      <c r="H180" s="1937" t="str">
        <f>IFERROR(IF(F180&gt;=VLOOKUP(A180,[2]Materiality!$I$6:$J$12,2,TRUE),IFERROR(IF(VLOOKUP("*CR",F180,1,FALSE)&gt;=0,"",VLOOKUP("*CR",F180,1,FALSE)),F180),""),"")</f>
        <v/>
      </c>
      <c r="I180" s="1938">
        <f t="shared" si="2"/>
        <v>0</v>
      </c>
    </row>
    <row r="181" spans="1:9" x14ac:dyDescent="0.25">
      <c r="A181" t="s">
        <v>3904</v>
      </c>
      <c r="B181" s="1936"/>
      <c r="C181" t="s">
        <v>2227</v>
      </c>
      <c r="D181" s="1936"/>
      <c r="E181" s="1936"/>
      <c r="F181" s="1941">
        <v>9098.86</v>
      </c>
      <c r="G181" s="1941">
        <v>9098.86</v>
      </c>
      <c r="H181" s="1937" t="str">
        <f>IFERROR(IF(F181&gt;=VLOOKUP(A181,[2]Materiality!$I$6:$J$12,2,TRUE),IFERROR(IF(VLOOKUP("*CR",F181,1,FALSE)&gt;=0,"",VLOOKUP("*CR",F181,1,FALSE)),F181),""),"")</f>
        <v/>
      </c>
      <c r="I181" s="1938">
        <f t="shared" si="2"/>
        <v>0</v>
      </c>
    </row>
    <row r="182" spans="1:9" x14ac:dyDescent="0.25">
      <c r="A182" t="s">
        <v>3905</v>
      </c>
      <c r="B182" s="1936"/>
      <c r="C182" t="s">
        <v>2228</v>
      </c>
      <c r="D182" s="1936"/>
      <c r="E182" s="1936"/>
      <c r="F182" s="1941">
        <v>5301.71</v>
      </c>
      <c r="G182" s="1941">
        <v>5301.71</v>
      </c>
      <c r="H182" s="1937" t="str">
        <f>IFERROR(IF(F182&gt;=VLOOKUP(A182,[2]Materiality!$I$6:$J$12,2,TRUE),IFERROR(IF(VLOOKUP("*CR",F182,1,FALSE)&gt;=0,"",VLOOKUP("*CR",F182,1,FALSE)),F182),""),"")</f>
        <v/>
      </c>
      <c r="I182" s="1938">
        <f t="shared" si="2"/>
        <v>0</v>
      </c>
    </row>
    <row r="183" spans="1:9" x14ac:dyDescent="0.25">
      <c r="A183" t="s">
        <v>3906</v>
      </c>
      <c r="B183" s="1936"/>
      <c r="C183" t="s">
        <v>2229</v>
      </c>
      <c r="D183" s="1936"/>
      <c r="E183" s="1936"/>
      <c r="F183" s="1941">
        <v>136748.89000000001</v>
      </c>
      <c r="G183" s="1941">
        <v>138277</v>
      </c>
      <c r="H183" s="1937">
        <f>IFERROR(IF(F183&gt;=VLOOKUP(A183,[2]Materiality!$I$6:$J$12,2,TRUE),IFERROR(IF(VLOOKUP("*CR",F183,1,FALSE)&gt;=0,"",VLOOKUP("*CR",F183,1,FALSE)),F183),""),"")</f>
        <v>136748.89000000001</v>
      </c>
      <c r="I183" s="1938">
        <f t="shared" si="2"/>
        <v>0</v>
      </c>
    </row>
    <row r="184" spans="1:9" x14ac:dyDescent="0.25">
      <c r="A184" t="s">
        <v>3906</v>
      </c>
      <c r="B184" s="1936"/>
      <c r="C184" t="s">
        <v>2230</v>
      </c>
      <c r="D184" s="1936"/>
      <c r="E184" s="1936"/>
      <c r="F184" s="1941">
        <v>136461.20000000001</v>
      </c>
      <c r="G184" s="1941">
        <v>136462</v>
      </c>
      <c r="H184" s="1937">
        <f>IFERROR(IF(F184&gt;=VLOOKUP(A184,[2]Materiality!$I$6:$J$12,2,TRUE),IFERROR(IF(VLOOKUP("*CR",F184,1,FALSE)&gt;=0,"",VLOOKUP("*CR",F184,1,FALSE)),F184),""),"")</f>
        <v>136461.20000000001</v>
      </c>
      <c r="I184" s="1938">
        <f t="shared" si="2"/>
        <v>0</v>
      </c>
    </row>
    <row r="185" spans="1:9" x14ac:dyDescent="0.25">
      <c r="A185" t="s">
        <v>3906</v>
      </c>
      <c r="B185" s="1936"/>
      <c r="C185" t="s">
        <v>2231</v>
      </c>
      <c r="D185" s="1936"/>
      <c r="E185" s="1936"/>
      <c r="F185" s="1941">
        <v>132526.01</v>
      </c>
      <c r="G185" s="1941">
        <v>132526</v>
      </c>
      <c r="H185" s="1937">
        <f>IFERROR(IF(F185&gt;=VLOOKUP(A185,[2]Materiality!$I$6:$J$12,2,TRUE),IFERROR(IF(VLOOKUP("*CR",F185,1,FALSE)&gt;=0,"",VLOOKUP("*CR",F185,1,FALSE)),F185),""),"")</f>
        <v>132526.01</v>
      </c>
      <c r="I185" s="1938">
        <f t="shared" si="2"/>
        <v>0</v>
      </c>
    </row>
    <row r="186" spans="1:9" x14ac:dyDescent="0.25">
      <c r="A186" t="s">
        <v>3906</v>
      </c>
      <c r="B186" s="1936"/>
      <c r="C186" t="s">
        <v>2232</v>
      </c>
      <c r="D186" s="1936"/>
      <c r="E186" s="1936"/>
      <c r="F186" s="1941">
        <v>111087.48</v>
      </c>
      <c r="G186" s="1941">
        <v>111088</v>
      </c>
      <c r="H186" s="1937" t="str">
        <f>IFERROR(IF(F186&gt;=VLOOKUP(A186,[2]Materiality!$I$6:$J$12,2,TRUE),IFERROR(IF(VLOOKUP("*CR",F186,1,FALSE)&gt;=0,"",VLOOKUP("*CR",F186,1,FALSE)),F186),""),"")</f>
        <v/>
      </c>
      <c r="I186" s="1938">
        <f t="shared" si="2"/>
        <v>0</v>
      </c>
    </row>
    <row r="187" spans="1:9" x14ac:dyDescent="0.25">
      <c r="A187" t="s">
        <v>3906</v>
      </c>
      <c r="B187" s="1936"/>
      <c r="C187" t="s">
        <v>2233</v>
      </c>
      <c r="D187" s="1936"/>
      <c r="E187" s="1936"/>
      <c r="F187" s="1941">
        <v>216072.16</v>
      </c>
      <c r="G187" s="1941">
        <v>216072</v>
      </c>
      <c r="H187" s="1937">
        <f>IFERROR(IF(F187&gt;=VLOOKUP(A187,[2]Materiality!$I$6:$J$12,2,TRUE),IFERROR(IF(VLOOKUP("*CR",F187,1,FALSE)&gt;=0,"",VLOOKUP("*CR",F187,1,FALSE)),F187),""),"")</f>
        <v>216072.16</v>
      </c>
      <c r="I187" s="1938">
        <f t="shared" si="2"/>
        <v>0</v>
      </c>
    </row>
    <row r="188" spans="1:9" x14ac:dyDescent="0.25">
      <c r="A188" t="s">
        <v>3906</v>
      </c>
      <c r="B188" s="1936"/>
      <c r="C188" t="s">
        <v>2234</v>
      </c>
      <c r="D188" s="1936"/>
      <c r="E188" s="1936"/>
      <c r="F188" s="1941">
        <v>90923.199999999997</v>
      </c>
      <c r="G188" s="1941">
        <v>108204</v>
      </c>
      <c r="H188" s="1937" t="str">
        <f>IFERROR(IF(F188&gt;=VLOOKUP(A188,[2]Materiality!$I$6:$J$12,2,TRUE),IFERROR(IF(VLOOKUP("*CR",F188,1,FALSE)&gt;=0,"",VLOOKUP("*CR",F188,1,FALSE)),F188),""),"")</f>
        <v/>
      </c>
      <c r="I188" s="1938">
        <f t="shared" si="2"/>
        <v>0</v>
      </c>
    </row>
    <row r="189" spans="1:9" x14ac:dyDescent="0.25">
      <c r="A189" t="s">
        <v>3906</v>
      </c>
      <c r="B189" s="1936"/>
      <c r="C189" t="s">
        <v>2235</v>
      </c>
      <c r="D189" s="1936"/>
      <c r="E189" s="1936"/>
      <c r="F189" s="1941">
        <v>74628.899999999994</v>
      </c>
      <c r="G189" s="1941">
        <v>74182</v>
      </c>
      <c r="H189" s="1937" t="str">
        <f>IFERROR(IF(F189&gt;=VLOOKUP(A189,[2]Materiality!$I$6:$J$12,2,TRUE),IFERROR(IF(VLOOKUP("*CR",F189,1,FALSE)&gt;=0,"",VLOOKUP("*CR",F189,1,FALSE)),F189),""),"")</f>
        <v/>
      </c>
      <c r="I189" s="1938">
        <f t="shared" si="2"/>
        <v>0</v>
      </c>
    </row>
    <row r="190" spans="1:9" x14ac:dyDescent="0.25">
      <c r="A190" t="s">
        <v>3907</v>
      </c>
      <c r="B190" s="1936"/>
      <c r="C190" t="s">
        <v>2236</v>
      </c>
      <c r="D190" s="1936"/>
      <c r="E190" s="1936"/>
      <c r="F190" s="1941">
        <v>0</v>
      </c>
      <c r="G190" s="1941">
        <v>0</v>
      </c>
      <c r="H190" s="1937" t="str">
        <f>IFERROR(IF(F190&gt;=VLOOKUP(A190,[2]Materiality!$I$6:$J$12,2,TRUE),IFERROR(IF(VLOOKUP("*CR",F190,1,FALSE)&gt;=0,"",VLOOKUP("*CR",F190,1,FALSE)),F190),""),"")</f>
        <v/>
      </c>
      <c r="I190" s="1938">
        <f t="shared" si="2"/>
        <v>0</v>
      </c>
    </row>
    <row r="191" spans="1:9" x14ac:dyDescent="0.25">
      <c r="A191" t="s">
        <v>3907</v>
      </c>
      <c r="B191" s="1936"/>
      <c r="C191" t="s">
        <v>2237</v>
      </c>
      <c r="D191" s="1936"/>
      <c r="E191" s="1936"/>
      <c r="F191" s="1941">
        <v>0</v>
      </c>
      <c r="G191" s="1941">
        <v>0</v>
      </c>
      <c r="H191" s="1937" t="str">
        <f>IFERROR(IF(F191&gt;=VLOOKUP(A191,[2]Materiality!$I$6:$J$12,2,TRUE),IFERROR(IF(VLOOKUP("*CR",F191,1,FALSE)&gt;=0,"",VLOOKUP("*CR",F191,1,FALSE)),F191),""),"")</f>
        <v/>
      </c>
      <c r="I191" s="1938">
        <f t="shared" si="2"/>
        <v>0</v>
      </c>
    </row>
    <row r="192" spans="1:9" x14ac:dyDescent="0.25">
      <c r="A192" t="s">
        <v>3907</v>
      </c>
      <c r="B192" s="1936"/>
      <c r="C192" t="s">
        <v>2238</v>
      </c>
      <c r="D192" s="1936"/>
      <c r="E192" s="1936"/>
      <c r="F192" s="1941">
        <v>0</v>
      </c>
      <c r="G192" s="1941">
        <v>0</v>
      </c>
      <c r="H192" s="1937" t="str">
        <f>IFERROR(IF(F192&gt;=VLOOKUP(A192,[2]Materiality!$I$6:$J$12,2,TRUE),IFERROR(IF(VLOOKUP("*CR",F192,1,FALSE)&gt;=0,"",VLOOKUP("*CR",F192,1,FALSE)),F192),""),"")</f>
        <v/>
      </c>
      <c r="I192" s="1938">
        <f t="shared" si="2"/>
        <v>0</v>
      </c>
    </row>
    <row r="193" spans="1:9" x14ac:dyDescent="0.25">
      <c r="A193" t="s">
        <v>3907</v>
      </c>
      <c r="B193" s="1936"/>
      <c r="C193" t="s">
        <v>2239</v>
      </c>
      <c r="D193" s="1936"/>
      <c r="E193" s="1936"/>
      <c r="F193" s="1941">
        <v>0</v>
      </c>
      <c r="G193" s="1941">
        <v>0</v>
      </c>
      <c r="H193" s="1937" t="str">
        <f>IFERROR(IF(F193&gt;=VLOOKUP(A193,[2]Materiality!$I$6:$J$12,2,TRUE),IFERROR(IF(VLOOKUP("*CR",F193,1,FALSE)&gt;=0,"",VLOOKUP("*CR",F193,1,FALSE)),F193),""),"")</f>
        <v/>
      </c>
      <c r="I193" s="1938">
        <f t="shared" si="2"/>
        <v>0</v>
      </c>
    </row>
    <row r="194" spans="1:9" x14ac:dyDescent="0.25">
      <c r="A194" t="s">
        <v>3907</v>
      </c>
      <c r="B194" s="1936"/>
      <c r="C194" t="s">
        <v>2240</v>
      </c>
      <c r="D194" s="1936"/>
      <c r="E194" s="1936"/>
      <c r="F194" s="1941">
        <v>0</v>
      </c>
      <c r="G194" s="1941">
        <v>0</v>
      </c>
      <c r="H194" s="1937" t="str">
        <f>IFERROR(IF(F194&gt;=VLOOKUP(A194,[2]Materiality!$I$6:$J$12,2,TRUE),IFERROR(IF(VLOOKUP("*CR",F194,1,FALSE)&gt;=0,"",VLOOKUP("*CR",F194,1,FALSE)),F194),""),"")</f>
        <v/>
      </c>
      <c r="I194" s="1938">
        <f t="shared" si="2"/>
        <v>0</v>
      </c>
    </row>
    <row r="195" spans="1:9" x14ac:dyDescent="0.25">
      <c r="A195" t="s">
        <v>3907</v>
      </c>
      <c r="B195" s="1936"/>
      <c r="C195" t="s">
        <v>2241</v>
      </c>
      <c r="D195" s="1936"/>
      <c r="E195" s="1936"/>
      <c r="F195" s="1941">
        <v>0</v>
      </c>
      <c r="G195" s="1941">
        <v>0</v>
      </c>
      <c r="H195" s="1937" t="str">
        <f>IFERROR(IF(F195&gt;=VLOOKUP(A195,[2]Materiality!$I$6:$J$12,2,TRUE),IFERROR(IF(VLOOKUP("*CR",F195,1,FALSE)&gt;=0,"",VLOOKUP("*CR",F195,1,FALSE)),F195),""),"")</f>
        <v/>
      </c>
      <c r="I195" s="1938">
        <f t="shared" si="2"/>
        <v>0</v>
      </c>
    </row>
    <row r="196" spans="1:9" x14ac:dyDescent="0.25">
      <c r="A196" t="s">
        <v>3907</v>
      </c>
      <c r="B196" s="1936"/>
      <c r="C196" t="s">
        <v>2242</v>
      </c>
      <c r="D196" s="1936"/>
      <c r="E196" s="1936"/>
      <c r="F196" s="1941">
        <v>0</v>
      </c>
      <c r="G196" s="1941">
        <v>0</v>
      </c>
      <c r="H196" s="1937" t="str">
        <f>IFERROR(IF(F196&gt;=VLOOKUP(A196,[2]Materiality!$I$6:$J$12,2,TRUE),IFERROR(IF(VLOOKUP("*CR",F196,1,FALSE)&gt;=0,"",VLOOKUP("*CR",F196,1,FALSE)),F196),""),"")</f>
        <v/>
      </c>
      <c r="I196" s="1938">
        <f t="shared" ref="I196:I259" si="3">IF(F196&lt;0,F196,0)</f>
        <v>0</v>
      </c>
    </row>
    <row r="197" spans="1:9" x14ac:dyDescent="0.25">
      <c r="A197" t="s">
        <v>3908</v>
      </c>
      <c r="B197" s="1936"/>
      <c r="C197" t="s">
        <v>2243</v>
      </c>
      <c r="D197" s="1936"/>
      <c r="E197" s="1936"/>
      <c r="F197" s="1941">
        <v>1107.9100000000001</v>
      </c>
      <c r="G197" s="1941">
        <v>1092</v>
      </c>
      <c r="H197" s="1937" t="str">
        <f>IFERROR(IF(F197&gt;=VLOOKUP(A197,[2]Materiality!$I$6:$J$12,2,TRUE),IFERROR(IF(VLOOKUP("*CR",F197,1,FALSE)&gt;=0,"",VLOOKUP("*CR",F197,1,FALSE)),F197),""),"")</f>
        <v/>
      </c>
      <c r="I197" s="1938">
        <f t="shared" si="3"/>
        <v>0</v>
      </c>
    </row>
    <row r="198" spans="1:9" x14ac:dyDescent="0.25">
      <c r="A198" t="s">
        <v>3908</v>
      </c>
      <c r="B198" s="1936"/>
      <c r="C198" t="s">
        <v>2244</v>
      </c>
      <c r="D198" s="1936"/>
      <c r="E198" s="1936"/>
      <c r="F198" s="1941">
        <v>1368.72</v>
      </c>
      <c r="G198" s="1941">
        <v>1369</v>
      </c>
      <c r="H198" s="1937" t="str">
        <f>IFERROR(IF(F198&gt;=VLOOKUP(A198,[2]Materiality!$I$6:$J$12,2,TRUE),IFERROR(IF(VLOOKUP("*CR",F198,1,FALSE)&gt;=0,"",VLOOKUP("*CR",F198,1,FALSE)),F198),""),"")</f>
        <v/>
      </c>
      <c r="I198" s="1938">
        <f t="shared" si="3"/>
        <v>0</v>
      </c>
    </row>
    <row r="199" spans="1:9" x14ac:dyDescent="0.25">
      <c r="A199" t="s">
        <v>3908</v>
      </c>
      <c r="B199" s="1936"/>
      <c r="C199" t="s">
        <v>2245</v>
      </c>
      <c r="D199" s="1936"/>
      <c r="E199" s="1936"/>
      <c r="F199" s="1941">
        <v>1162.8</v>
      </c>
      <c r="G199" s="1941">
        <v>1163</v>
      </c>
      <c r="H199" s="1937" t="str">
        <f>IFERROR(IF(F199&gt;=VLOOKUP(A199,[2]Materiality!$I$6:$J$12,2,TRUE),IFERROR(IF(VLOOKUP("*CR",F199,1,FALSE)&gt;=0,"",VLOOKUP("*CR",F199,1,FALSE)),F199),""),"")</f>
        <v/>
      </c>
      <c r="I199" s="1938">
        <f t="shared" si="3"/>
        <v>0</v>
      </c>
    </row>
    <row r="200" spans="1:9" x14ac:dyDescent="0.25">
      <c r="A200" t="s">
        <v>3908</v>
      </c>
      <c r="B200" s="1936"/>
      <c r="C200" t="s">
        <v>2246</v>
      </c>
      <c r="D200" s="1936"/>
      <c r="E200" s="1936"/>
      <c r="F200" s="1941">
        <v>1036.08</v>
      </c>
      <c r="G200" s="1941">
        <v>1036</v>
      </c>
      <c r="H200" s="1937" t="str">
        <f>IFERROR(IF(F200&gt;=VLOOKUP(A200,[2]Materiality!$I$6:$J$12,2,TRUE),IFERROR(IF(VLOOKUP("*CR",F200,1,FALSE)&gt;=0,"",VLOOKUP("*CR",F200,1,FALSE)),F200),""),"")</f>
        <v/>
      </c>
      <c r="I200" s="1938">
        <f t="shared" si="3"/>
        <v>0</v>
      </c>
    </row>
    <row r="201" spans="1:9" x14ac:dyDescent="0.25">
      <c r="A201" t="s">
        <v>3908</v>
      </c>
      <c r="B201" s="1936"/>
      <c r="C201" t="s">
        <v>2247</v>
      </c>
      <c r="D201" s="1936"/>
      <c r="E201" s="1936"/>
      <c r="F201" s="1941">
        <v>1860.9</v>
      </c>
      <c r="G201" s="1941">
        <v>1861</v>
      </c>
      <c r="H201" s="1937" t="str">
        <f>IFERROR(IF(F201&gt;=VLOOKUP(A201,[2]Materiality!$I$6:$J$12,2,TRUE),IFERROR(IF(VLOOKUP("*CR",F201,1,FALSE)&gt;=0,"",VLOOKUP("*CR",F201,1,FALSE)),F201),""),"")</f>
        <v/>
      </c>
      <c r="I201" s="1938">
        <f t="shared" si="3"/>
        <v>0</v>
      </c>
    </row>
    <row r="202" spans="1:9" x14ac:dyDescent="0.25">
      <c r="A202" t="s">
        <v>3908</v>
      </c>
      <c r="B202" s="1936"/>
      <c r="C202" t="s">
        <v>2248</v>
      </c>
      <c r="D202" s="1936"/>
      <c r="E202" s="1936"/>
      <c r="F202" s="1941">
        <v>724.6</v>
      </c>
      <c r="G202" s="1941">
        <v>725</v>
      </c>
      <c r="H202" s="1937" t="str">
        <f>IFERROR(IF(F202&gt;=VLOOKUP(A202,[2]Materiality!$I$6:$J$12,2,TRUE),IFERROR(IF(VLOOKUP("*CR",F202,1,FALSE)&gt;=0,"",VLOOKUP("*CR",F202,1,FALSE)),F202),""),"")</f>
        <v/>
      </c>
      <c r="I202" s="1938">
        <f t="shared" si="3"/>
        <v>0</v>
      </c>
    </row>
    <row r="203" spans="1:9" x14ac:dyDescent="0.25">
      <c r="A203" t="s">
        <v>3708</v>
      </c>
      <c r="B203" s="1936"/>
      <c r="C203" t="s">
        <v>51</v>
      </c>
      <c r="D203" s="1936"/>
      <c r="E203" s="1936"/>
      <c r="F203" s="1941">
        <v>1496441.09</v>
      </c>
      <c r="G203" s="1941">
        <v>1514698.57</v>
      </c>
      <c r="H203" s="1937">
        <f>IFERROR(IF(F203&gt;=VLOOKUP(A203,[2]Materiality!$I$6:$J$12,2,TRUE),IFERROR(IF(VLOOKUP("*CR",F203,1,FALSE)&gt;=0,"",VLOOKUP("*CR",F203,1,FALSE)),F203),""),"")</f>
        <v>1496441.09</v>
      </c>
      <c r="I203" s="1938">
        <f t="shared" si="3"/>
        <v>0</v>
      </c>
    </row>
    <row r="204" spans="1:9" x14ac:dyDescent="0.25">
      <c r="A204" t="s">
        <v>3909</v>
      </c>
      <c r="B204" s="1936"/>
      <c r="C204" t="s">
        <v>2249</v>
      </c>
      <c r="D204" s="1936"/>
      <c r="E204" s="1936"/>
      <c r="F204" s="1941">
        <v>0</v>
      </c>
      <c r="G204" s="1941">
        <v>0</v>
      </c>
      <c r="H204" s="1937" t="str">
        <f>IFERROR(IF(F204&gt;=VLOOKUP(A204,[2]Materiality!$I$6:$J$12,2,TRUE),IFERROR(IF(VLOOKUP("*CR",F204,1,FALSE)&gt;=0,"",VLOOKUP("*CR",F204,1,FALSE)),F204),""),"")</f>
        <v/>
      </c>
      <c r="I204" s="1938">
        <f t="shared" si="3"/>
        <v>0</v>
      </c>
    </row>
    <row r="205" spans="1:9" x14ac:dyDescent="0.25">
      <c r="A205" t="s">
        <v>3910</v>
      </c>
      <c r="B205" s="1936"/>
      <c r="C205" t="s">
        <v>2250</v>
      </c>
      <c r="D205" s="1936"/>
      <c r="E205" s="1936"/>
      <c r="F205" s="1941">
        <v>0</v>
      </c>
      <c r="G205" s="1941">
        <v>500</v>
      </c>
      <c r="H205" s="1937" t="str">
        <f>IFERROR(IF(F205&gt;=VLOOKUP(A205,[2]Materiality!$I$6:$J$12,2,TRUE),IFERROR(IF(VLOOKUP("*CR",F205,1,FALSE)&gt;=0,"",VLOOKUP("*CR",F205,1,FALSE)),F205),""),"")</f>
        <v/>
      </c>
      <c r="I205" s="1938">
        <f t="shared" si="3"/>
        <v>0</v>
      </c>
    </row>
    <row r="206" spans="1:9" x14ac:dyDescent="0.25">
      <c r="A206" t="s">
        <v>3709</v>
      </c>
      <c r="B206" s="1936"/>
      <c r="C206" t="s">
        <v>1162</v>
      </c>
      <c r="D206" s="1936"/>
      <c r="E206" s="1936"/>
      <c r="F206" s="1941">
        <v>0</v>
      </c>
      <c r="G206" s="1941">
        <v>500</v>
      </c>
      <c r="H206" s="1937" t="str">
        <f>IFERROR(IF(F206&gt;=VLOOKUP(A206,[2]Materiality!$I$6:$J$12,2,TRUE),IFERROR(IF(VLOOKUP("*CR",F206,1,FALSE)&gt;=0,"",VLOOKUP("*CR",F206,1,FALSE)),F206),""),"")</f>
        <v/>
      </c>
      <c r="I206" s="1938">
        <f t="shared" si="3"/>
        <v>0</v>
      </c>
    </row>
    <row r="207" spans="1:9" x14ac:dyDescent="0.25">
      <c r="A207" t="s">
        <v>3911</v>
      </c>
      <c r="B207" s="1936"/>
      <c r="C207" t="s">
        <v>2251</v>
      </c>
      <c r="D207" s="1936"/>
      <c r="E207" s="1936"/>
      <c r="F207" s="1941">
        <v>6531.41</v>
      </c>
      <c r="G207" s="1941">
        <v>7900</v>
      </c>
      <c r="H207" s="1937" t="str">
        <f>IFERROR(IF(F207&gt;=VLOOKUP(A207,[2]Materiality!$I$6:$J$12,2,TRUE),IFERROR(IF(VLOOKUP("*CR",F207,1,FALSE)&gt;=0,"",VLOOKUP("*CR",F207,1,FALSE)),F207),""),"")</f>
        <v/>
      </c>
      <c r="I207" s="1938">
        <f t="shared" si="3"/>
        <v>0</v>
      </c>
    </row>
    <row r="208" spans="1:9" x14ac:dyDescent="0.25">
      <c r="A208" t="s">
        <v>3911</v>
      </c>
      <c r="B208" s="1936"/>
      <c r="C208" t="s">
        <v>2252</v>
      </c>
      <c r="D208" s="1936"/>
      <c r="E208" s="1936"/>
      <c r="F208" s="1941">
        <v>5518.06</v>
      </c>
      <c r="G208" s="1941">
        <v>7400</v>
      </c>
      <c r="H208" s="1937" t="str">
        <f>IFERROR(IF(F208&gt;=VLOOKUP(A208,[2]Materiality!$I$6:$J$12,2,TRUE),IFERROR(IF(VLOOKUP("*CR",F208,1,FALSE)&gt;=0,"",VLOOKUP("*CR",F208,1,FALSE)),F208),""),"")</f>
        <v/>
      </c>
      <c r="I208" s="1938">
        <f t="shared" si="3"/>
        <v>0</v>
      </c>
    </row>
    <row r="209" spans="1:9" x14ac:dyDescent="0.25">
      <c r="A209" t="s">
        <v>3911</v>
      </c>
      <c r="B209" s="1936"/>
      <c r="C209" t="s">
        <v>2253</v>
      </c>
      <c r="D209" s="1936"/>
      <c r="E209" s="1936"/>
      <c r="F209" s="1941">
        <v>8976.07</v>
      </c>
      <c r="G209" s="1941">
        <v>8900</v>
      </c>
      <c r="H209" s="1937" t="str">
        <f>IFERROR(IF(F209&gt;=VLOOKUP(A209,[2]Materiality!$I$6:$J$12,2,TRUE),IFERROR(IF(VLOOKUP("*CR",F209,1,FALSE)&gt;=0,"",VLOOKUP("*CR",F209,1,FALSE)),F209),""),"")</f>
        <v/>
      </c>
      <c r="I209" s="1938">
        <f t="shared" si="3"/>
        <v>0</v>
      </c>
    </row>
    <row r="210" spans="1:9" x14ac:dyDescent="0.25">
      <c r="A210" t="s">
        <v>3911</v>
      </c>
      <c r="B210" s="1936"/>
      <c r="C210" t="s">
        <v>2254</v>
      </c>
      <c r="D210" s="1936"/>
      <c r="E210" s="1936"/>
      <c r="F210" s="1941">
        <v>4112.28</v>
      </c>
      <c r="G210" s="1941">
        <v>8100</v>
      </c>
      <c r="H210" s="1937" t="str">
        <f>IFERROR(IF(F210&gt;=VLOOKUP(A210,[2]Materiality!$I$6:$J$12,2,TRUE),IFERROR(IF(VLOOKUP("*CR",F210,1,FALSE)&gt;=0,"",VLOOKUP("*CR",F210,1,FALSE)),F210),""),"")</f>
        <v/>
      </c>
      <c r="I210" s="1938">
        <f t="shared" si="3"/>
        <v>0</v>
      </c>
    </row>
    <row r="211" spans="1:9" x14ac:dyDescent="0.25">
      <c r="A211" t="s">
        <v>3911</v>
      </c>
      <c r="B211" s="1936"/>
      <c r="C211" t="s">
        <v>2255</v>
      </c>
      <c r="D211" s="1936"/>
      <c r="E211" s="1936"/>
      <c r="F211" s="1941">
        <v>3707.98</v>
      </c>
      <c r="G211" s="1941">
        <v>9900</v>
      </c>
      <c r="H211" s="1937" t="str">
        <f>IFERROR(IF(F211&gt;=VLOOKUP(A211,[2]Materiality!$I$6:$J$12,2,TRUE),IFERROR(IF(VLOOKUP("*CR",F211,1,FALSE)&gt;=0,"",VLOOKUP("*CR",F211,1,FALSE)),F211),""),"")</f>
        <v/>
      </c>
      <c r="I211" s="1938">
        <f t="shared" si="3"/>
        <v>0</v>
      </c>
    </row>
    <row r="212" spans="1:9" x14ac:dyDescent="0.25">
      <c r="A212" t="s">
        <v>3911</v>
      </c>
      <c r="B212" s="1936"/>
      <c r="C212" t="s">
        <v>2256</v>
      </c>
      <c r="D212" s="1936"/>
      <c r="E212" s="1936"/>
      <c r="F212" s="1941">
        <v>5245.54</v>
      </c>
      <c r="G212" s="1941">
        <v>8000</v>
      </c>
      <c r="H212" s="1937" t="str">
        <f>IFERROR(IF(F212&gt;=VLOOKUP(A212,[2]Materiality!$I$6:$J$12,2,TRUE),IFERROR(IF(VLOOKUP("*CR",F212,1,FALSE)&gt;=0,"",VLOOKUP("*CR",F212,1,FALSE)),F212),""),"")</f>
        <v/>
      </c>
      <c r="I212" s="1938">
        <f t="shared" si="3"/>
        <v>0</v>
      </c>
    </row>
    <row r="213" spans="1:9" x14ac:dyDescent="0.25">
      <c r="A213" t="s">
        <v>3912</v>
      </c>
      <c r="B213" s="1936"/>
      <c r="C213" t="s">
        <v>2257</v>
      </c>
      <c r="D213" s="1936"/>
      <c r="E213" s="1936"/>
      <c r="F213" s="1941">
        <v>0</v>
      </c>
      <c r="G213" s="1941">
        <v>0</v>
      </c>
      <c r="H213" s="1937" t="str">
        <f>IFERROR(IF(F213&gt;=VLOOKUP(A213,[2]Materiality!$I$6:$J$12,2,TRUE),IFERROR(IF(VLOOKUP("*CR",F213,1,FALSE)&gt;=0,"",VLOOKUP("*CR",F213,1,FALSE)),F213),""),"")</f>
        <v/>
      </c>
      <c r="I213" s="1938">
        <f t="shared" si="3"/>
        <v>0</v>
      </c>
    </row>
    <row r="214" spans="1:9" x14ac:dyDescent="0.25">
      <c r="A214" t="s">
        <v>3912</v>
      </c>
      <c r="B214" s="1936"/>
      <c r="C214" t="s">
        <v>2258</v>
      </c>
      <c r="D214" s="1936"/>
      <c r="E214" s="1936"/>
      <c r="F214" s="1941">
        <v>0</v>
      </c>
      <c r="G214" s="1941">
        <v>0</v>
      </c>
      <c r="H214" s="1937" t="str">
        <f>IFERROR(IF(F214&gt;=VLOOKUP(A214,[2]Materiality!$I$6:$J$12,2,TRUE),IFERROR(IF(VLOOKUP("*CR",F214,1,FALSE)&gt;=0,"",VLOOKUP("*CR",F214,1,FALSE)),F214),""),"")</f>
        <v/>
      </c>
      <c r="I214" s="1938">
        <f t="shared" si="3"/>
        <v>0</v>
      </c>
    </row>
    <row r="215" spans="1:9" x14ac:dyDescent="0.25">
      <c r="A215" t="s">
        <v>3912</v>
      </c>
      <c r="B215" s="1936"/>
      <c r="C215" t="s">
        <v>2259</v>
      </c>
      <c r="D215" s="1936"/>
      <c r="E215" s="1936"/>
      <c r="F215" s="1941">
        <v>0</v>
      </c>
      <c r="G215" s="1941">
        <v>0</v>
      </c>
      <c r="H215" s="1937" t="str">
        <f>IFERROR(IF(F215&gt;=VLOOKUP(A215,[2]Materiality!$I$6:$J$12,2,TRUE),IFERROR(IF(VLOOKUP("*CR",F215,1,FALSE)&gt;=0,"",VLOOKUP("*CR",F215,1,FALSE)),F215),""),"")</f>
        <v/>
      </c>
      <c r="I215" s="1938">
        <f t="shared" si="3"/>
        <v>0</v>
      </c>
    </row>
    <row r="216" spans="1:9" x14ac:dyDescent="0.25">
      <c r="A216" t="s">
        <v>3912</v>
      </c>
      <c r="B216" s="1936"/>
      <c r="C216" t="s">
        <v>2260</v>
      </c>
      <c r="D216" s="1936"/>
      <c r="E216" s="1936"/>
      <c r="F216" s="1941">
        <v>0</v>
      </c>
      <c r="G216" s="1941">
        <v>0</v>
      </c>
      <c r="H216" s="1937" t="str">
        <f>IFERROR(IF(F216&gt;=VLOOKUP(A216,[2]Materiality!$I$6:$J$12,2,TRUE),IFERROR(IF(VLOOKUP("*CR",F216,1,FALSE)&gt;=0,"",VLOOKUP("*CR",F216,1,FALSE)),F216),""),"")</f>
        <v/>
      </c>
      <c r="I216" s="1938">
        <f t="shared" si="3"/>
        <v>0</v>
      </c>
    </row>
    <row r="217" spans="1:9" x14ac:dyDescent="0.25">
      <c r="A217" t="s">
        <v>3912</v>
      </c>
      <c r="B217" s="1936"/>
      <c r="C217" t="s">
        <v>2261</v>
      </c>
      <c r="D217" s="1936"/>
      <c r="E217" s="1936"/>
      <c r="F217" s="1941">
        <v>0</v>
      </c>
      <c r="G217" s="1941">
        <v>0</v>
      </c>
      <c r="H217" s="1937" t="str">
        <f>IFERROR(IF(F217&gt;=VLOOKUP(A217,[2]Materiality!$I$6:$J$12,2,TRUE),IFERROR(IF(VLOOKUP("*CR",F217,1,FALSE)&gt;=0,"",VLOOKUP("*CR",F217,1,FALSE)),F217),""),"")</f>
        <v/>
      </c>
      <c r="I217" s="1938">
        <f t="shared" si="3"/>
        <v>0</v>
      </c>
    </row>
    <row r="218" spans="1:9" x14ac:dyDescent="0.25">
      <c r="A218" t="s">
        <v>3912</v>
      </c>
      <c r="B218" s="1936"/>
      <c r="C218" t="s">
        <v>2262</v>
      </c>
      <c r="D218" s="1936"/>
      <c r="E218" s="1936"/>
      <c r="F218" s="1941">
        <v>294.47000000000003</v>
      </c>
      <c r="G218" s="1941">
        <v>500</v>
      </c>
      <c r="H218" s="1937" t="str">
        <f>IFERROR(IF(F218&gt;=VLOOKUP(A218,[2]Materiality!$I$6:$J$12,2,TRUE),IFERROR(IF(VLOOKUP("*CR",F218,1,FALSE)&gt;=0,"",VLOOKUP("*CR",F218,1,FALSE)),F218),""),"")</f>
        <v/>
      </c>
      <c r="I218" s="1938">
        <f t="shared" si="3"/>
        <v>0</v>
      </c>
    </row>
    <row r="219" spans="1:9" x14ac:dyDescent="0.25">
      <c r="A219" t="s">
        <v>3912</v>
      </c>
      <c r="B219" s="1936"/>
      <c r="C219" t="s">
        <v>2263</v>
      </c>
      <c r="D219" s="1936"/>
      <c r="E219" s="1936"/>
      <c r="F219" s="1941">
        <v>0</v>
      </c>
      <c r="G219" s="1941">
        <v>0</v>
      </c>
      <c r="H219" s="1937" t="str">
        <f>IFERROR(IF(F219&gt;=VLOOKUP(A219,[2]Materiality!$I$6:$J$12,2,TRUE),IFERROR(IF(VLOOKUP("*CR",F219,1,FALSE)&gt;=0,"",VLOOKUP("*CR",F219,1,FALSE)),F219),""),"")</f>
        <v/>
      </c>
      <c r="I219" s="1938">
        <f t="shared" si="3"/>
        <v>0</v>
      </c>
    </row>
    <row r="220" spans="1:9" x14ac:dyDescent="0.25">
      <c r="A220" t="s">
        <v>3913</v>
      </c>
      <c r="B220" s="1936"/>
      <c r="C220" t="s">
        <v>2264</v>
      </c>
      <c r="D220" s="1936"/>
      <c r="E220" s="1936"/>
      <c r="F220" s="1941">
        <v>0</v>
      </c>
      <c r="G220" s="1941">
        <v>0</v>
      </c>
      <c r="H220" s="1937" t="str">
        <f>IFERROR(IF(F220&gt;=VLOOKUP(A220,[2]Materiality!$I$6:$J$12,2,TRUE),IFERROR(IF(VLOOKUP("*CR",F220,1,FALSE)&gt;=0,"",VLOOKUP("*CR",F220,1,FALSE)),F220),""),"")</f>
        <v/>
      </c>
      <c r="I220" s="1938">
        <f t="shared" si="3"/>
        <v>0</v>
      </c>
    </row>
    <row r="221" spans="1:9" x14ac:dyDescent="0.25">
      <c r="A221" t="s">
        <v>3913</v>
      </c>
      <c r="B221" s="1936"/>
      <c r="C221" t="s">
        <v>2265</v>
      </c>
      <c r="D221" s="1936"/>
      <c r="E221" s="1936"/>
      <c r="F221" s="1941">
        <v>5354.75</v>
      </c>
      <c r="G221" s="1941">
        <v>6000</v>
      </c>
      <c r="H221" s="1937" t="str">
        <f>IFERROR(IF(F221&gt;=VLOOKUP(A221,[2]Materiality!$I$6:$J$12,2,TRUE),IFERROR(IF(VLOOKUP("*CR",F221,1,FALSE)&gt;=0,"",VLOOKUP("*CR",F221,1,FALSE)),F221),""),"")</f>
        <v/>
      </c>
      <c r="I221" s="1938">
        <f t="shared" si="3"/>
        <v>0</v>
      </c>
    </row>
    <row r="222" spans="1:9" x14ac:dyDescent="0.25">
      <c r="A222" t="s">
        <v>3913</v>
      </c>
      <c r="B222" s="1936"/>
      <c r="C222" t="s">
        <v>2266</v>
      </c>
      <c r="D222" s="1936"/>
      <c r="E222" s="1936"/>
      <c r="F222" s="1941">
        <v>0</v>
      </c>
      <c r="G222" s="1941">
        <v>0</v>
      </c>
      <c r="H222" s="1937" t="str">
        <f>IFERROR(IF(F222&gt;=VLOOKUP(A222,[2]Materiality!$I$6:$J$12,2,TRUE),IFERROR(IF(VLOOKUP("*CR",F222,1,FALSE)&gt;=0,"",VLOOKUP("*CR",F222,1,FALSE)),F222),""),"")</f>
        <v/>
      </c>
      <c r="I222" s="1938">
        <f t="shared" si="3"/>
        <v>0</v>
      </c>
    </row>
    <row r="223" spans="1:9" x14ac:dyDescent="0.25">
      <c r="A223" t="s">
        <v>3914</v>
      </c>
      <c r="B223" s="1936"/>
      <c r="C223" t="s">
        <v>2267</v>
      </c>
      <c r="D223" s="1936"/>
      <c r="E223" s="1936"/>
      <c r="F223" s="1941">
        <v>0</v>
      </c>
      <c r="G223" s="1941">
        <v>0</v>
      </c>
      <c r="H223" s="1937" t="str">
        <f>IFERROR(IF(F223&gt;=VLOOKUP(A223,[2]Materiality!$I$6:$J$12,2,TRUE),IFERROR(IF(VLOOKUP("*CR",F223,1,FALSE)&gt;=0,"",VLOOKUP("*CR",F223,1,FALSE)),F223),""),"")</f>
        <v/>
      </c>
      <c r="I223" s="1938">
        <f t="shared" si="3"/>
        <v>0</v>
      </c>
    </row>
    <row r="224" spans="1:9" x14ac:dyDescent="0.25">
      <c r="A224" t="s">
        <v>3915</v>
      </c>
      <c r="B224" s="1936"/>
      <c r="C224" t="s">
        <v>2268</v>
      </c>
      <c r="D224" s="1936"/>
      <c r="E224" s="1936"/>
      <c r="F224" s="1941">
        <v>262.45999999999998</v>
      </c>
      <c r="G224" s="1941">
        <v>300</v>
      </c>
      <c r="H224" s="1937" t="str">
        <f>IFERROR(IF(F224&gt;=VLOOKUP(A224,[2]Materiality!$I$6:$J$12,2,TRUE),IFERROR(IF(VLOOKUP("*CR",F224,1,FALSE)&gt;=0,"",VLOOKUP("*CR",F224,1,FALSE)),F224),""),"")</f>
        <v/>
      </c>
      <c r="I224" s="1938">
        <f t="shared" si="3"/>
        <v>0</v>
      </c>
    </row>
    <row r="225" spans="1:9" x14ac:dyDescent="0.25">
      <c r="A225" t="s">
        <v>3916</v>
      </c>
      <c r="B225" s="1936"/>
      <c r="C225" t="s">
        <v>2269</v>
      </c>
      <c r="D225" s="1936"/>
      <c r="E225" s="1936"/>
      <c r="F225" s="1941">
        <v>0</v>
      </c>
      <c r="G225" s="1941">
        <v>0</v>
      </c>
      <c r="H225" s="1937" t="str">
        <f>IFERROR(IF(F225&gt;=VLOOKUP(A225,[2]Materiality!$I$6:$J$12,2,TRUE),IFERROR(IF(VLOOKUP("*CR",F225,1,FALSE)&gt;=0,"",VLOOKUP("*CR",F225,1,FALSE)),F225),""),"")</f>
        <v/>
      </c>
      <c r="I225" s="1938">
        <f t="shared" si="3"/>
        <v>0</v>
      </c>
    </row>
    <row r="226" spans="1:9" x14ac:dyDescent="0.25">
      <c r="A226" t="s">
        <v>3916</v>
      </c>
      <c r="B226" s="1936"/>
      <c r="C226" t="s">
        <v>2270</v>
      </c>
      <c r="D226" s="1936"/>
      <c r="E226" s="1936"/>
      <c r="F226" s="1941">
        <v>0</v>
      </c>
      <c r="G226" s="1941">
        <v>0</v>
      </c>
      <c r="H226" s="1937" t="str">
        <f>IFERROR(IF(F226&gt;=VLOOKUP(A226,[2]Materiality!$I$6:$J$12,2,TRUE),IFERROR(IF(VLOOKUP("*CR",F226,1,FALSE)&gt;=0,"",VLOOKUP("*CR",F226,1,FALSE)),F226),""),"")</f>
        <v/>
      </c>
      <c r="I226" s="1938">
        <f t="shared" si="3"/>
        <v>0</v>
      </c>
    </row>
    <row r="227" spans="1:9" x14ac:dyDescent="0.25">
      <c r="A227" t="s">
        <v>3916</v>
      </c>
      <c r="B227" s="1936"/>
      <c r="C227" t="s">
        <v>2271</v>
      </c>
      <c r="D227" s="1936"/>
      <c r="E227" s="1936"/>
      <c r="F227" s="1941">
        <v>0</v>
      </c>
      <c r="G227" s="1941">
        <v>0</v>
      </c>
      <c r="H227" s="1937" t="str">
        <f>IFERROR(IF(F227&gt;=VLOOKUP(A227,[2]Materiality!$I$6:$J$12,2,TRUE),IFERROR(IF(VLOOKUP("*CR",F227,1,FALSE)&gt;=0,"",VLOOKUP("*CR",F227,1,FALSE)),F227),""),"")</f>
        <v/>
      </c>
      <c r="I227" s="1938">
        <f t="shared" si="3"/>
        <v>0</v>
      </c>
    </row>
    <row r="228" spans="1:9" x14ac:dyDescent="0.25">
      <c r="A228" t="s">
        <v>3916</v>
      </c>
      <c r="B228" s="1936"/>
      <c r="C228" t="s">
        <v>2272</v>
      </c>
      <c r="D228" s="1936"/>
      <c r="E228" s="1936"/>
      <c r="F228" s="1941">
        <v>1581.09</v>
      </c>
      <c r="G228" s="1941">
        <v>1609.84</v>
      </c>
      <c r="H228" s="1937" t="str">
        <f>IFERROR(IF(F228&gt;=VLOOKUP(A228,[2]Materiality!$I$6:$J$12,2,TRUE),IFERROR(IF(VLOOKUP("*CR",F228,1,FALSE)&gt;=0,"",VLOOKUP("*CR",F228,1,FALSE)),F228),""),"")</f>
        <v/>
      </c>
      <c r="I228" s="1938">
        <f t="shared" si="3"/>
        <v>0</v>
      </c>
    </row>
    <row r="229" spans="1:9" x14ac:dyDescent="0.25">
      <c r="A229" t="s">
        <v>3916</v>
      </c>
      <c r="B229" s="1936"/>
      <c r="C229" t="s">
        <v>2273</v>
      </c>
      <c r="D229" s="1936"/>
      <c r="E229" s="1936"/>
      <c r="F229" s="1941">
        <v>0</v>
      </c>
      <c r="G229" s="1941">
        <v>0</v>
      </c>
      <c r="H229" s="1937" t="str">
        <f>IFERROR(IF(F229&gt;=VLOOKUP(A229,[2]Materiality!$I$6:$J$12,2,TRUE),IFERROR(IF(VLOOKUP("*CR",F229,1,FALSE)&gt;=0,"",VLOOKUP("*CR",F229,1,FALSE)),F229),""),"")</f>
        <v/>
      </c>
      <c r="I229" s="1938">
        <f t="shared" si="3"/>
        <v>0</v>
      </c>
    </row>
    <row r="230" spans="1:9" x14ac:dyDescent="0.25">
      <c r="A230" t="s">
        <v>3916</v>
      </c>
      <c r="B230" s="1936"/>
      <c r="C230" t="s">
        <v>2274</v>
      </c>
      <c r="D230" s="1936"/>
      <c r="E230" s="1936"/>
      <c r="F230" s="1941">
        <v>0</v>
      </c>
      <c r="G230" s="1941">
        <v>525.42999999999995</v>
      </c>
      <c r="H230" s="1937" t="str">
        <f>IFERROR(IF(F230&gt;=VLOOKUP(A230,[2]Materiality!$I$6:$J$12,2,TRUE),IFERROR(IF(VLOOKUP("*CR",F230,1,FALSE)&gt;=0,"",VLOOKUP("*CR",F230,1,FALSE)),F230),""),"")</f>
        <v/>
      </c>
      <c r="I230" s="1938">
        <f t="shared" si="3"/>
        <v>0</v>
      </c>
    </row>
    <row r="231" spans="1:9" x14ac:dyDescent="0.25">
      <c r="A231" t="s">
        <v>3916</v>
      </c>
      <c r="B231" s="1936"/>
      <c r="C231" t="s">
        <v>2275</v>
      </c>
      <c r="D231" s="1936"/>
      <c r="E231" s="1936"/>
      <c r="F231" s="1941">
        <v>0</v>
      </c>
      <c r="G231" s="1941">
        <v>0</v>
      </c>
      <c r="H231" s="1937" t="str">
        <f>IFERROR(IF(F231&gt;=VLOOKUP(A231,[2]Materiality!$I$6:$J$12,2,TRUE),IFERROR(IF(VLOOKUP("*CR",F231,1,FALSE)&gt;=0,"",VLOOKUP("*CR",F231,1,FALSE)),F231),""),"")</f>
        <v/>
      </c>
      <c r="I231" s="1938">
        <f t="shared" si="3"/>
        <v>0</v>
      </c>
    </row>
    <row r="232" spans="1:9" x14ac:dyDescent="0.25">
      <c r="A232" t="s">
        <v>3916</v>
      </c>
      <c r="B232" s="1936"/>
      <c r="C232" t="s">
        <v>2276</v>
      </c>
      <c r="D232" s="1936"/>
      <c r="E232" s="1936"/>
      <c r="F232" s="1941">
        <v>0</v>
      </c>
      <c r="G232" s="1941">
        <v>0</v>
      </c>
      <c r="H232" s="1937" t="str">
        <f>IFERROR(IF(F232&gt;=VLOOKUP(A232,[2]Materiality!$I$6:$J$12,2,TRUE),IFERROR(IF(VLOOKUP("*CR",F232,1,FALSE)&gt;=0,"",VLOOKUP("*CR",F232,1,FALSE)),F232),""),"")</f>
        <v/>
      </c>
      <c r="I232" s="1938">
        <f t="shared" si="3"/>
        <v>0</v>
      </c>
    </row>
    <row r="233" spans="1:9" x14ac:dyDescent="0.25">
      <c r="A233" t="s">
        <v>3916</v>
      </c>
      <c r="B233" s="1936"/>
      <c r="C233" t="s">
        <v>2277</v>
      </c>
      <c r="D233" s="1936"/>
      <c r="E233" s="1936"/>
      <c r="F233" s="1941">
        <v>0</v>
      </c>
      <c r="G233" s="1941">
        <v>0</v>
      </c>
      <c r="H233" s="1937" t="str">
        <f>IFERROR(IF(F233&gt;=VLOOKUP(A233,[2]Materiality!$I$6:$J$12,2,TRUE),IFERROR(IF(VLOOKUP("*CR",F233,1,FALSE)&gt;=0,"",VLOOKUP("*CR",F233,1,FALSE)),F233),""),"")</f>
        <v/>
      </c>
      <c r="I233" s="1938">
        <f t="shared" si="3"/>
        <v>0</v>
      </c>
    </row>
    <row r="234" spans="1:9" x14ac:dyDescent="0.25">
      <c r="A234" t="s">
        <v>3916</v>
      </c>
      <c r="B234" s="1936"/>
      <c r="C234" t="s">
        <v>2278</v>
      </c>
      <c r="D234" s="1936"/>
      <c r="E234" s="1936"/>
      <c r="F234" s="1941">
        <v>0</v>
      </c>
      <c r="G234" s="1941">
        <v>0</v>
      </c>
      <c r="H234" s="1937" t="str">
        <f>IFERROR(IF(F234&gt;=VLOOKUP(A234,[2]Materiality!$I$6:$J$12,2,TRUE),IFERROR(IF(VLOOKUP("*CR",F234,1,FALSE)&gt;=0,"",VLOOKUP("*CR",F234,1,FALSE)),F234),""),"")</f>
        <v/>
      </c>
      <c r="I234" s="1938">
        <f t="shared" si="3"/>
        <v>0</v>
      </c>
    </row>
    <row r="235" spans="1:9" x14ac:dyDescent="0.25">
      <c r="A235" t="s">
        <v>3916</v>
      </c>
      <c r="B235" s="1936"/>
      <c r="C235" t="s">
        <v>2279</v>
      </c>
      <c r="D235" s="1936"/>
      <c r="E235" s="1936"/>
      <c r="F235" s="1941">
        <v>0</v>
      </c>
      <c r="G235" s="1941">
        <v>0</v>
      </c>
      <c r="H235" s="1937" t="str">
        <f>IFERROR(IF(F235&gt;=VLOOKUP(A235,[2]Materiality!$I$6:$J$12,2,TRUE),IFERROR(IF(VLOOKUP("*CR",F235,1,FALSE)&gt;=0,"",VLOOKUP("*CR",F235,1,FALSE)),F235),""),"")</f>
        <v/>
      </c>
      <c r="I235" s="1938">
        <f t="shared" si="3"/>
        <v>0</v>
      </c>
    </row>
    <row r="236" spans="1:9" x14ac:dyDescent="0.25">
      <c r="A236" t="s">
        <v>3916</v>
      </c>
      <c r="B236" s="1936"/>
      <c r="C236" t="s">
        <v>2280</v>
      </c>
      <c r="D236" s="1936"/>
      <c r="E236" s="1936"/>
      <c r="F236" s="1941">
        <v>0</v>
      </c>
      <c r="G236" s="1941">
        <v>0</v>
      </c>
      <c r="H236" s="1937" t="str">
        <f>IFERROR(IF(F236&gt;=VLOOKUP(A236,[2]Materiality!$I$6:$J$12,2,TRUE),IFERROR(IF(VLOOKUP("*CR",F236,1,FALSE)&gt;=0,"",VLOOKUP("*CR",F236,1,FALSE)),F236),""),"")</f>
        <v/>
      </c>
      <c r="I236" s="1938">
        <f t="shared" si="3"/>
        <v>0</v>
      </c>
    </row>
    <row r="237" spans="1:9" x14ac:dyDescent="0.25">
      <c r="A237" t="s">
        <v>3916</v>
      </c>
      <c r="B237" s="1936"/>
      <c r="C237" t="s">
        <v>2281</v>
      </c>
      <c r="D237" s="1936"/>
      <c r="E237" s="1936"/>
      <c r="F237" s="1941">
        <v>0</v>
      </c>
      <c r="G237" s="1941">
        <v>0</v>
      </c>
      <c r="H237" s="1937" t="str">
        <f>IFERROR(IF(F237&gt;=VLOOKUP(A237,[2]Materiality!$I$6:$J$12,2,TRUE),IFERROR(IF(VLOOKUP("*CR",F237,1,FALSE)&gt;=0,"",VLOOKUP("*CR",F237,1,FALSE)),F237),""),"")</f>
        <v/>
      </c>
      <c r="I237" s="1938">
        <f t="shared" si="3"/>
        <v>0</v>
      </c>
    </row>
    <row r="238" spans="1:9" x14ac:dyDescent="0.25">
      <c r="A238" t="s">
        <v>3916</v>
      </c>
      <c r="B238" s="1936"/>
      <c r="C238" t="s">
        <v>2282</v>
      </c>
      <c r="D238" s="1936"/>
      <c r="E238" s="1936"/>
      <c r="F238" s="1941">
        <v>0</v>
      </c>
      <c r="G238" s="1941">
        <v>0</v>
      </c>
      <c r="H238" s="1937" t="str">
        <f>IFERROR(IF(F238&gt;=VLOOKUP(A238,[2]Materiality!$I$6:$J$12,2,TRUE),IFERROR(IF(VLOOKUP("*CR",F238,1,FALSE)&gt;=0,"",VLOOKUP("*CR",F238,1,FALSE)),F238),""),"")</f>
        <v/>
      </c>
      <c r="I238" s="1938">
        <f t="shared" si="3"/>
        <v>0</v>
      </c>
    </row>
    <row r="239" spans="1:9" x14ac:dyDescent="0.25">
      <c r="A239" t="s">
        <v>3916</v>
      </c>
      <c r="B239" s="1936"/>
      <c r="C239" t="s">
        <v>2283</v>
      </c>
      <c r="D239" s="1936"/>
      <c r="E239" s="1936"/>
      <c r="F239" s="1941">
        <v>0</v>
      </c>
      <c r="G239" s="1941">
        <v>0</v>
      </c>
      <c r="H239" s="1937" t="str">
        <f>IFERROR(IF(F239&gt;=VLOOKUP(A239,[2]Materiality!$I$6:$J$12,2,TRUE),IFERROR(IF(VLOOKUP("*CR",F239,1,FALSE)&gt;=0,"",VLOOKUP("*CR",F239,1,FALSE)),F239),""),"")</f>
        <v/>
      </c>
      <c r="I239" s="1938">
        <f t="shared" si="3"/>
        <v>0</v>
      </c>
    </row>
    <row r="240" spans="1:9" x14ac:dyDescent="0.25">
      <c r="A240" t="s">
        <v>3916</v>
      </c>
      <c r="B240" s="1936"/>
      <c r="C240" t="s">
        <v>2284</v>
      </c>
      <c r="D240" s="1936"/>
      <c r="E240" s="1936"/>
      <c r="F240" s="1941">
        <v>429</v>
      </c>
      <c r="G240" s="1941">
        <v>462.99</v>
      </c>
      <c r="H240" s="1937" t="str">
        <f>IFERROR(IF(F240&gt;=VLOOKUP(A240,[2]Materiality!$I$6:$J$12,2,TRUE),IFERROR(IF(VLOOKUP("*CR",F240,1,FALSE)&gt;=0,"",VLOOKUP("*CR",F240,1,FALSE)),F240),""),"")</f>
        <v/>
      </c>
      <c r="I240" s="1938">
        <f t="shared" si="3"/>
        <v>0</v>
      </c>
    </row>
    <row r="241" spans="1:9" x14ac:dyDescent="0.25">
      <c r="A241" t="s">
        <v>3916</v>
      </c>
      <c r="B241" s="1936"/>
      <c r="C241" t="s">
        <v>2285</v>
      </c>
      <c r="D241" s="1936"/>
      <c r="E241" s="1936"/>
      <c r="F241" s="1941">
        <v>0</v>
      </c>
      <c r="G241" s="1941">
        <v>0</v>
      </c>
      <c r="H241" s="1937" t="str">
        <f>IFERROR(IF(F241&gt;=VLOOKUP(A241,[2]Materiality!$I$6:$J$12,2,TRUE),IFERROR(IF(VLOOKUP("*CR",F241,1,FALSE)&gt;=0,"",VLOOKUP("*CR",F241,1,FALSE)),F241),""),"")</f>
        <v/>
      </c>
      <c r="I241" s="1938">
        <f t="shared" si="3"/>
        <v>0</v>
      </c>
    </row>
    <row r="242" spans="1:9" x14ac:dyDescent="0.25">
      <c r="A242" t="s">
        <v>3916</v>
      </c>
      <c r="B242" s="1936"/>
      <c r="C242" t="s">
        <v>2286</v>
      </c>
      <c r="D242" s="1936"/>
      <c r="E242" s="1936"/>
      <c r="F242" s="1941">
        <v>0</v>
      </c>
      <c r="G242" s="1941">
        <v>0</v>
      </c>
      <c r="H242" s="1937" t="str">
        <f>IFERROR(IF(F242&gt;=VLOOKUP(A242,[2]Materiality!$I$6:$J$12,2,TRUE),IFERROR(IF(VLOOKUP("*CR",F242,1,FALSE)&gt;=0,"",VLOOKUP("*CR",F242,1,FALSE)),F242),""),"")</f>
        <v/>
      </c>
      <c r="I242" s="1938">
        <f t="shared" si="3"/>
        <v>0</v>
      </c>
    </row>
    <row r="243" spans="1:9" x14ac:dyDescent="0.25">
      <c r="A243" t="s">
        <v>3916</v>
      </c>
      <c r="B243" s="1936"/>
      <c r="C243" t="s">
        <v>2287</v>
      </c>
      <c r="D243" s="1936"/>
      <c r="E243" s="1936"/>
      <c r="F243" s="1941">
        <v>0</v>
      </c>
      <c r="G243" s="1941">
        <v>0</v>
      </c>
      <c r="H243" s="1937" t="str">
        <f>IFERROR(IF(F243&gt;=VLOOKUP(A243,[2]Materiality!$I$6:$J$12,2,TRUE),IFERROR(IF(VLOOKUP("*CR",F243,1,FALSE)&gt;=0,"",VLOOKUP("*CR",F243,1,FALSE)),F243),""),"")</f>
        <v/>
      </c>
      <c r="I243" s="1938">
        <f t="shared" si="3"/>
        <v>0</v>
      </c>
    </row>
    <row r="244" spans="1:9" x14ac:dyDescent="0.25">
      <c r="A244" t="s">
        <v>3916</v>
      </c>
      <c r="B244" s="1936"/>
      <c r="C244" t="s">
        <v>2288</v>
      </c>
      <c r="D244" s="1936"/>
      <c r="E244" s="1936"/>
      <c r="F244" s="1941">
        <v>0</v>
      </c>
      <c r="G244" s="1941">
        <v>0</v>
      </c>
      <c r="H244" s="1937" t="str">
        <f>IFERROR(IF(F244&gt;=VLOOKUP(A244,[2]Materiality!$I$6:$J$12,2,TRUE),IFERROR(IF(VLOOKUP("*CR",F244,1,FALSE)&gt;=0,"",VLOOKUP("*CR",F244,1,FALSE)),F244),""),"")</f>
        <v/>
      </c>
      <c r="I244" s="1938">
        <f t="shared" si="3"/>
        <v>0</v>
      </c>
    </row>
    <row r="245" spans="1:9" x14ac:dyDescent="0.25">
      <c r="A245" t="s">
        <v>3916</v>
      </c>
      <c r="B245" s="1936"/>
      <c r="C245" t="s">
        <v>2289</v>
      </c>
      <c r="D245" s="1936"/>
      <c r="E245" s="1936"/>
      <c r="F245" s="1941">
        <v>0</v>
      </c>
      <c r="G245" s="1941">
        <v>0</v>
      </c>
      <c r="H245" s="1937" t="str">
        <f>IFERROR(IF(F245&gt;=VLOOKUP(A245,[2]Materiality!$I$6:$J$12,2,TRUE),IFERROR(IF(VLOOKUP("*CR",F245,1,FALSE)&gt;=0,"",VLOOKUP("*CR",F245,1,FALSE)),F245),""),"")</f>
        <v/>
      </c>
      <c r="I245" s="1938">
        <f t="shared" si="3"/>
        <v>0</v>
      </c>
    </row>
    <row r="246" spans="1:9" x14ac:dyDescent="0.25">
      <c r="A246" t="s">
        <v>3916</v>
      </c>
      <c r="B246" s="1936"/>
      <c r="C246" t="s">
        <v>2290</v>
      </c>
      <c r="D246" s="1936"/>
      <c r="E246" s="1936"/>
      <c r="F246" s="1941">
        <v>0</v>
      </c>
      <c r="G246" s="1941">
        <v>0</v>
      </c>
      <c r="H246" s="1937" t="str">
        <f>IFERROR(IF(F246&gt;=VLOOKUP(A246,[2]Materiality!$I$6:$J$12,2,TRUE),IFERROR(IF(VLOOKUP("*CR",F246,1,FALSE)&gt;=0,"",VLOOKUP("*CR",F246,1,FALSE)),F246),""),"")</f>
        <v/>
      </c>
      <c r="I246" s="1938">
        <f t="shared" si="3"/>
        <v>0</v>
      </c>
    </row>
    <row r="247" spans="1:9" x14ac:dyDescent="0.25">
      <c r="A247" t="s">
        <v>3917</v>
      </c>
      <c r="B247" s="1936"/>
      <c r="C247" t="s">
        <v>2291</v>
      </c>
      <c r="D247" s="1936"/>
      <c r="E247" s="1936"/>
      <c r="F247" s="1941">
        <v>4314.99</v>
      </c>
      <c r="G247" s="1941">
        <v>4315</v>
      </c>
      <c r="H247" s="1937" t="str">
        <f>IFERROR(IF(F247&gt;=VLOOKUP(A247,[2]Materiality!$I$6:$J$12,2,TRUE),IFERROR(IF(VLOOKUP("*CR",F247,1,FALSE)&gt;=0,"",VLOOKUP("*CR",F247,1,FALSE)),F247),""),"")</f>
        <v/>
      </c>
      <c r="I247" s="1938">
        <f t="shared" si="3"/>
        <v>0</v>
      </c>
    </row>
    <row r="248" spans="1:9" x14ac:dyDescent="0.25">
      <c r="A248" t="s">
        <v>3918</v>
      </c>
      <c r="B248" s="1936"/>
      <c r="C248" t="s">
        <v>2292</v>
      </c>
      <c r="D248" s="1936"/>
      <c r="E248" s="1936"/>
      <c r="F248" s="1941">
        <v>500</v>
      </c>
      <c r="G248" s="1941">
        <v>0</v>
      </c>
      <c r="H248" s="1937" t="str">
        <f>IFERROR(IF(F248&gt;=VLOOKUP(A248,[2]Materiality!$I$6:$J$12,2,TRUE),IFERROR(IF(VLOOKUP("*CR",F248,1,FALSE)&gt;=0,"",VLOOKUP("*CR",F248,1,FALSE)),F248),""),"")</f>
        <v/>
      </c>
      <c r="I248" s="1938">
        <f t="shared" si="3"/>
        <v>0</v>
      </c>
    </row>
    <row r="249" spans="1:9" x14ac:dyDescent="0.25">
      <c r="A249" t="s">
        <v>3919</v>
      </c>
      <c r="B249" s="1936"/>
      <c r="C249" t="s">
        <v>2293</v>
      </c>
      <c r="D249" s="1936"/>
      <c r="E249" s="1936"/>
      <c r="F249" s="1941">
        <v>899.99</v>
      </c>
      <c r="G249" s="1941">
        <v>830.25</v>
      </c>
      <c r="H249" s="1937" t="str">
        <f>IFERROR(IF(F249&gt;=VLOOKUP(A249,[2]Materiality!$I$6:$J$12,2,TRUE),IFERROR(IF(VLOOKUP("*CR",F249,1,FALSE)&gt;=0,"",VLOOKUP("*CR",F249,1,FALSE)),F249),""),"")</f>
        <v/>
      </c>
      <c r="I249" s="1938">
        <f t="shared" si="3"/>
        <v>0</v>
      </c>
    </row>
    <row r="250" spans="1:9" x14ac:dyDescent="0.25">
      <c r="A250" t="s">
        <v>3920</v>
      </c>
      <c r="B250" s="1936"/>
      <c r="C250" t="s">
        <v>2294</v>
      </c>
      <c r="D250" s="1936"/>
      <c r="E250" s="1936"/>
      <c r="F250" s="1941">
        <v>0</v>
      </c>
      <c r="G250" s="1941">
        <v>0</v>
      </c>
      <c r="H250" s="1937" t="str">
        <f>IFERROR(IF(F250&gt;=VLOOKUP(A250,[2]Materiality!$I$6:$J$12,2,TRUE),IFERROR(IF(VLOOKUP("*CR",F250,1,FALSE)&gt;=0,"",VLOOKUP("*CR",F250,1,FALSE)),F250),""),"")</f>
        <v/>
      </c>
      <c r="I250" s="1938">
        <f t="shared" si="3"/>
        <v>0</v>
      </c>
    </row>
    <row r="251" spans="1:9" x14ac:dyDescent="0.25">
      <c r="A251" t="s">
        <v>3920</v>
      </c>
      <c r="B251" s="1936"/>
      <c r="C251" t="s">
        <v>2295</v>
      </c>
      <c r="D251" s="1936"/>
      <c r="E251" s="1936"/>
      <c r="F251" s="1941">
        <v>0</v>
      </c>
      <c r="G251" s="1941">
        <v>0</v>
      </c>
      <c r="H251" s="1937" t="str">
        <f>IFERROR(IF(F251&gt;=VLOOKUP(A251,[2]Materiality!$I$6:$J$12,2,TRUE),IFERROR(IF(VLOOKUP("*CR",F251,1,FALSE)&gt;=0,"",VLOOKUP("*CR",F251,1,FALSE)),F251),""),"")</f>
        <v/>
      </c>
      <c r="I251" s="1938">
        <f t="shared" si="3"/>
        <v>0</v>
      </c>
    </row>
    <row r="252" spans="1:9" x14ac:dyDescent="0.25">
      <c r="A252" t="s">
        <v>3920</v>
      </c>
      <c r="B252" s="1936"/>
      <c r="C252" t="s">
        <v>2296</v>
      </c>
      <c r="D252" s="1936"/>
      <c r="E252" s="1936"/>
      <c r="F252" s="1941">
        <v>0</v>
      </c>
      <c r="G252" s="1941">
        <v>0</v>
      </c>
      <c r="H252" s="1937" t="str">
        <f>IFERROR(IF(F252&gt;=VLOOKUP(A252,[2]Materiality!$I$6:$J$12,2,TRUE),IFERROR(IF(VLOOKUP("*CR",F252,1,FALSE)&gt;=0,"",VLOOKUP("*CR",F252,1,FALSE)),F252),""),"")</f>
        <v/>
      </c>
      <c r="I252" s="1938">
        <f t="shared" si="3"/>
        <v>0</v>
      </c>
    </row>
    <row r="253" spans="1:9" x14ac:dyDescent="0.25">
      <c r="A253" t="s">
        <v>3920</v>
      </c>
      <c r="B253" s="1936"/>
      <c r="C253" t="s">
        <v>2297</v>
      </c>
      <c r="D253" s="1936"/>
      <c r="E253" s="1936"/>
      <c r="F253" s="1941">
        <v>0</v>
      </c>
      <c r="G253" s="1941">
        <v>0</v>
      </c>
      <c r="H253" s="1937" t="str">
        <f>IFERROR(IF(F253&gt;=VLOOKUP(A253,[2]Materiality!$I$6:$J$12,2,TRUE),IFERROR(IF(VLOOKUP("*CR",F253,1,FALSE)&gt;=0,"",VLOOKUP("*CR",F253,1,FALSE)),F253),""),"")</f>
        <v/>
      </c>
      <c r="I253" s="1938">
        <f t="shared" si="3"/>
        <v>0</v>
      </c>
    </row>
    <row r="254" spans="1:9" x14ac:dyDescent="0.25">
      <c r="A254" t="s">
        <v>3920</v>
      </c>
      <c r="B254" s="1936"/>
      <c r="C254" t="s">
        <v>2298</v>
      </c>
      <c r="D254" s="1936"/>
      <c r="E254" s="1936"/>
      <c r="F254" s="1941">
        <v>0</v>
      </c>
      <c r="G254" s="1941">
        <v>0</v>
      </c>
      <c r="H254" s="1937" t="str">
        <f>IFERROR(IF(F254&gt;=VLOOKUP(A254,[2]Materiality!$I$6:$J$12,2,TRUE),IFERROR(IF(VLOOKUP("*CR",F254,1,FALSE)&gt;=0,"",VLOOKUP("*CR",F254,1,FALSE)),F254),""),"")</f>
        <v/>
      </c>
      <c r="I254" s="1938">
        <f t="shared" si="3"/>
        <v>0</v>
      </c>
    </row>
    <row r="255" spans="1:9" x14ac:dyDescent="0.25">
      <c r="A255" t="s">
        <v>3920</v>
      </c>
      <c r="B255" s="1936"/>
      <c r="C255" t="s">
        <v>2299</v>
      </c>
      <c r="D255" s="1936"/>
      <c r="E255" s="1936"/>
      <c r="F255" s="1941">
        <v>69448.86</v>
      </c>
      <c r="G255" s="1941">
        <v>72600</v>
      </c>
      <c r="H255" s="1937" t="str">
        <f>IFERROR(IF(F255&gt;=VLOOKUP(A255,[2]Materiality!$I$6:$J$12,2,TRUE),IFERROR(IF(VLOOKUP("*CR",F255,1,FALSE)&gt;=0,"",VLOOKUP("*CR",F255,1,FALSE)),F255),""),"")</f>
        <v/>
      </c>
      <c r="I255" s="1938">
        <f t="shared" si="3"/>
        <v>0</v>
      </c>
    </row>
    <row r="256" spans="1:9" x14ac:dyDescent="0.25">
      <c r="A256" t="s">
        <v>3710</v>
      </c>
      <c r="B256" s="1936"/>
      <c r="C256" t="s">
        <v>2300</v>
      </c>
      <c r="D256" s="1936"/>
      <c r="E256" s="1936"/>
      <c r="F256" s="1941">
        <v>117176.95</v>
      </c>
      <c r="G256" s="1941">
        <v>137343.51</v>
      </c>
      <c r="H256" s="1937">
        <f>IFERROR(IF(F256&gt;=VLOOKUP(A256,[2]Materiality!$I$6:$J$12,2,TRUE),IFERROR(IF(VLOOKUP("*CR",F256,1,FALSE)&gt;=0,"",VLOOKUP("*CR",F256,1,FALSE)),F256),""),"")</f>
        <v>117176.95</v>
      </c>
      <c r="I256" s="1938">
        <f t="shared" si="3"/>
        <v>0</v>
      </c>
    </row>
    <row r="257" spans="1:9" x14ac:dyDescent="0.25">
      <c r="A257" t="s">
        <v>3921</v>
      </c>
      <c r="B257" s="1936"/>
      <c r="C257" t="s">
        <v>2301</v>
      </c>
      <c r="D257" s="1936"/>
      <c r="E257" s="1936"/>
      <c r="F257" s="1941">
        <v>0</v>
      </c>
      <c r="G257" s="1941">
        <v>0</v>
      </c>
      <c r="H257" s="1937" t="str">
        <f>IFERROR(IF(F257&gt;=VLOOKUP(A257,[2]Materiality!$I$6:$J$12,2,TRUE),IFERROR(IF(VLOOKUP("*CR",F257,1,FALSE)&gt;=0,"",VLOOKUP("*CR",F257,1,FALSE)),F257),""),"")</f>
        <v/>
      </c>
      <c r="I257" s="1938">
        <f t="shared" si="3"/>
        <v>0</v>
      </c>
    </row>
    <row r="258" spans="1:9" x14ac:dyDescent="0.25">
      <c r="A258" t="s">
        <v>3921</v>
      </c>
      <c r="B258" s="1936"/>
      <c r="C258" t="s">
        <v>2302</v>
      </c>
      <c r="D258" s="1936"/>
      <c r="E258" s="1936"/>
      <c r="F258" s="1941">
        <v>0</v>
      </c>
      <c r="G258" s="1941">
        <v>0</v>
      </c>
      <c r="H258" s="1937" t="str">
        <f>IFERROR(IF(F258&gt;=VLOOKUP(A258,[2]Materiality!$I$6:$J$12,2,TRUE),IFERROR(IF(VLOOKUP("*CR",F258,1,FALSE)&gt;=0,"",VLOOKUP("*CR",F258,1,FALSE)),F258),""),"")</f>
        <v/>
      </c>
      <c r="I258" s="1938">
        <f t="shared" si="3"/>
        <v>0</v>
      </c>
    </row>
    <row r="259" spans="1:9" x14ac:dyDescent="0.25">
      <c r="A259" t="s">
        <v>3922</v>
      </c>
      <c r="B259" s="1936"/>
      <c r="C259" t="s">
        <v>2303</v>
      </c>
      <c r="D259" s="1936"/>
      <c r="E259" s="1936"/>
      <c r="F259" s="1941">
        <v>140200.99</v>
      </c>
      <c r="G259" s="1941">
        <v>160000</v>
      </c>
      <c r="H259" s="1937">
        <f>IFERROR(IF(F259&gt;=VLOOKUP(A259,[2]Materiality!$I$6:$J$12,2,TRUE),IFERROR(IF(VLOOKUP("*CR",F259,1,FALSE)&gt;=0,"",VLOOKUP("*CR",F259,1,FALSE)),F259),""),"")</f>
        <v>140200.99</v>
      </c>
      <c r="I259" s="1938">
        <f t="shared" si="3"/>
        <v>0</v>
      </c>
    </row>
    <row r="260" spans="1:9" x14ac:dyDescent="0.25">
      <c r="A260" t="s">
        <v>3711</v>
      </c>
      <c r="B260" s="1936"/>
      <c r="C260" t="s">
        <v>1157</v>
      </c>
      <c r="D260" s="1936"/>
      <c r="E260" s="1936"/>
      <c r="F260" s="1941">
        <v>140200.99</v>
      </c>
      <c r="G260" s="1941">
        <v>160000</v>
      </c>
      <c r="H260" s="1937">
        <f>IFERROR(IF(F260&gt;=VLOOKUP(A260,[2]Materiality!$I$6:$J$12,2,TRUE),IFERROR(IF(VLOOKUP("*CR",F260,1,FALSE)&gt;=0,"",VLOOKUP("*CR",F260,1,FALSE)),F260),""),"")</f>
        <v>140200.99</v>
      </c>
      <c r="I260" s="1938">
        <f t="shared" ref="I260:I323" si="4">IF(F260&lt;0,F260,0)</f>
        <v>0</v>
      </c>
    </row>
    <row r="261" spans="1:9" x14ac:dyDescent="0.25">
      <c r="A261" t="s">
        <v>3639</v>
      </c>
      <c r="B261" s="1936"/>
      <c r="C261" t="s">
        <v>1018</v>
      </c>
      <c r="D261" s="1936"/>
      <c r="E261" s="1936"/>
      <c r="F261" s="1941">
        <v>7035448.6100000003</v>
      </c>
      <c r="G261" s="1941">
        <v>7101407.0800000001</v>
      </c>
      <c r="H261" s="1937">
        <f>IFERROR(IF(F261&gt;=VLOOKUP(A261,[2]Materiality!$I$6:$J$12,2,TRUE),IFERROR(IF(VLOOKUP("*CR",F261,1,FALSE)&gt;=0,"",VLOOKUP("*CR",F261,1,FALSE)),F261),""),"")</f>
        <v>7035448.6100000003</v>
      </c>
      <c r="I261" s="1938">
        <f t="shared" si="4"/>
        <v>0</v>
      </c>
    </row>
    <row r="262" spans="1:9" x14ac:dyDescent="0.25">
      <c r="A262" t="s">
        <v>3853</v>
      </c>
      <c r="B262" s="1936"/>
      <c r="C262" t="s">
        <v>2304</v>
      </c>
      <c r="D262" s="1936"/>
      <c r="E262" s="1936"/>
      <c r="F262" s="1941">
        <v>46286.66</v>
      </c>
      <c r="G262" s="1941">
        <v>46287</v>
      </c>
      <c r="H262" s="1937" t="str">
        <f>IFERROR(IF(F262&gt;=VLOOKUP(A262,[2]Materiality!$I$6:$J$12,2,TRUE),IFERROR(IF(VLOOKUP("*CR",F262,1,FALSE)&gt;=0,"",VLOOKUP("*CR",F262,1,FALSE)),F262),""),"")</f>
        <v/>
      </c>
      <c r="I262" s="1938">
        <f t="shared" si="4"/>
        <v>0</v>
      </c>
    </row>
    <row r="263" spans="1:9" x14ac:dyDescent="0.25">
      <c r="A263" t="s">
        <v>3855</v>
      </c>
      <c r="B263" s="1936"/>
      <c r="C263" t="s">
        <v>2305</v>
      </c>
      <c r="D263" s="1936"/>
      <c r="E263" s="1936"/>
      <c r="F263" s="1941">
        <v>20110.72</v>
      </c>
      <c r="G263" s="1941">
        <v>20111</v>
      </c>
      <c r="H263" s="1937" t="str">
        <f>IFERROR(IF(F263&gt;=VLOOKUP(A263,[2]Materiality!$I$6:$J$12,2,TRUE),IFERROR(IF(VLOOKUP("*CR",F263,1,FALSE)&gt;=0,"",VLOOKUP("*CR",F263,1,FALSE)),F263),""),"")</f>
        <v/>
      </c>
      <c r="I263" s="1938">
        <f t="shared" si="4"/>
        <v>0</v>
      </c>
    </row>
    <row r="264" spans="1:9" x14ac:dyDescent="0.25">
      <c r="A264" t="s">
        <v>3638</v>
      </c>
      <c r="B264" s="1936"/>
      <c r="C264" t="s">
        <v>203</v>
      </c>
      <c r="D264" s="1936"/>
      <c r="E264" s="1936"/>
      <c r="F264" s="1941">
        <v>66397.38</v>
      </c>
      <c r="G264" s="1941">
        <v>66398</v>
      </c>
      <c r="H264" s="1937" t="str">
        <f>IFERROR(IF(F264&gt;=VLOOKUP(A264,[2]Materiality!$I$6:$J$12,2,TRUE),IFERROR(IF(VLOOKUP("*CR",F264,1,FALSE)&gt;=0,"",VLOOKUP("*CR",F264,1,FALSE)),F264),""),"")</f>
        <v/>
      </c>
      <c r="I264" s="1938">
        <f t="shared" si="4"/>
        <v>0</v>
      </c>
    </row>
    <row r="265" spans="1:9" x14ac:dyDescent="0.25">
      <c r="A265" t="s">
        <v>3856</v>
      </c>
      <c r="B265" s="1936"/>
      <c r="C265" t="s">
        <v>2306</v>
      </c>
      <c r="D265" s="1936"/>
      <c r="E265" s="1936"/>
      <c r="F265" s="1941">
        <v>4620.6000000000004</v>
      </c>
      <c r="G265" s="1941">
        <v>4621</v>
      </c>
      <c r="H265" s="1937" t="str">
        <f>IFERROR(IF(F265&gt;=VLOOKUP(A265,[2]Materiality!$I$6:$J$12,2,TRUE),IFERROR(IF(VLOOKUP("*CR",F265,1,FALSE)&gt;=0,"",VLOOKUP("*CR",F265,1,FALSE)),F265),""),"")</f>
        <v/>
      </c>
      <c r="I265" s="1938">
        <f t="shared" si="4"/>
        <v>0</v>
      </c>
    </row>
    <row r="266" spans="1:9" x14ac:dyDescent="0.25">
      <c r="A266" t="s">
        <v>3857</v>
      </c>
      <c r="B266" s="1936"/>
      <c r="C266" t="s">
        <v>2307</v>
      </c>
      <c r="D266" s="1936"/>
      <c r="E266" s="1936"/>
      <c r="F266" s="1941">
        <v>19168.240000000002</v>
      </c>
      <c r="G266" s="1941">
        <v>19168</v>
      </c>
      <c r="H266" s="1937" t="str">
        <f>IFERROR(IF(F266&gt;=VLOOKUP(A266,[2]Materiality!$I$6:$J$12,2,TRUE),IFERROR(IF(VLOOKUP("*CR",F266,1,FALSE)&gt;=0,"",VLOOKUP("*CR",F266,1,FALSE)),F266),""),"")</f>
        <v/>
      </c>
      <c r="I266" s="1938">
        <f t="shared" si="4"/>
        <v>0</v>
      </c>
    </row>
    <row r="267" spans="1:9" x14ac:dyDescent="0.25">
      <c r="A267" t="s">
        <v>3858</v>
      </c>
      <c r="B267" s="1936"/>
      <c r="C267" t="s">
        <v>2308</v>
      </c>
      <c r="D267" s="1936"/>
      <c r="E267" s="1936"/>
      <c r="F267" s="1941">
        <v>0</v>
      </c>
      <c r="G267" s="1941">
        <v>0</v>
      </c>
      <c r="H267" s="1937" t="str">
        <f>IFERROR(IF(F267&gt;=VLOOKUP(A267,[2]Materiality!$I$6:$J$12,2,TRUE),IFERROR(IF(VLOOKUP("*CR",F267,1,FALSE)&gt;=0,"",VLOOKUP("*CR",F267,1,FALSE)),F267),""),"")</f>
        <v/>
      </c>
      <c r="I267" s="1938">
        <f t="shared" si="4"/>
        <v>0</v>
      </c>
    </row>
    <row r="268" spans="1:9" x14ac:dyDescent="0.25">
      <c r="A268" t="s">
        <v>3859</v>
      </c>
      <c r="B268" s="1936"/>
      <c r="C268" t="s">
        <v>2309</v>
      </c>
      <c r="D268" s="1936"/>
      <c r="E268" s="1936"/>
      <c r="F268" s="1941">
        <v>129.19999999999999</v>
      </c>
      <c r="G268" s="1941">
        <v>130</v>
      </c>
      <c r="H268" s="1937" t="str">
        <f>IFERROR(IF(F268&gt;=VLOOKUP(A268,[2]Materiality!$I$6:$J$12,2,TRUE),IFERROR(IF(VLOOKUP("*CR",F268,1,FALSE)&gt;=0,"",VLOOKUP("*CR",F268,1,FALSE)),F268),""),"")</f>
        <v/>
      </c>
      <c r="I268" s="1938">
        <f t="shared" si="4"/>
        <v>0</v>
      </c>
    </row>
    <row r="269" spans="1:9" x14ac:dyDescent="0.25">
      <c r="A269" t="s">
        <v>3708</v>
      </c>
      <c r="B269" s="1936"/>
      <c r="C269" t="s">
        <v>51</v>
      </c>
      <c r="D269" s="1936"/>
      <c r="E269" s="1936"/>
      <c r="F269" s="1941">
        <v>23918.04</v>
      </c>
      <c r="G269" s="1941">
        <v>23919</v>
      </c>
      <c r="H269" s="1937" t="str">
        <f>IFERROR(IF(F269&gt;=VLOOKUP(A269,[2]Materiality!$I$6:$J$12,2,TRUE),IFERROR(IF(VLOOKUP("*CR",F269,1,FALSE)&gt;=0,"",VLOOKUP("*CR",F269,1,FALSE)),F269),""),"")</f>
        <v/>
      </c>
      <c r="I269" s="1938">
        <f t="shared" si="4"/>
        <v>0</v>
      </c>
    </row>
    <row r="270" spans="1:9" x14ac:dyDescent="0.25">
      <c r="A270" t="s">
        <v>3712</v>
      </c>
      <c r="B270" s="1936"/>
      <c r="C270" t="s">
        <v>2310</v>
      </c>
      <c r="D270" s="1936"/>
      <c r="E270" s="1936"/>
      <c r="F270" s="1941">
        <v>90315.42</v>
      </c>
      <c r="G270" s="1941">
        <v>90317</v>
      </c>
      <c r="H270" s="1937" t="str">
        <f>IFERROR(IF(F270&gt;=VLOOKUP(A270,[2]Materiality!$I$6:$J$12,2,TRUE),IFERROR(IF(VLOOKUP("*CR",F270,1,FALSE)&gt;=0,"",VLOOKUP("*CR",F270,1,FALSE)),F270),""),"")</f>
        <v/>
      </c>
      <c r="I270" s="1938">
        <f t="shared" si="4"/>
        <v>0</v>
      </c>
    </row>
    <row r="271" spans="1:9" x14ac:dyDescent="0.25">
      <c r="A271" t="s">
        <v>3853</v>
      </c>
      <c r="B271" s="1936"/>
      <c r="C271" t="s">
        <v>2311</v>
      </c>
      <c r="D271" s="1936"/>
      <c r="E271" s="1936"/>
      <c r="F271" s="1941">
        <v>881980.85</v>
      </c>
      <c r="G271" s="1941">
        <v>882403</v>
      </c>
      <c r="H271" s="1937">
        <f>IFERROR(IF(F271&gt;=VLOOKUP(A271,[2]Materiality!$I$6:$J$12,2,TRUE),IFERROR(IF(VLOOKUP("*CR",F271,1,FALSE)&gt;=0,"",VLOOKUP("*CR",F271,1,FALSE)),F271),""),"")</f>
        <v>881980.85</v>
      </c>
      <c r="I271" s="1938">
        <f t="shared" si="4"/>
        <v>0</v>
      </c>
    </row>
    <row r="272" spans="1:9" x14ac:dyDescent="0.25">
      <c r="A272" t="s">
        <v>3854</v>
      </c>
      <c r="B272" s="1936"/>
      <c r="C272" t="s">
        <v>2312</v>
      </c>
      <c r="D272" s="1936"/>
      <c r="E272" s="1936"/>
      <c r="F272" s="1941">
        <v>0</v>
      </c>
      <c r="G272" s="1941">
        <v>0</v>
      </c>
      <c r="H272" s="1937" t="str">
        <f>IFERROR(IF(F272&gt;=VLOOKUP(A272,[2]Materiality!$I$6:$J$12,2,TRUE),IFERROR(IF(VLOOKUP("*CR",F272,1,FALSE)&gt;=0,"",VLOOKUP("*CR",F272,1,FALSE)),F272),""),"")</f>
        <v/>
      </c>
      <c r="I272" s="1938">
        <f t="shared" si="4"/>
        <v>0</v>
      </c>
    </row>
    <row r="273" spans="1:9" x14ac:dyDescent="0.25">
      <c r="A273" t="s">
        <v>3855</v>
      </c>
      <c r="B273" s="1936"/>
      <c r="C273" t="s">
        <v>2313</v>
      </c>
      <c r="D273" s="1936"/>
      <c r="E273" s="1936"/>
      <c r="F273" s="1941">
        <v>525261.12</v>
      </c>
      <c r="G273" s="1941">
        <v>521223</v>
      </c>
      <c r="H273" s="1937">
        <f>IFERROR(IF(F273&gt;=VLOOKUP(A273,[2]Materiality!$I$6:$J$12,2,TRUE),IFERROR(IF(VLOOKUP("*CR",F273,1,FALSE)&gt;=0,"",VLOOKUP("*CR",F273,1,FALSE)),F273),""),"")</f>
        <v>525261.12</v>
      </c>
      <c r="I273" s="1938">
        <f t="shared" si="4"/>
        <v>0</v>
      </c>
    </row>
    <row r="274" spans="1:9" x14ac:dyDescent="0.25">
      <c r="A274" t="s">
        <v>3638</v>
      </c>
      <c r="B274" s="1936"/>
      <c r="C274" t="s">
        <v>203</v>
      </c>
      <c r="D274" s="1936"/>
      <c r="E274" s="1936"/>
      <c r="F274" s="1941">
        <v>1407241.97</v>
      </c>
      <c r="G274" s="1941">
        <v>1403626</v>
      </c>
      <c r="H274" s="1937">
        <f>IFERROR(IF(F274&gt;=VLOOKUP(A274,[2]Materiality!$I$6:$J$12,2,TRUE),IFERROR(IF(VLOOKUP("*CR",F274,1,FALSE)&gt;=0,"",VLOOKUP("*CR",F274,1,FALSE)),F274),""),"")</f>
        <v>1407241.97</v>
      </c>
      <c r="I274" s="1938">
        <f t="shared" si="4"/>
        <v>0</v>
      </c>
    </row>
    <row r="275" spans="1:9" x14ac:dyDescent="0.25">
      <c r="A275" t="s">
        <v>3856</v>
      </c>
      <c r="B275" s="1936"/>
      <c r="C275" t="s">
        <v>2314</v>
      </c>
      <c r="D275" s="1936"/>
      <c r="E275" s="1936"/>
      <c r="F275" s="1941">
        <v>103471.35</v>
      </c>
      <c r="G275" s="1941">
        <v>103496</v>
      </c>
      <c r="H275" s="1937" t="str">
        <f>IFERROR(IF(F275&gt;=VLOOKUP(A275,[2]Materiality!$I$6:$J$12,2,TRUE),IFERROR(IF(VLOOKUP("*CR",F275,1,FALSE)&gt;=0,"",VLOOKUP("*CR",F275,1,FALSE)),F275),""),"")</f>
        <v/>
      </c>
      <c r="I275" s="1938">
        <f t="shared" si="4"/>
        <v>0</v>
      </c>
    </row>
    <row r="276" spans="1:9" x14ac:dyDescent="0.25">
      <c r="A276" t="s">
        <v>3857</v>
      </c>
      <c r="B276" s="1936"/>
      <c r="C276" t="s">
        <v>2315</v>
      </c>
      <c r="D276" s="1936"/>
      <c r="E276" s="1936"/>
      <c r="F276" s="1941">
        <v>342001.47</v>
      </c>
      <c r="G276" s="1941">
        <v>342002</v>
      </c>
      <c r="H276" s="1937">
        <f>IFERROR(IF(F276&gt;=VLOOKUP(A276,[2]Materiality!$I$6:$J$12,2,TRUE),IFERROR(IF(VLOOKUP("*CR",F276,1,FALSE)&gt;=0,"",VLOOKUP("*CR",F276,1,FALSE)),F276),""),"")</f>
        <v>342001.47</v>
      </c>
      <c r="I276" s="1938">
        <f t="shared" si="4"/>
        <v>0</v>
      </c>
    </row>
    <row r="277" spans="1:9" x14ac:dyDescent="0.25">
      <c r="A277" t="s">
        <v>3858</v>
      </c>
      <c r="B277" s="1936"/>
      <c r="C277" t="s">
        <v>2316</v>
      </c>
      <c r="D277" s="1936"/>
      <c r="E277" s="1936"/>
      <c r="F277" s="1941">
        <v>0</v>
      </c>
      <c r="G277" s="1941">
        <v>0</v>
      </c>
      <c r="H277" s="1937" t="str">
        <f>IFERROR(IF(F277&gt;=VLOOKUP(A277,[2]Materiality!$I$6:$J$12,2,TRUE),IFERROR(IF(VLOOKUP("*CR",F277,1,FALSE)&gt;=0,"",VLOOKUP("*CR",F277,1,FALSE)),F277),""),"")</f>
        <v/>
      </c>
      <c r="I277" s="1938">
        <f t="shared" si="4"/>
        <v>0</v>
      </c>
    </row>
    <row r="278" spans="1:9" x14ac:dyDescent="0.25">
      <c r="A278" t="s">
        <v>3859</v>
      </c>
      <c r="B278" s="1936"/>
      <c r="C278" t="s">
        <v>2317</v>
      </c>
      <c r="D278" s="1936"/>
      <c r="E278" s="1936"/>
      <c r="F278" s="1941">
        <v>2452.62</v>
      </c>
      <c r="G278" s="1941">
        <v>2453</v>
      </c>
      <c r="H278" s="1937" t="str">
        <f>IFERROR(IF(F278&gt;=VLOOKUP(A278,[2]Materiality!$I$6:$J$12,2,TRUE),IFERROR(IF(VLOOKUP("*CR",F278,1,FALSE)&gt;=0,"",VLOOKUP("*CR",F278,1,FALSE)),F278),""),"")</f>
        <v/>
      </c>
      <c r="I278" s="1938">
        <f t="shared" si="4"/>
        <v>0</v>
      </c>
    </row>
    <row r="279" spans="1:9" x14ac:dyDescent="0.25">
      <c r="A279" t="s">
        <v>3708</v>
      </c>
      <c r="B279" s="1936"/>
      <c r="C279" t="s">
        <v>51</v>
      </c>
      <c r="D279" s="1936"/>
      <c r="E279" s="1936"/>
      <c r="F279" s="1941">
        <v>447925.44</v>
      </c>
      <c r="G279" s="1941">
        <v>447951</v>
      </c>
      <c r="H279" s="1937">
        <f>IFERROR(IF(F279&gt;=VLOOKUP(A279,[2]Materiality!$I$6:$J$12,2,TRUE),IFERROR(IF(VLOOKUP("*CR",F279,1,FALSE)&gt;=0,"",VLOOKUP("*CR",F279,1,FALSE)),F279),""),"")</f>
        <v>447925.44</v>
      </c>
      <c r="I279" s="1938">
        <f t="shared" si="4"/>
        <v>0</v>
      </c>
    </row>
    <row r="280" spans="1:9" x14ac:dyDescent="0.25">
      <c r="A280" t="s">
        <v>3860</v>
      </c>
      <c r="B280" s="1936"/>
      <c r="C280" t="s">
        <v>2318</v>
      </c>
      <c r="D280" s="1936"/>
      <c r="E280" s="1936"/>
      <c r="F280" s="1941">
        <v>4018.43</v>
      </c>
      <c r="G280" s="1941">
        <v>4000</v>
      </c>
      <c r="H280" s="1937" t="str">
        <f>IFERROR(IF(F280&gt;=VLOOKUP(A280,[2]Materiality!$I$6:$J$12,2,TRUE),IFERROR(IF(VLOOKUP("*CR",F280,1,FALSE)&gt;=0,"",VLOOKUP("*CR",F280,1,FALSE)),F280),""),"")</f>
        <v/>
      </c>
      <c r="I280" s="1938">
        <f t="shared" si="4"/>
        <v>0</v>
      </c>
    </row>
    <row r="281" spans="1:9" x14ac:dyDescent="0.25">
      <c r="A281" t="s">
        <v>3710</v>
      </c>
      <c r="B281" s="1936"/>
      <c r="C281" t="s">
        <v>2300</v>
      </c>
      <c r="D281" s="1936"/>
      <c r="E281" s="1936"/>
      <c r="F281" s="1941">
        <v>4018.43</v>
      </c>
      <c r="G281" s="1941">
        <v>4000</v>
      </c>
      <c r="H281" s="1937" t="str">
        <f>IFERROR(IF(F281&gt;=VLOOKUP(A281,[2]Materiality!$I$6:$J$12,2,TRUE),IFERROR(IF(VLOOKUP("*CR",F281,1,FALSE)&gt;=0,"",VLOOKUP("*CR",F281,1,FALSE)),F281),""),"")</f>
        <v/>
      </c>
      <c r="I281" s="1938">
        <f t="shared" si="4"/>
        <v>0</v>
      </c>
    </row>
    <row r="282" spans="1:9" x14ac:dyDescent="0.25">
      <c r="A282" t="s">
        <v>3713</v>
      </c>
      <c r="B282" s="1936"/>
      <c r="C282" t="s">
        <v>2319</v>
      </c>
      <c r="D282" s="1936"/>
      <c r="E282" s="1936"/>
      <c r="F282" s="1941">
        <v>1859185.84</v>
      </c>
      <c r="G282" s="1941">
        <v>1855577</v>
      </c>
      <c r="H282" s="1937">
        <f>IFERROR(IF(F282&gt;=VLOOKUP(A282,[2]Materiality!$I$6:$J$12,2,TRUE),IFERROR(IF(VLOOKUP("*CR",F282,1,FALSE)&gt;=0,"",VLOOKUP("*CR",F282,1,FALSE)),F282),""),"")</f>
        <v>1859185.84</v>
      </c>
      <c r="I282" s="1938">
        <f t="shared" si="4"/>
        <v>0</v>
      </c>
    </row>
    <row r="283" spans="1:9" x14ac:dyDescent="0.25">
      <c r="A283" t="s">
        <v>3864</v>
      </c>
      <c r="B283" s="1936"/>
      <c r="C283" t="s">
        <v>2320</v>
      </c>
      <c r="D283" s="1936"/>
      <c r="E283" s="1936"/>
      <c r="F283" s="1941">
        <v>0</v>
      </c>
      <c r="G283" s="1941">
        <v>100</v>
      </c>
      <c r="H283" s="1937" t="str">
        <f>IFERROR(IF(F283&gt;=VLOOKUP(A283,[2]Materiality!$I$6:$J$12,2,TRUE),IFERROR(IF(VLOOKUP("*CR",F283,1,FALSE)&gt;=0,"",VLOOKUP("*CR",F283,1,FALSE)),F283),""),"")</f>
        <v/>
      </c>
      <c r="I283" s="1938">
        <f t="shared" si="4"/>
        <v>0</v>
      </c>
    </row>
    <row r="284" spans="1:9" x14ac:dyDescent="0.25">
      <c r="A284" t="s">
        <v>3714</v>
      </c>
      <c r="B284" s="1936"/>
      <c r="C284" t="s">
        <v>1158</v>
      </c>
      <c r="D284" s="1936"/>
      <c r="E284" s="1936"/>
      <c r="F284" s="1941">
        <v>0</v>
      </c>
      <c r="G284" s="1941">
        <v>100</v>
      </c>
      <c r="H284" s="1937">
        <f>IFERROR(IF(F284&gt;=VLOOKUP(A284,[2]Materiality!$I$6:$J$12,2,TRUE),IFERROR(IF(VLOOKUP("*CR",F284,1,FALSE)&gt;=0,"",VLOOKUP("*CR",F284,1,FALSE)),F284),""),"")</f>
        <v>0</v>
      </c>
      <c r="I284" s="1938">
        <f t="shared" si="4"/>
        <v>0</v>
      </c>
    </row>
    <row r="285" spans="1:9" x14ac:dyDescent="0.25">
      <c r="A285" t="s">
        <v>3715</v>
      </c>
      <c r="B285" s="1936"/>
      <c r="C285" t="s">
        <v>2321</v>
      </c>
      <c r="D285" s="1936"/>
      <c r="E285" s="1936"/>
      <c r="F285" s="1941">
        <v>0</v>
      </c>
      <c r="G285" s="1941">
        <v>100</v>
      </c>
      <c r="H285" s="1937" t="str">
        <f>IFERROR(IF(F285&gt;=VLOOKUP(A285,[2]Materiality!$I$6:$J$12,2,TRUE),IFERROR(IF(VLOOKUP("*CR",F285,1,FALSE)&gt;=0,"",VLOOKUP("*CR",F285,1,FALSE)),F285),""),"")</f>
        <v/>
      </c>
      <c r="I285" s="1938">
        <f t="shared" si="4"/>
        <v>0</v>
      </c>
    </row>
    <row r="286" spans="1:9" x14ac:dyDescent="0.25">
      <c r="A286" t="s">
        <v>3864</v>
      </c>
      <c r="B286" s="1936"/>
      <c r="C286" t="s">
        <v>2322</v>
      </c>
      <c r="D286" s="1936"/>
      <c r="E286" s="1936"/>
      <c r="F286" s="1941">
        <v>239421.72</v>
      </c>
      <c r="G286" s="1941">
        <v>260000</v>
      </c>
      <c r="H286" s="1937">
        <f>IFERROR(IF(F286&gt;=VLOOKUP(A286,[2]Materiality!$I$6:$J$12,2,TRUE),IFERROR(IF(VLOOKUP("*CR",F286,1,FALSE)&gt;=0,"",VLOOKUP("*CR",F286,1,FALSE)),F286),""),"")</f>
        <v>239421.72</v>
      </c>
      <c r="I286" s="1938">
        <f t="shared" si="4"/>
        <v>0</v>
      </c>
    </row>
    <row r="287" spans="1:9" x14ac:dyDescent="0.25">
      <c r="A287" t="s">
        <v>3714</v>
      </c>
      <c r="B287" s="1936"/>
      <c r="C287" t="s">
        <v>1158</v>
      </c>
      <c r="D287" s="1936"/>
      <c r="E287" s="1936"/>
      <c r="F287" s="1941">
        <v>239421.72</v>
      </c>
      <c r="G287" s="1941">
        <v>260000</v>
      </c>
      <c r="H287" s="1937">
        <f>IFERROR(IF(F287&gt;=VLOOKUP(A287,[2]Materiality!$I$6:$J$12,2,TRUE),IFERROR(IF(VLOOKUP("*CR",F287,1,FALSE)&gt;=0,"",VLOOKUP("*CR",F287,1,FALSE)),F287),""),"")</f>
        <v>239421.72</v>
      </c>
      <c r="I287" s="1938">
        <f t="shared" si="4"/>
        <v>0</v>
      </c>
    </row>
    <row r="288" spans="1:9" x14ac:dyDescent="0.25">
      <c r="A288" t="s">
        <v>3716</v>
      </c>
      <c r="B288" s="1936"/>
      <c r="C288" t="s">
        <v>2323</v>
      </c>
      <c r="D288" s="1936"/>
      <c r="E288" s="1936"/>
      <c r="F288" s="1941">
        <v>239421.72</v>
      </c>
      <c r="G288" s="1941">
        <v>260000</v>
      </c>
      <c r="H288" s="1937">
        <f>IFERROR(IF(F288&gt;=VLOOKUP(A288,[2]Materiality!$I$6:$J$12,2,TRUE),IFERROR(IF(VLOOKUP("*CR",F288,1,FALSE)&gt;=0,"",VLOOKUP("*CR",F288,1,FALSE)),F288),""),"")</f>
        <v>239421.72</v>
      </c>
      <c r="I288" s="1938">
        <f t="shared" si="4"/>
        <v>0</v>
      </c>
    </row>
    <row r="289" spans="1:9" x14ac:dyDescent="0.25">
      <c r="A289" t="s">
        <v>3853</v>
      </c>
      <c r="B289" s="1936"/>
      <c r="C289" t="s">
        <v>2324</v>
      </c>
      <c r="D289" s="1936"/>
      <c r="E289" s="1936"/>
      <c r="F289" s="1941">
        <v>106274.24000000001</v>
      </c>
      <c r="G289" s="1941">
        <v>106275</v>
      </c>
      <c r="H289" s="1937" t="str">
        <f>IFERROR(IF(F289&gt;=VLOOKUP(A289,[2]Materiality!$I$6:$J$12,2,TRUE),IFERROR(IF(VLOOKUP("*CR",F289,1,FALSE)&gt;=0,"",VLOOKUP("*CR",F289,1,FALSE)),F289),""),"")</f>
        <v/>
      </c>
      <c r="I289" s="1938">
        <f t="shared" si="4"/>
        <v>0</v>
      </c>
    </row>
    <row r="290" spans="1:9" x14ac:dyDescent="0.25">
      <c r="A290" t="s">
        <v>3865</v>
      </c>
      <c r="B290" s="1936"/>
      <c r="C290" t="s">
        <v>2325</v>
      </c>
      <c r="D290" s="1936"/>
      <c r="E290" s="1936"/>
      <c r="F290" s="1941">
        <v>3000</v>
      </c>
      <c r="G290" s="1941">
        <v>3000</v>
      </c>
      <c r="H290" s="1937" t="str">
        <f>IFERROR(IF(F290&gt;=VLOOKUP(A290,[2]Materiality!$I$6:$J$12,2,TRUE),IFERROR(IF(VLOOKUP("*CR",F290,1,FALSE)&gt;=0,"",VLOOKUP("*CR",F290,1,FALSE)),F290),""),"")</f>
        <v/>
      </c>
      <c r="I290" s="1938">
        <f t="shared" si="4"/>
        <v>0</v>
      </c>
    </row>
    <row r="291" spans="1:9" x14ac:dyDescent="0.25">
      <c r="A291" t="s">
        <v>3855</v>
      </c>
      <c r="B291" s="1936"/>
      <c r="C291" t="s">
        <v>2326</v>
      </c>
      <c r="D291" s="1936"/>
      <c r="E291" s="1936"/>
      <c r="F291" s="1941">
        <v>50265.33</v>
      </c>
      <c r="G291" s="1941">
        <v>50702</v>
      </c>
      <c r="H291" s="1937" t="str">
        <f>IFERROR(IF(F291&gt;=VLOOKUP(A291,[2]Materiality!$I$6:$J$12,2,TRUE),IFERROR(IF(VLOOKUP("*CR",F291,1,FALSE)&gt;=0,"",VLOOKUP("*CR",F291,1,FALSE)),F291),""),"")</f>
        <v/>
      </c>
      <c r="I291" s="1938">
        <f t="shared" si="4"/>
        <v>0</v>
      </c>
    </row>
    <row r="292" spans="1:9" x14ac:dyDescent="0.25">
      <c r="A292" t="s">
        <v>3866</v>
      </c>
      <c r="B292" s="1936"/>
      <c r="C292" t="s">
        <v>2327</v>
      </c>
      <c r="D292" s="1936"/>
      <c r="E292" s="1936"/>
      <c r="F292" s="1941">
        <v>0</v>
      </c>
      <c r="G292" s="1941">
        <v>0</v>
      </c>
      <c r="H292" s="1937" t="str">
        <f>IFERROR(IF(F292&gt;=VLOOKUP(A292,[2]Materiality!$I$6:$J$12,2,TRUE),IFERROR(IF(VLOOKUP("*CR",F292,1,FALSE)&gt;=0,"",VLOOKUP("*CR",F292,1,FALSE)),F292),""),"")</f>
        <v/>
      </c>
      <c r="I292" s="1938">
        <f t="shared" si="4"/>
        <v>0</v>
      </c>
    </row>
    <row r="293" spans="1:9" x14ac:dyDescent="0.25">
      <c r="A293" t="s">
        <v>3638</v>
      </c>
      <c r="B293" s="1936"/>
      <c r="C293" t="s">
        <v>203</v>
      </c>
      <c r="D293" s="1936"/>
      <c r="E293" s="1936"/>
      <c r="F293" s="1941">
        <v>159539.57</v>
      </c>
      <c r="G293" s="1941">
        <v>159977</v>
      </c>
      <c r="H293" s="1937">
        <f>IFERROR(IF(F293&gt;=VLOOKUP(A293,[2]Materiality!$I$6:$J$12,2,TRUE),IFERROR(IF(VLOOKUP("*CR",F293,1,FALSE)&gt;=0,"",VLOOKUP("*CR",F293,1,FALSE)),F293),""),"")</f>
        <v>159539.57</v>
      </c>
      <c r="I293" s="1938">
        <f t="shared" si="4"/>
        <v>0</v>
      </c>
    </row>
    <row r="294" spans="1:9" x14ac:dyDescent="0.25">
      <c r="A294" t="s">
        <v>3856</v>
      </c>
      <c r="B294" s="1936"/>
      <c r="C294" t="s">
        <v>2328</v>
      </c>
      <c r="D294" s="1936"/>
      <c r="E294" s="1936"/>
      <c r="F294" s="1941">
        <v>12622.15</v>
      </c>
      <c r="G294" s="1941">
        <v>12623</v>
      </c>
      <c r="H294" s="1937" t="str">
        <f>IFERROR(IF(F294&gt;=VLOOKUP(A294,[2]Materiality!$I$6:$J$12,2,TRUE),IFERROR(IF(VLOOKUP("*CR",F294,1,FALSE)&gt;=0,"",VLOOKUP("*CR",F294,1,FALSE)),F294),""),"")</f>
        <v/>
      </c>
      <c r="I294" s="1938">
        <f t="shared" si="4"/>
        <v>0</v>
      </c>
    </row>
    <row r="295" spans="1:9" x14ac:dyDescent="0.25">
      <c r="A295" t="s">
        <v>3857</v>
      </c>
      <c r="B295" s="1936"/>
      <c r="C295" t="s">
        <v>2329</v>
      </c>
      <c r="D295" s="1936"/>
      <c r="E295" s="1936"/>
      <c r="F295" s="1941">
        <v>32865.94</v>
      </c>
      <c r="G295" s="1941">
        <v>32866</v>
      </c>
      <c r="H295" s="1937" t="str">
        <f>IFERROR(IF(F295&gt;=VLOOKUP(A295,[2]Materiality!$I$6:$J$12,2,TRUE),IFERROR(IF(VLOOKUP("*CR",F295,1,FALSE)&gt;=0,"",VLOOKUP("*CR",F295,1,FALSE)),F295),""),"")</f>
        <v/>
      </c>
      <c r="I295" s="1938">
        <f t="shared" si="4"/>
        <v>0</v>
      </c>
    </row>
    <row r="296" spans="1:9" x14ac:dyDescent="0.25">
      <c r="A296" t="s">
        <v>3858</v>
      </c>
      <c r="B296" s="1936"/>
      <c r="C296" t="s">
        <v>2330</v>
      </c>
      <c r="D296" s="1936"/>
      <c r="E296" s="1936"/>
      <c r="F296" s="1941">
        <v>0</v>
      </c>
      <c r="G296" s="1941">
        <v>0</v>
      </c>
      <c r="H296" s="1937" t="str">
        <f>IFERROR(IF(F296&gt;=VLOOKUP(A296,[2]Materiality!$I$6:$J$12,2,TRUE),IFERROR(IF(VLOOKUP("*CR",F296,1,FALSE)&gt;=0,"",VLOOKUP("*CR",F296,1,FALSE)),F296),""),"")</f>
        <v/>
      </c>
      <c r="I296" s="1938">
        <f t="shared" si="4"/>
        <v>0</v>
      </c>
    </row>
    <row r="297" spans="1:9" x14ac:dyDescent="0.25">
      <c r="A297" t="s">
        <v>3859</v>
      </c>
      <c r="B297" s="1936"/>
      <c r="C297" t="s">
        <v>2331</v>
      </c>
      <c r="D297" s="1936"/>
      <c r="E297" s="1936"/>
      <c r="F297" s="1941">
        <v>249.36</v>
      </c>
      <c r="G297" s="1941">
        <v>249</v>
      </c>
      <c r="H297" s="1937" t="str">
        <f>IFERROR(IF(F297&gt;=VLOOKUP(A297,[2]Materiality!$I$6:$J$12,2,TRUE),IFERROR(IF(VLOOKUP("*CR",F297,1,FALSE)&gt;=0,"",VLOOKUP("*CR",F297,1,FALSE)),F297),""),"")</f>
        <v/>
      </c>
      <c r="I297" s="1938">
        <f t="shared" si="4"/>
        <v>0</v>
      </c>
    </row>
    <row r="298" spans="1:9" x14ac:dyDescent="0.25">
      <c r="A298" t="s">
        <v>3708</v>
      </c>
      <c r="B298" s="1936"/>
      <c r="C298" t="s">
        <v>51</v>
      </c>
      <c r="D298" s="1936"/>
      <c r="E298" s="1936"/>
      <c r="F298" s="1941">
        <v>45737.45</v>
      </c>
      <c r="G298" s="1941">
        <v>45738</v>
      </c>
      <c r="H298" s="1937">
        <f>IFERROR(IF(F298&gt;=VLOOKUP(A298,[2]Materiality!$I$6:$J$12,2,TRUE),IFERROR(IF(VLOOKUP("*CR",F298,1,FALSE)&gt;=0,"",VLOOKUP("*CR",F298,1,FALSE)),F298),""),"")</f>
        <v>45737.45</v>
      </c>
      <c r="I298" s="1938">
        <f t="shared" si="4"/>
        <v>0</v>
      </c>
    </row>
    <row r="299" spans="1:9" x14ac:dyDescent="0.25">
      <c r="A299" t="s">
        <v>3867</v>
      </c>
      <c r="B299" s="1936"/>
      <c r="C299" t="s">
        <v>2332</v>
      </c>
      <c r="D299" s="1936"/>
      <c r="E299" s="1936"/>
      <c r="F299" s="1941">
        <v>2785.24</v>
      </c>
      <c r="G299" s="1941">
        <v>2786</v>
      </c>
      <c r="H299" s="1937" t="str">
        <f>IFERROR(IF(F299&gt;=VLOOKUP(A299,[2]Materiality!$I$6:$J$12,2,TRUE),IFERROR(IF(VLOOKUP("*CR",F299,1,FALSE)&gt;=0,"",VLOOKUP("*CR",F299,1,FALSE)),F299),""),"")</f>
        <v/>
      </c>
      <c r="I299" s="1938">
        <f t="shared" si="4"/>
        <v>0</v>
      </c>
    </row>
    <row r="300" spans="1:9" x14ac:dyDescent="0.25">
      <c r="A300" t="s">
        <v>3709</v>
      </c>
      <c r="B300" s="1936"/>
      <c r="C300" t="s">
        <v>1162</v>
      </c>
      <c r="D300" s="1936"/>
      <c r="E300" s="1936"/>
      <c r="F300" s="1941">
        <v>2785.24</v>
      </c>
      <c r="G300" s="1941">
        <v>2786</v>
      </c>
      <c r="H300" s="1937" t="str">
        <f>IFERROR(IF(F300&gt;=VLOOKUP(A300,[2]Materiality!$I$6:$J$12,2,TRUE),IFERROR(IF(VLOOKUP("*CR",F300,1,FALSE)&gt;=0,"",VLOOKUP("*CR",F300,1,FALSE)),F300),""),"")</f>
        <v/>
      </c>
      <c r="I300" s="1938">
        <f t="shared" si="4"/>
        <v>0</v>
      </c>
    </row>
    <row r="301" spans="1:9" x14ac:dyDescent="0.25">
      <c r="A301" t="s">
        <v>3860</v>
      </c>
      <c r="B301" s="1936"/>
      <c r="C301" t="s">
        <v>2333</v>
      </c>
      <c r="D301" s="1936"/>
      <c r="E301" s="1936"/>
      <c r="F301" s="1941">
        <v>3997.81</v>
      </c>
      <c r="G301" s="1941">
        <v>4126</v>
      </c>
      <c r="H301" s="1937" t="str">
        <f>IFERROR(IF(F301&gt;=VLOOKUP(A301,[2]Materiality!$I$6:$J$12,2,TRUE),IFERROR(IF(VLOOKUP("*CR",F301,1,FALSE)&gt;=0,"",VLOOKUP("*CR",F301,1,FALSE)),F301),""),"")</f>
        <v/>
      </c>
      <c r="I301" s="1938">
        <f t="shared" si="4"/>
        <v>0</v>
      </c>
    </row>
    <row r="302" spans="1:9" x14ac:dyDescent="0.25">
      <c r="A302" t="s">
        <v>3710</v>
      </c>
      <c r="B302" s="1936"/>
      <c r="C302" t="s">
        <v>2300</v>
      </c>
      <c r="D302" s="1936"/>
      <c r="E302" s="1936"/>
      <c r="F302" s="1941">
        <v>3997.81</v>
      </c>
      <c r="G302" s="1941">
        <v>4126</v>
      </c>
      <c r="H302" s="1937" t="str">
        <f>IFERROR(IF(F302&gt;=VLOOKUP(A302,[2]Materiality!$I$6:$J$12,2,TRUE),IFERROR(IF(VLOOKUP("*CR",F302,1,FALSE)&gt;=0,"",VLOOKUP("*CR",F302,1,FALSE)),F302),""),"")</f>
        <v/>
      </c>
      <c r="I302" s="1938">
        <f t="shared" si="4"/>
        <v>0</v>
      </c>
    </row>
    <row r="303" spans="1:9" x14ac:dyDescent="0.25">
      <c r="A303" t="s">
        <v>3868</v>
      </c>
      <c r="B303" s="1936"/>
      <c r="C303" t="s">
        <v>2334</v>
      </c>
      <c r="D303" s="1936"/>
      <c r="E303" s="1936"/>
      <c r="F303" s="1941">
        <v>1505.99</v>
      </c>
      <c r="G303" s="1941">
        <v>1500</v>
      </c>
      <c r="H303" s="1937" t="str">
        <f>IFERROR(IF(F303&gt;=VLOOKUP(A303,[2]Materiality!$I$6:$J$12,2,TRUE),IFERROR(IF(VLOOKUP("*CR",F303,1,FALSE)&gt;=0,"",VLOOKUP("*CR",F303,1,FALSE)),F303),""),"")</f>
        <v/>
      </c>
      <c r="I303" s="1938">
        <f t="shared" si="4"/>
        <v>0</v>
      </c>
    </row>
    <row r="304" spans="1:9" x14ac:dyDescent="0.25">
      <c r="A304" t="s">
        <v>3711</v>
      </c>
      <c r="B304" s="1936"/>
      <c r="C304" t="s">
        <v>1157</v>
      </c>
      <c r="D304" s="1936"/>
      <c r="E304" s="1936"/>
      <c r="F304" s="1941">
        <v>1505.99</v>
      </c>
      <c r="G304" s="1941">
        <v>1500</v>
      </c>
      <c r="H304" s="1937" t="str">
        <f>IFERROR(IF(F304&gt;=VLOOKUP(A304,[2]Materiality!$I$6:$J$12,2,TRUE),IFERROR(IF(VLOOKUP("*CR",F304,1,FALSE)&gt;=0,"",VLOOKUP("*CR",F304,1,FALSE)),F304),""),"")</f>
        <v/>
      </c>
      <c r="I304" s="1938">
        <f t="shared" si="4"/>
        <v>0</v>
      </c>
    </row>
    <row r="305" spans="1:9" x14ac:dyDescent="0.25">
      <c r="A305" t="s">
        <v>3717</v>
      </c>
      <c r="B305" s="1936"/>
      <c r="C305" t="s">
        <v>2335</v>
      </c>
      <c r="D305" s="1936"/>
      <c r="E305" s="1936"/>
      <c r="F305" s="1941">
        <v>213566.06</v>
      </c>
      <c r="G305" s="1941">
        <v>214127</v>
      </c>
      <c r="H305" s="1937">
        <f>IFERROR(IF(F305&gt;=VLOOKUP(A305,[2]Materiality!$I$6:$J$12,2,TRUE),IFERROR(IF(VLOOKUP("*CR",F305,1,FALSE)&gt;=0,"",VLOOKUP("*CR",F305,1,FALSE)),F305),""),"")</f>
        <v>213566.06</v>
      </c>
      <c r="I305" s="1938">
        <f t="shared" si="4"/>
        <v>0</v>
      </c>
    </row>
    <row r="306" spans="1:9" x14ac:dyDescent="0.25">
      <c r="A306" t="s">
        <v>3636</v>
      </c>
      <c r="B306" s="1936"/>
      <c r="C306" t="s">
        <v>2336</v>
      </c>
      <c r="D306" s="1936"/>
      <c r="E306" s="1936"/>
      <c r="F306" s="1941">
        <v>140265.46</v>
      </c>
      <c r="G306" s="1941">
        <v>140105</v>
      </c>
      <c r="H306" s="1937">
        <f>IFERROR(IF(F306&gt;=VLOOKUP(A306,[2]Materiality!$I$6:$J$12,2,TRUE),IFERROR(IF(VLOOKUP("*CR",F306,1,FALSE)&gt;=0,"",VLOOKUP("*CR",F306,1,FALSE)),F306),""),"")</f>
        <v>140265.46</v>
      </c>
      <c r="I306" s="1938">
        <f t="shared" si="4"/>
        <v>0</v>
      </c>
    </row>
    <row r="307" spans="1:9" x14ac:dyDescent="0.25">
      <c r="A307" t="s">
        <v>3635</v>
      </c>
      <c r="B307" s="1936"/>
      <c r="C307" t="s">
        <v>2337</v>
      </c>
      <c r="D307" s="1936"/>
      <c r="E307" s="1936"/>
      <c r="F307" s="1941">
        <v>0</v>
      </c>
      <c r="G307" s="1941">
        <v>0</v>
      </c>
      <c r="H307" s="1937" t="str">
        <f>IFERROR(IF(F307&gt;=VLOOKUP(A307,[2]Materiality!$I$6:$J$12,2,TRUE),IFERROR(IF(VLOOKUP("*CR",F307,1,FALSE)&gt;=0,"",VLOOKUP("*CR",F307,1,FALSE)),F307),""),"")</f>
        <v/>
      </c>
      <c r="I307" s="1938">
        <f t="shared" si="4"/>
        <v>0</v>
      </c>
    </row>
    <row r="308" spans="1:9" x14ac:dyDescent="0.25">
      <c r="A308" t="s">
        <v>3634</v>
      </c>
      <c r="B308" s="1936"/>
      <c r="C308" t="s">
        <v>2338</v>
      </c>
      <c r="D308" s="1936"/>
      <c r="E308" s="1936"/>
      <c r="F308" s="1941">
        <v>242339.82</v>
      </c>
      <c r="G308" s="1941">
        <v>246493</v>
      </c>
      <c r="H308" s="1937">
        <f>IFERROR(IF(F308&gt;=VLOOKUP(A308,[2]Materiality!$I$6:$J$12,2,TRUE),IFERROR(IF(VLOOKUP("*CR",F308,1,FALSE)&gt;=0,"",VLOOKUP("*CR",F308,1,FALSE)),F308),""),"")</f>
        <v>242339.82</v>
      </c>
      <c r="I308" s="1938">
        <f t="shared" si="4"/>
        <v>0</v>
      </c>
    </row>
    <row r="309" spans="1:9" x14ac:dyDescent="0.25">
      <c r="A309" t="s">
        <v>3638</v>
      </c>
      <c r="B309" s="1936"/>
      <c r="C309" t="s">
        <v>203</v>
      </c>
      <c r="D309" s="1936"/>
      <c r="E309" s="1936"/>
      <c r="F309" s="1941">
        <v>382605.28</v>
      </c>
      <c r="G309" s="1941">
        <v>386598</v>
      </c>
      <c r="H309" s="1937">
        <f>IFERROR(IF(F309&gt;=VLOOKUP(A309,[2]Materiality!$I$6:$J$12,2,TRUE),IFERROR(IF(VLOOKUP("*CR",F309,1,FALSE)&gt;=0,"",VLOOKUP("*CR",F309,1,FALSE)),F309),""),"")</f>
        <v>382605.28</v>
      </c>
      <c r="I309" s="1938">
        <f t="shared" si="4"/>
        <v>0</v>
      </c>
    </row>
    <row r="310" spans="1:9" x14ac:dyDescent="0.25">
      <c r="A310" t="s">
        <v>3633</v>
      </c>
      <c r="B310" s="1936"/>
      <c r="C310" t="s">
        <v>2339</v>
      </c>
      <c r="D310" s="1936"/>
      <c r="E310" s="1936"/>
      <c r="F310" s="1941">
        <v>16113.15</v>
      </c>
      <c r="G310" s="1941">
        <v>16114</v>
      </c>
      <c r="H310" s="1937" t="str">
        <f>IFERROR(IF(F310&gt;=VLOOKUP(A310,[2]Materiality!$I$6:$J$12,2,TRUE),IFERROR(IF(VLOOKUP("*CR",F310,1,FALSE)&gt;=0,"",VLOOKUP("*CR",F310,1,FALSE)),F310),""),"")</f>
        <v/>
      </c>
      <c r="I310" s="1938">
        <f t="shared" si="4"/>
        <v>0</v>
      </c>
    </row>
    <row r="311" spans="1:9" x14ac:dyDescent="0.25">
      <c r="A311" t="s">
        <v>3632</v>
      </c>
      <c r="B311" s="1936"/>
      <c r="C311" t="s">
        <v>2340</v>
      </c>
      <c r="D311" s="1936"/>
      <c r="E311" s="1936"/>
      <c r="F311" s="1941">
        <v>118111.81</v>
      </c>
      <c r="G311" s="1941">
        <v>118112</v>
      </c>
      <c r="H311" s="1937" t="str">
        <f>IFERROR(IF(F311&gt;=VLOOKUP(A311,[2]Materiality!$I$6:$J$12,2,TRUE),IFERROR(IF(VLOOKUP("*CR",F311,1,FALSE)&gt;=0,"",VLOOKUP("*CR",F311,1,FALSE)),F311),""),"")</f>
        <v/>
      </c>
      <c r="I311" s="1938">
        <f t="shared" si="4"/>
        <v>0</v>
      </c>
    </row>
    <row r="312" spans="1:9" x14ac:dyDescent="0.25">
      <c r="A312" t="s">
        <v>3631</v>
      </c>
      <c r="B312" s="1936"/>
      <c r="C312" t="s">
        <v>2341</v>
      </c>
      <c r="D312" s="1936"/>
      <c r="E312" s="1936"/>
      <c r="F312" s="1941">
        <v>0</v>
      </c>
      <c r="G312" s="1941">
        <v>0</v>
      </c>
      <c r="H312" s="1937" t="str">
        <f>IFERROR(IF(F312&gt;=VLOOKUP(A312,[2]Materiality!$I$6:$J$12,2,TRUE),IFERROR(IF(VLOOKUP("*CR",F312,1,FALSE)&gt;=0,"",VLOOKUP("*CR",F312,1,FALSE)),F312),""),"")</f>
        <v/>
      </c>
      <c r="I312" s="1938">
        <f t="shared" si="4"/>
        <v>0</v>
      </c>
    </row>
    <row r="313" spans="1:9" x14ac:dyDescent="0.25">
      <c r="A313" t="s">
        <v>3630</v>
      </c>
      <c r="B313" s="1936"/>
      <c r="C313" t="s">
        <v>2342</v>
      </c>
      <c r="D313" s="1936"/>
      <c r="E313" s="1936"/>
      <c r="F313" s="1941">
        <v>1103.1400000000001</v>
      </c>
      <c r="G313" s="1941">
        <v>1116</v>
      </c>
      <c r="H313" s="1937" t="str">
        <f>IFERROR(IF(F313&gt;=VLOOKUP(A313,[2]Materiality!$I$6:$J$12,2,TRUE),IFERROR(IF(VLOOKUP("*CR",F313,1,FALSE)&gt;=0,"",VLOOKUP("*CR",F313,1,FALSE)),F313),""),"")</f>
        <v/>
      </c>
      <c r="I313" s="1938">
        <f t="shared" si="4"/>
        <v>0</v>
      </c>
    </row>
    <row r="314" spans="1:9" x14ac:dyDescent="0.25">
      <c r="A314" t="s">
        <v>3708</v>
      </c>
      <c r="B314" s="1936"/>
      <c r="C314" t="s">
        <v>51</v>
      </c>
      <c r="D314" s="1936"/>
      <c r="E314" s="1936"/>
      <c r="F314" s="1941">
        <v>135328.1</v>
      </c>
      <c r="G314" s="1941">
        <v>135342</v>
      </c>
      <c r="H314" s="1937">
        <f>IFERROR(IF(F314&gt;=VLOOKUP(A314,[2]Materiality!$I$6:$J$12,2,TRUE),IFERROR(IF(VLOOKUP("*CR",F314,1,FALSE)&gt;=0,"",VLOOKUP("*CR",F314,1,FALSE)),F314),""),"")</f>
        <v>135328.1</v>
      </c>
      <c r="I314" s="1938">
        <f t="shared" si="4"/>
        <v>0</v>
      </c>
    </row>
    <row r="315" spans="1:9" x14ac:dyDescent="0.25">
      <c r="A315" t="s">
        <v>3629</v>
      </c>
      <c r="B315" s="1936"/>
      <c r="C315" t="s">
        <v>2343</v>
      </c>
      <c r="D315" s="1936"/>
      <c r="E315" s="1936"/>
      <c r="F315" s="1941">
        <v>3954.24</v>
      </c>
      <c r="G315" s="1941">
        <v>4000</v>
      </c>
      <c r="H315" s="1937" t="str">
        <f>IFERROR(IF(F315&gt;=VLOOKUP(A315,[2]Materiality!$I$6:$J$12,2,TRUE),IFERROR(IF(VLOOKUP("*CR",F315,1,FALSE)&gt;=0,"",VLOOKUP("*CR",F315,1,FALSE)),F315),""),"")</f>
        <v/>
      </c>
      <c r="I315" s="1938">
        <f t="shared" si="4"/>
        <v>0</v>
      </c>
    </row>
    <row r="316" spans="1:9" x14ac:dyDescent="0.25">
      <c r="A316" t="s">
        <v>3628</v>
      </c>
      <c r="B316" s="1936"/>
      <c r="C316" t="s">
        <v>2344</v>
      </c>
      <c r="D316" s="1936"/>
      <c r="E316" s="1936"/>
      <c r="F316" s="1941">
        <v>293.74</v>
      </c>
      <c r="G316" s="1941">
        <v>500</v>
      </c>
      <c r="H316" s="1937" t="str">
        <f>IFERROR(IF(F316&gt;=VLOOKUP(A316,[2]Materiality!$I$6:$J$12,2,TRUE),IFERROR(IF(VLOOKUP("*CR",F316,1,FALSE)&gt;=0,"",VLOOKUP("*CR",F316,1,FALSE)),F316),""),"")</f>
        <v/>
      </c>
      <c r="I316" s="1938">
        <f t="shared" si="4"/>
        <v>0</v>
      </c>
    </row>
    <row r="317" spans="1:9" x14ac:dyDescent="0.25">
      <c r="A317" t="s">
        <v>3710</v>
      </c>
      <c r="B317" s="1936"/>
      <c r="C317" t="s">
        <v>2300</v>
      </c>
      <c r="D317" s="1936"/>
      <c r="E317" s="1936"/>
      <c r="F317" s="1941">
        <v>4247.9799999999996</v>
      </c>
      <c r="G317" s="1941">
        <v>4500</v>
      </c>
      <c r="H317" s="1937" t="str">
        <f>IFERROR(IF(F317&gt;=VLOOKUP(A317,[2]Materiality!$I$6:$J$12,2,TRUE),IFERROR(IF(VLOOKUP("*CR",F317,1,FALSE)&gt;=0,"",VLOOKUP("*CR",F317,1,FALSE)),F317),""),"")</f>
        <v/>
      </c>
      <c r="I317" s="1938">
        <f t="shared" si="4"/>
        <v>0</v>
      </c>
    </row>
    <row r="318" spans="1:9" x14ac:dyDescent="0.25">
      <c r="A318" t="s">
        <v>3718</v>
      </c>
      <c r="B318" s="1936"/>
      <c r="C318" t="s">
        <v>2345</v>
      </c>
      <c r="D318" s="1936"/>
      <c r="E318" s="1936"/>
      <c r="F318" s="1941">
        <v>522181.36</v>
      </c>
      <c r="G318" s="1941">
        <v>526440</v>
      </c>
      <c r="H318" s="1937">
        <f>IFERROR(IF(F318&gt;=VLOOKUP(A318,[2]Materiality!$I$6:$J$12,2,TRUE),IFERROR(IF(VLOOKUP("*CR",F318,1,FALSE)&gt;=0,"",VLOOKUP("*CR",F318,1,FALSE)),F318),""),"")</f>
        <v>522181.36</v>
      </c>
      <c r="I318" s="1938">
        <f t="shared" si="4"/>
        <v>0</v>
      </c>
    </row>
    <row r="319" spans="1:9" x14ac:dyDescent="0.25">
      <c r="A319" t="s">
        <v>3627</v>
      </c>
      <c r="B319" s="1936"/>
      <c r="C319" t="s">
        <v>2346</v>
      </c>
      <c r="D319" s="1936"/>
      <c r="E319" s="1936"/>
      <c r="F319" s="1941">
        <v>73801.14</v>
      </c>
      <c r="G319" s="1941">
        <v>73801</v>
      </c>
      <c r="H319" s="1937" t="str">
        <f>IFERROR(IF(F319&gt;=VLOOKUP(A319,[2]Materiality!$I$6:$J$12,2,TRUE),IFERROR(IF(VLOOKUP("*CR",F319,1,FALSE)&gt;=0,"",VLOOKUP("*CR",F319,1,FALSE)),F319),""),"")</f>
        <v/>
      </c>
      <c r="I319" s="1938">
        <f t="shared" si="4"/>
        <v>0</v>
      </c>
    </row>
    <row r="320" spans="1:9" x14ac:dyDescent="0.25">
      <c r="A320" t="s">
        <v>3626</v>
      </c>
      <c r="B320" s="1936"/>
      <c r="C320" t="s">
        <v>2347</v>
      </c>
      <c r="D320" s="1936"/>
      <c r="E320" s="1936"/>
      <c r="F320" s="1941">
        <v>14813.12</v>
      </c>
      <c r="G320" s="1941">
        <v>14820</v>
      </c>
      <c r="H320" s="1937" t="str">
        <f>IFERROR(IF(F320&gt;=VLOOKUP(A320,[2]Materiality!$I$6:$J$12,2,TRUE),IFERROR(IF(VLOOKUP("*CR",F320,1,FALSE)&gt;=0,"",VLOOKUP("*CR",F320,1,FALSE)),F320),""),"")</f>
        <v/>
      </c>
      <c r="I320" s="1938">
        <f t="shared" si="4"/>
        <v>0</v>
      </c>
    </row>
    <row r="321" spans="1:9" x14ac:dyDescent="0.25">
      <c r="A321" t="s">
        <v>3638</v>
      </c>
      <c r="B321" s="1936"/>
      <c r="C321" t="s">
        <v>203</v>
      </c>
      <c r="D321" s="1936"/>
      <c r="E321" s="1936"/>
      <c r="F321" s="1941">
        <v>88614.26</v>
      </c>
      <c r="G321" s="1941">
        <v>88621</v>
      </c>
      <c r="H321" s="1937" t="str">
        <f>IFERROR(IF(F321&gt;=VLOOKUP(A321,[2]Materiality!$I$6:$J$12,2,TRUE),IFERROR(IF(VLOOKUP("*CR",F321,1,FALSE)&gt;=0,"",VLOOKUP("*CR",F321,1,FALSE)),F321),""),"")</f>
        <v/>
      </c>
      <c r="I321" s="1938">
        <f t="shared" si="4"/>
        <v>0</v>
      </c>
    </row>
    <row r="322" spans="1:9" x14ac:dyDescent="0.25">
      <c r="A322" t="s">
        <v>3625</v>
      </c>
      <c r="B322" s="1936"/>
      <c r="C322" t="s">
        <v>2348</v>
      </c>
      <c r="D322" s="1936"/>
      <c r="E322" s="1936"/>
      <c r="F322" s="1941">
        <v>8547.86</v>
      </c>
      <c r="G322" s="1941">
        <v>7829</v>
      </c>
      <c r="H322" s="1937" t="str">
        <f>IFERROR(IF(F322&gt;=VLOOKUP(A322,[2]Materiality!$I$6:$J$12,2,TRUE),IFERROR(IF(VLOOKUP("*CR",F322,1,FALSE)&gt;=0,"",VLOOKUP("*CR",F322,1,FALSE)),F322),""),"")</f>
        <v/>
      </c>
      <c r="I322" s="1938">
        <f t="shared" si="4"/>
        <v>0</v>
      </c>
    </row>
    <row r="323" spans="1:9" x14ac:dyDescent="0.25">
      <c r="A323" t="s">
        <v>3624</v>
      </c>
      <c r="B323" s="1936"/>
      <c r="C323" t="s">
        <v>2349</v>
      </c>
      <c r="D323" s="1936"/>
      <c r="E323" s="1936"/>
      <c r="F323" s="1941">
        <v>15745.34</v>
      </c>
      <c r="G323" s="1941">
        <v>16431</v>
      </c>
      <c r="H323" s="1937" t="str">
        <f>IFERROR(IF(F323&gt;=VLOOKUP(A323,[2]Materiality!$I$6:$J$12,2,TRUE),IFERROR(IF(VLOOKUP("*CR",F323,1,FALSE)&gt;=0,"",VLOOKUP("*CR",F323,1,FALSE)),F323),""),"")</f>
        <v/>
      </c>
      <c r="I323" s="1938">
        <f t="shared" si="4"/>
        <v>0</v>
      </c>
    </row>
    <row r="324" spans="1:9" x14ac:dyDescent="0.25">
      <c r="A324" t="s">
        <v>3623</v>
      </c>
      <c r="B324" s="1936"/>
      <c r="C324" t="s">
        <v>2350</v>
      </c>
      <c r="D324" s="1936"/>
      <c r="E324" s="1936"/>
      <c r="F324" s="1941">
        <v>0</v>
      </c>
      <c r="G324" s="1941">
        <v>0</v>
      </c>
      <c r="H324" s="1937" t="str">
        <f>IFERROR(IF(F324&gt;=VLOOKUP(A324,[2]Materiality!$I$6:$J$12,2,TRUE),IFERROR(IF(VLOOKUP("*CR",F324,1,FALSE)&gt;=0,"",VLOOKUP("*CR",F324,1,FALSE)),F324),""),"")</f>
        <v/>
      </c>
      <c r="I324" s="1938">
        <f t="shared" ref="I324:I387" si="5">IF(F324&lt;0,F324,0)</f>
        <v>0</v>
      </c>
    </row>
    <row r="325" spans="1:9" x14ac:dyDescent="0.25">
      <c r="A325" t="s">
        <v>3622</v>
      </c>
      <c r="B325" s="1936"/>
      <c r="C325" t="s">
        <v>2351</v>
      </c>
      <c r="D325" s="1936"/>
      <c r="E325" s="1936"/>
      <c r="F325" s="1941">
        <v>139.30000000000001</v>
      </c>
      <c r="G325" s="1941">
        <v>123</v>
      </c>
      <c r="H325" s="1937" t="str">
        <f>IFERROR(IF(F325&gt;=VLOOKUP(A325,[2]Materiality!$I$6:$J$12,2,TRUE),IFERROR(IF(VLOOKUP("*CR",F325,1,FALSE)&gt;=0,"",VLOOKUP("*CR",F325,1,FALSE)),F325),""),"")</f>
        <v/>
      </c>
      <c r="I325" s="1938">
        <f t="shared" si="5"/>
        <v>0</v>
      </c>
    </row>
    <row r="326" spans="1:9" x14ac:dyDescent="0.25">
      <c r="A326" t="s">
        <v>3708</v>
      </c>
      <c r="B326" s="1936"/>
      <c r="C326" t="s">
        <v>51</v>
      </c>
      <c r="D326" s="1936"/>
      <c r="E326" s="1936"/>
      <c r="F326" s="1941">
        <v>24432.5</v>
      </c>
      <c r="G326" s="1941">
        <v>24383</v>
      </c>
      <c r="H326" s="1937" t="str">
        <f>IFERROR(IF(F326&gt;=VLOOKUP(A326,[2]Materiality!$I$6:$J$12,2,TRUE),IFERROR(IF(VLOOKUP("*CR",F326,1,FALSE)&gt;=0,"",VLOOKUP("*CR",F326,1,FALSE)),F326),""),"")</f>
        <v/>
      </c>
      <c r="I326" s="1938">
        <f t="shared" si="5"/>
        <v>0</v>
      </c>
    </row>
    <row r="327" spans="1:9" x14ac:dyDescent="0.25">
      <c r="A327" t="s">
        <v>3719</v>
      </c>
      <c r="B327" s="1936"/>
      <c r="C327" t="s">
        <v>2352</v>
      </c>
      <c r="D327" s="1936"/>
      <c r="E327" s="1936"/>
      <c r="F327" s="1941">
        <v>113046.76</v>
      </c>
      <c r="G327" s="1941">
        <v>113004</v>
      </c>
      <c r="H327" s="1937" t="str">
        <f>IFERROR(IF(F327&gt;=VLOOKUP(A327,[2]Materiality!$I$6:$J$12,2,TRUE),IFERROR(IF(VLOOKUP("*CR",F327,1,FALSE)&gt;=0,"",VLOOKUP("*CR",F327,1,FALSE)),F327),""),"")</f>
        <v/>
      </c>
      <c r="I327" s="1938">
        <f t="shared" si="5"/>
        <v>0</v>
      </c>
    </row>
    <row r="328" spans="1:9" x14ac:dyDescent="0.25">
      <c r="A328" t="s">
        <v>3621</v>
      </c>
      <c r="B328" s="1936"/>
      <c r="C328" t="s">
        <v>2353</v>
      </c>
      <c r="D328" s="1936"/>
      <c r="E328" s="1936"/>
      <c r="F328" s="1941">
        <v>436541.53</v>
      </c>
      <c r="G328" s="1941">
        <v>436542</v>
      </c>
      <c r="H328" s="1937">
        <f>IFERROR(IF(F328&gt;=VLOOKUP(A328,[2]Materiality!$I$6:$J$12,2,TRUE),IFERROR(IF(VLOOKUP("*CR",F328,1,FALSE)&gt;=0,"",VLOOKUP("*CR",F328,1,FALSE)),F328),""),"")</f>
        <v>436541.53</v>
      </c>
      <c r="I328" s="1938">
        <f t="shared" si="5"/>
        <v>0</v>
      </c>
    </row>
    <row r="329" spans="1:9" x14ac:dyDescent="0.25">
      <c r="A329" t="s">
        <v>3620</v>
      </c>
      <c r="B329" s="1936"/>
      <c r="C329" t="s">
        <v>2354</v>
      </c>
      <c r="D329" s="1936"/>
      <c r="E329" s="1936"/>
      <c r="F329" s="1941">
        <v>11345</v>
      </c>
      <c r="G329" s="1941">
        <v>11345</v>
      </c>
      <c r="H329" s="1937" t="str">
        <f>IFERROR(IF(F329&gt;=VLOOKUP(A329,[2]Materiality!$I$6:$J$12,2,TRUE),IFERROR(IF(VLOOKUP("*CR",F329,1,FALSE)&gt;=0,"",VLOOKUP("*CR",F329,1,FALSE)),F329),""),"")</f>
        <v/>
      </c>
      <c r="I329" s="1938">
        <f t="shared" si="5"/>
        <v>0</v>
      </c>
    </row>
    <row r="330" spans="1:9" x14ac:dyDescent="0.25">
      <c r="A330" t="s">
        <v>3619</v>
      </c>
      <c r="B330" s="1936"/>
      <c r="C330" t="s">
        <v>2355</v>
      </c>
      <c r="D330" s="1936"/>
      <c r="E330" s="1936"/>
      <c r="F330" s="1941">
        <v>77609.8</v>
      </c>
      <c r="G330" s="1941">
        <v>77610</v>
      </c>
      <c r="H330" s="1937" t="str">
        <f>IFERROR(IF(F330&gt;=VLOOKUP(A330,[2]Materiality!$I$6:$J$12,2,TRUE),IFERROR(IF(VLOOKUP("*CR",F330,1,FALSE)&gt;=0,"",VLOOKUP("*CR",F330,1,FALSE)),F330),""),"")</f>
        <v/>
      </c>
      <c r="I330" s="1938">
        <f t="shared" si="5"/>
        <v>0</v>
      </c>
    </row>
    <row r="331" spans="1:9" x14ac:dyDescent="0.25">
      <c r="A331" t="s">
        <v>3618</v>
      </c>
      <c r="B331" s="1936"/>
      <c r="C331" t="s">
        <v>2173</v>
      </c>
      <c r="D331" s="1936"/>
      <c r="E331" s="1936"/>
      <c r="F331" s="1941">
        <v>0</v>
      </c>
      <c r="G331" s="1941">
        <v>0</v>
      </c>
      <c r="H331" s="1937" t="str">
        <f>IFERROR(IF(F331&gt;=VLOOKUP(A331,[2]Materiality!$I$6:$J$12,2,TRUE),IFERROR(IF(VLOOKUP("*CR",F331,1,FALSE)&gt;=0,"",VLOOKUP("*CR",F331,1,FALSE)),F331),""),"")</f>
        <v/>
      </c>
      <c r="I331" s="1938">
        <f t="shared" si="5"/>
        <v>0</v>
      </c>
    </row>
    <row r="332" spans="1:9" x14ac:dyDescent="0.25">
      <c r="A332" t="s">
        <v>3617</v>
      </c>
      <c r="B332" s="1936"/>
      <c r="C332" t="s">
        <v>2356</v>
      </c>
      <c r="D332" s="1936"/>
      <c r="E332" s="1936"/>
      <c r="F332" s="1941">
        <v>0</v>
      </c>
      <c r="G332" s="1941">
        <v>0</v>
      </c>
      <c r="H332" s="1937" t="str">
        <f>IFERROR(IF(F332&gt;=VLOOKUP(A332,[2]Materiality!$I$6:$J$12,2,TRUE),IFERROR(IF(VLOOKUP("*CR",F332,1,FALSE)&gt;=0,"",VLOOKUP("*CR",F332,1,FALSE)),F332),""),"")</f>
        <v/>
      </c>
      <c r="I332" s="1938">
        <f t="shared" si="5"/>
        <v>0</v>
      </c>
    </row>
    <row r="333" spans="1:9" x14ac:dyDescent="0.25">
      <c r="A333" t="s">
        <v>3616</v>
      </c>
      <c r="B333" s="1936"/>
      <c r="C333" t="s">
        <v>2212</v>
      </c>
      <c r="D333" s="1936"/>
      <c r="E333" s="1936"/>
      <c r="F333" s="1941">
        <v>0</v>
      </c>
      <c r="G333" s="1941">
        <v>0</v>
      </c>
      <c r="H333" s="1937" t="str">
        <f>IFERROR(IF(F333&gt;=VLOOKUP(A333,[2]Materiality!$I$6:$J$12,2,TRUE),IFERROR(IF(VLOOKUP("*CR",F333,1,FALSE)&gt;=0,"",VLOOKUP("*CR",F333,1,FALSE)),F333),""),"")</f>
        <v/>
      </c>
      <c r="I333" s="1938">
        <f t="shared" si="5"/>
        <v>0</v>
      </c>
    </row>
    <row r="334" spans="1:9" x14ac:dyDescent="0.25">
      <c r="A334" t="s">
        <v>3615</v>
      </c>
      <c r="B334" s="1936"/>
      <c r="C334" t="s">
        <v>2212</v>
      </c>
      <c r="D334" s="1936"/>
      <c r="E334" s="1936"/>
      <c r="F334" s="1941">
        <v>0</v>
      </c>
      <c r="G334" s="1941">
        <v>0</v>
      </c>
      <c r="H334" s="1937" t="str">
        <f>IFERROR(IF(F334&gt;=VLOOKUP(A334,[2]Materiality!$I$6:$J$12,2,TRUE),IFERROR(IF(VLOOKUP("*CR",F334,1,FALSE)&gt;=0,"",VLOOKUP("*CR",F334,1,FALSE)),F334),""),"")</f>
        <v/>
      </c>
      <c r="I334" s="1938">
        <f t="shared" si="5"/>
        <v>0</v>
      </c>
    </row>
    <row r="335" spans="1:9" x14ac:dyDescent="0.25">
      <c r="A335" t="s">
        <v>3614</v>
      </c>
      <c r="B335" s="1936"/>
      <c r="C335" t="s">
        <v>2357</v>
      </c>
      <c r="D335" s="1936"/>
      <c r="E335" s="1936"/>
      <c r="F335" s="1941">
        <v>5000</v>
      </c>
      <c r="G335" s="1941">
        <v>5000</v>
      </c>
      <c r="H335" s="1937" t="str">
        <f>IFERROR(IF(F335&gt;=VLOOKUP(A335,[2]Materiality!$I$6:$J$12,2,TRUE),IFERROR(IF(VLOOKUP("*CR",F335,1,FALSE)&gt;=0,"",VLOOKUP("*CR",F335,1,FALSE)),F335),""),"")</f>
        <v/>
      </c>
      <c r="I335" s="1938">
        <f t="shared" si="5"/>
        <v>0</v>
      </c>
    </row>
    <row r="336" spans="1:9" x14ac:dyDescent="0.25">
      <c r="A336" t="s">
        <v>3638</v>
      </c>
      <c r="B336" s="1936"/>
      <c r="C336" t="s">
        <v>203</v>
      </c>
      <c r="D336" s="1936"/>
      <c r="E336" s="1936"/>
      <c r="F336" s="1941">
        <v>530496.32999999996</v>
      </c>
      <c r="G336" s="1941">
        <v>530497</v>
      </c>
      <c r="H336" s="1937">
        <f>IFERROR(IF(F336&gt;=VLOOKUP(A336,[2]Materiality!$I$6:$J$12,2,TRUE),IFERROR(IF(VLOOKUP("*CR",F336,1,FALSE)&gt;=0,"",VLOOKUP("*CR",F336,1,FALSE)),F336),""),"")</f>
        <v>530496.32999999996</v>
      </c>
      <c r="I336" s="1938">
        <f t="shared" si="5"/>
        <v>0</v>
      </c>
    </row>
    <row r="337" spans="1:9" x14ac:dyDescent="0.25">
      <c r="A337" t="s">
        <v>3613</v>
      </c>
      <c r="B337" s="1936"/>
      <c r="C337" t="s">
        <v>2358</v>
      </c>
      <c r="D337" s="1936"/>
      <c r="E337" s="1936"/>
      <c r="F337" s="1941">
        <v>60086.77</v>
      </c>
      <c r="G337" s="1941">
        <v>60087</v>
      </c>
      <c r="H337" s="1937" t="str">
        <f>IFERROR(IF(F337&gt;=VLOOKUP(A337,[2]Materiality!$I$6:$J$12,2,TRUE),IFERROR(IF(VLOOKUP("*CR",F337,1,FALSE)&gt;=0,"",VLOOKUP("*CR",F337,1,FALSE)),F337),""),"")</f>
        <v/>
      </c>
      <c r="I337" s="1938">
        <f t="shared" si="5"/>
        <v>0</v>
      </c>
    </row>
    <row r="338" spans="1:9" x14ac:dyDescent="0.25">
      <c r="A338" t="s">
        <v>3612</v>
      </c>
      <c r="B338" s="1936"/>
      <c r="C338" t="s">
        <v>2359</v>
      </c>
      <c r="D338" s="1936"/>
      <c r="E338" s="1936"/>
      <c r="F338" s="1941">
        <v>0</v>
      </c>
      <c r="G338" s="1941">
        <v>0</v>
      </c>
      <c r="H338" s="1937" t="str">
        <f>IFERROR(IF(F338&gt;=VLOOKUP(A338,[2]Materiality!$I$6:$J$12,2,TRUE),IFERROR(IF(VLOOKUP("*CR",F338,1,FALSE)&gt;=0,"",VLOOKUP("*CR",F338,1,FALSE)),F338),""),"")</f>
        <v/>
      </c>
      <c r="I338" s="1938">
        <f t="shared" si="5"/>
        <v>0</v>
      </c>
    </row>
    <row r="339" spans="1:9" x14ac:dyDescent="0.25">
      <c r="A339" t="s">
        <v>3611</v>
      </c>
      <c r="B339" s="1936"/>
      <c r="C339" t="s">
        <v>2360</v>
      </c>
      <c r="D339" s="1936"/>
      <c r="E339" s="1936"/>
      <c r="F339" s="1941">
        <v>0</v>
      </c>
      <c r="G339" s="1941">
        <v>0</v>
      </c>
      <c r="H339" s="1937" t="str">
        <f>IFERROR(IF(F339&gt;=VLOOKUP(A339,[2]Materiality!$I$6:$J$12,2,TRUE),IFERROR(IF(VLOOKUP("*CR",F339,1,FALSE)&gt;=0,"",VLOOKUP("*CR",F339,1,FALSE)),F339),""),"")</f>
        <v/>
      </c>
      <c r="I339" s="1938">
        <f t="shared" si="5"/>
        <v>0</v>
      </c>
    </row>
    <row r="340" spans="1:9" x14ac:dyDescent="0.25">
      <c r="A340" t="s">
        <v>3611</v>
      </c>
      <c r="B340" s="1936"/>
      <c r="C340" t="s">
        <v>2361</v>
      </c>
      <c r="D340" s="1936"/>
      <c r="E340" s="1936"/>
      <c r="F340" s="1941">
        <v>46424.25</v>
      </c>
      <c r="G340" s="1941">
        <v>43999</v>
      </c>
      <c r="H340" s="1937" t="str">
        <f>IFERROR(IF(F340&gt;=VLOOKUP(A340,[2]Materiality!$I$6:$J$12,2,TRUE),IFERROR(IF(VLOOKUP("*CR",F340,1,FALSE)&gt;=0,"",VLOOKUP("*CR",F340,1,FALSE)),F340),""),"")</f>
        <v/>
      </c>
      <c r="I340" s="1938">
        <f t="shared" si="5"/>
        <v>0</v>
      </c>
    </row>
    <row r="341" spans="1:9" x14ac:dyDescent="0.25">
      <c r="A341" t="s">
        <v>3610</v>
      </c>
      <c r="B341" s="1936"/>
      <c r="C341" t="s">
        <v>2362</v>
      </c>
      <c r="D341" s="1936"/>
      <c r="E341" s="1936"/>
      <c r="F341" s="1941">
        <v>91513.1</v>
      </c>
      <c r="G341" s="1941">
        <v>91514</v>
      </c>
      <c r="H341" s="1937" t="str">
        <f>IFERROR(IF(F341&gt;=VLOOKUP(A341,[2]Materiality!$I$6:$J$12,2,TRUE),IFERROR(IF(VLOOKUP("*CR",F341,1,FALSE)&gt;=0,"",VLOOKUP("*CR",F341,1,FALSE)),F341),""),"")</f>
        <v/>
      </c>
      <c r="I341" s="1938">
        <f t="shared" si="5"/>
        <v>0</v>
      </c>
    </row>
    <row r="342" spans="1:9" x14ac:dyDescent="0.25">
      <c r="A342" t="s">
        <v>3609</v>
      </c>
      <c r="B342" s="1936"/>
      <c r="C342" t="s">
        <v>2363</v>
      </c>
      <c r="D342" s="1936"/>
      <c r="E342" s="1936"/>
      <c r="F342" s="1941">
        <v>0</v>
      </c>
      <c r="G342" s="1941">
        <v>0</v>
      </c>
      <c r="H342" s="1937" t="str">
        <f>IFERROR(IF(F342&gt;=VLOOKUP(A342,[2]Materiality!$I$6:$J$12,2,TRUE),IFERROR(IF(VLOOKUP("*CR",F342,1,FALSE)&gt;=0,"",VLOOKUP("*CR",F342,1,FALSE)),F342),""),"")</f>
        <v/>
      </c>
      <c r="I342" s="1938">
        <f t="shared" si="5"/>
        <v>0</v>
      </c>
    </row>
    <row r="343" spans="1:9" x14ac:dyDescent="0.25">
      <c r="A343" t="s">
        <v>3608</v>
      </c>
      <c r="B343" s="1936"/>
      <c r="C343" t="s">
        <v>2364</v>
      </c>
      <c r="D343" s="1936"/>
      <c r="E343" s="1936"/>
      <c r="F343" s="1941">
        <v>944.84</v>
      </c>
      <c r="G343" s="1941">
        <v>945</v>
      </c>
      <c r="H343" s="1937" t="str">
        <f>IFERROR(IF(F343&gt;=VLOOKUP(A343,[2]Materiality!$I$6:$J$12,2,TRUE),IFERROR(IF(VLOOKUP("*CR",F343,1,FALSE)&gt;=0,"",VLOOKUP("*CR",F343,1,FALSE)),F343),""),"")</f>
        <v/>
      </c>
      <c r="I343" s="1938">
        <f t="shared" si="5"/>
        <v>0</v>
      </c>
    </row>
    <row r="344" spans="1:9" x14ac:dyDescent="0.25">
      <c r="A344" t="s">
        <v>3708</v>
      </c>
      <c r="B344" s="1936"/>
      <c r="C344" t="s">
        <v>51</v>
      </c>
      <c r="D344" s="1936"/>
      <c r="E344" s="1936"/>
      <c r="F344" s="1941">
        <v>198968.95999999999</v>
      </c>
      <c r="G344" s="1941">
        <v>196545</v>
      </c>
      <c r="H344" s="1937">
        <f>IFERROR(IF(F344&gt;=VLOOKUP(A344,[2]Materiality!$I$6:$J$12,2,TRUE),IFERROR(IF(VLOOKUP("*CR",F344,1,FALSE)&gt;=0,"",VLOOKUP("*CR",F344,1,FALSE)),F344),""),"")</f>
        <v>198968.95999999999</v>
      </c>
      <c r="I344" s="1938">
        <f t="shared" si="5"/>
        <v>0</v>
      </c>
    </row>
    <row r="345" spans="1:9" x14ac:dyDescent="0.25">
      <c r="A345" t="s">
        <v>3607</v>
      </c>
      <c r="B345" s="1936"/>
      <c r="C345" t="s">
        <v>2365</v>
      </c>
      <c r="D345" s="1936"/>
      <c r="E345" s="1936"/>
      <c r="F345" s="1941">
        <v>0</v>
      </c>
      <c r="G345" s="1941">
        <v>0</v>
      </c>
      <c r="H345" s="1937" t="str">
        <f>IFERROR(IF(F345&gt;=VLOOKUP(A345,[2]Materiality!$I$6:$J$12,2,TRUE),IFERROR(IF(VLOOKUP("*CR",F345,1,FALSE)&gt;=0,"",VLOOKUP("*CR",F345,1,FALSE)),F345),""),"")</f>
        <v/>
      </c>
      <c r="I345" s="1938">
        <f t="shared" si="5"/>
        <v>0</v>
      </c>
    </row>
    <row r="346" spans="1:9" x14ac:dyDescent="0.25">
      <c r="A346" t="s">
        <v>3606</v>
      </c>
      <c r="B346" s="1936"/>
      <c r="C346" t="s">
        <v>2366</v>
      </c>
      <c r="D346" s="1936"/>
      <c r="E346" s="1936"/>
      <c r="F346" s="1941">
        <v>5017.93</v>
      </c>
      <c r="G346" s="1941">
        <v>5789</v>
      </c>
      <c r="H346" s="1937" t="str">
        <f>IFERROR(IF(F346&gt;=VLOOKUP(A346,[2]Materiality!$I$6:$J$12,2,TRUE),IFERROR(IF(VLOOKUP("*CR",F346,1,FALSE)&gt;=0,"",VLOOKUP("*CR",F346,1,FALSE)),F346),""),"")</f>
        <v/>
      </c>
      <c r="I346" s="1938">
        <f t="shared" si="5"/>
        <v>0</v>
      </c>
    </row>
    <row r="347" spans="1:9" x14ac:dyDescent="0.25">
      <c r="A347" t="s">
        <v>3605</v>
      </c>
      <c r="B347" s="1936"/>
      <c r="C347" t="s">
        <v>2367</v>
      </c>
      <c r="D347" s="1936"/>
      <c r="E347" s="1936"/>
      <c r="F347" s="1941">
        <v>574</v>
      </c>
      <c r="G347" s="1941">
        <v>574</v>
      </c>
      <c r="H347" s="1937" t="str">
        <f>IFERROR(IF(F347&gt;=VLOOKUP(A347,[2]Materiality!$I$6:$J$12,2,TRUE),IFERROR(IF(VLOOKUP("*CR",F347,1,FALSE)&gt;=0,"",VLOOKUP("*CR",F347,1,FALSE)),F347),""),"")</f>
        <v/>
      </c>
      <c r="I347" s="1938">
        <f t="shared" si="5"/>
        <v>0</v>
      </c>
    </row>
    <row r="348" spans="1:9" x14ac:dyDescent="0.25">
      <c r="A348" t="s">
        <v>3604</v>
      </c>
      <c r="B348" s="1936"/>
      <c r="C348" t="s">
        <v>2368</v>
      </c>
      <c r="D348" s="1936"/>
      <c r="E348" s="1936"/>
      <c r="F348" s="1941">
        <v>165.78</v>
      </c>
      <c r="G348" s="1941">
        <v>120</v>
      </c>
      <c r="H348" s="1937" t="str">
        <f>IFERROR(IF(F348&gt;=VLOOKUP(A348,[2]Materiality!$I$6:$J$12,2,TRUE),IFERROR(IF(VLOOKUP("*CR",F348,1,FALSE)&gt;=0,"",VLOOKUP("*CR",F348,1,FALSE)),F348),""),"")</f>
        <v/>
      </c>
      <c r="I348" s="1938">
        <f t="shared" si="5"/>
        <v>0</v>
      </c>
    </row>
    <row r="349" spans="1:9" x14ac:dyDescent="0.25">
      <c r="A349" t="s">
        <v>3603</v>
      </c>
      <c r="B349" s="1936"/>
      <c r="C349" t="s">
        <v>2369</v>
      </c>
      <c r="D349" s="1936"/>
      <c r="E349" s="1936"/>
      <c r="F349" s="1941">
        <v>444.05</v>
      </c>
      <c r="G349" s="1941">
        <v>500</v>
      </c>
      <c r="H349" s="1937" t="str">
        <f>IFERROR(IF(F349&gt;=VLOOKUP(A349,[2]Materiality!$I$6:$J$12,2,TRUE),IFERROR(IF(VLOOKUP("*CR",F349,1,FALSE)&gt;=0,"",VLOOKUP("*CR",F349,1,FALSE)),F349),""),"")</f>
        <v/>
      </c>
      <c r="I349" s="1938">
        <f t="shared" si="5"/>
        <v>0</v>
      </c>
    </row>
    <row r="350" spans="1:9" x14ac:dyDescent="0.25">
      <c r="A350" t="s">
        <v>3602</v>
      </c>
      <c r="B350" s="1936"/>
      <c r="C350" t="s">
        <v>2370</v>
      </c>
      <c r="D350" s="1936"/>
      <c r="E350" s="1936"/>
      <c r="F350" s="1941">
        <v>0</v>
      </c>
      <c r="G350" s="1941">
        <v>0</v>
      </c>
      <c r="H350" s="1937" t="str">
        <f>IFERROR(IF(F350&gt;=VLOOKUP(A350,[2]Materiality!$I$6:$J$12,2,TRUE),IFERROR(IF(VLOOKUP("*CR",F350,1,FALSE)&gt;=0,"",VLOOKUP("*CR",F350,1,FALSE)),F350),""),"")</f>
        <v/>
      </c>
      <c r="I350" s="1938">
        <f t="shared" si="5"/>
        <v>0</v>
      </c>
    </row>
    <row r="351" spans="1:9" x14ac:dyDescent="0.25">
      <c r="A351" t="s">
        <v>3601</v>
      </c>
      <c r="B351" s="1936"/>
      <c r="C351" t="s">
        <v>2371</v>
      </c>
      <c r="D351" s="1936"/>
      <c r="E351" s="1936"/>
      <c r="F351" s="1941">
        <v>28204.35</v>
      </c>
      <c r="G351" s="1941">
        <v>26330</v>
      </c>
      <c r="H351" s="1937" t="str">
        <f>IFERROR(IF(F351&gt;=VLOOKUP(A351,[2]Materiality!$I$6:$J$12,2,TRUE),IFERROR(IF(VLOOKUP("*CR",F351,1,FALSE)&gt;=0,"",VLOOKUP("*CR",F351,1,FALSE)),F351),""),"")</f>
        <v/>
      </c>
      <c r="I351" s="1938">
        <f t="shared" si="5"/>
        <v>0</v>
      </c>
    </row>
    <row r="352" spans="1:9" x14ac:dyDescent="0.25">
      <c r="A352" t="s">
        <v>3709</v>
      </c>
      <c r="B352" s="1936"/>
      <c r="C352" t="s">
        <v>1162</v>
      </c>
      <c r="D352" s="1936"/>
      <c r="E352" s="1936"/>
      <c r="F352" s="1941">
        <v>34406.11</v>
      </c>
      <c r="G352" s="1941">
        <v>33313</v>
      </c>
      <c r="H352" s="1937">
        <f>IFERROR(IF(F352&gt;=VLOOKUP(A352,[2]Materiality!$I$6:$J$12,2,TRUE),IFERROR(IF(VLOOKUP("*CR",F352,1,FALSE)&gt;=0,"",VLOOKUP("*CR",F352,1,FALSE)),F352),""),"")</f>
        <v>34406.11</v>
      </c>
      <c r="I352" s="1938">
        <f t="shared" si="5"/>
        <v>0</v>
      </c>
    </row>
    <row r="353" spans="1:9" x14ac:dyDescent="0.25">
      <c r="A353" t="s">
        <v>3600</v>
      </c>
      <c r="B353" s="1936"/>
      <c r="C353" t="s">
        <v>2372</v>
      </c>
      <c r="D353" s="1936"/>
      <c r="E353" s="1936"/>
      <c r="F353" s="1941">
        <v>0</v>
      </c>
      <c r="G353" s="1941">
        <v>0</v>
      </c>
      <c r="H353" s="1937" t="str">
        <f>IFERROR(IF(F353&gt;=VLOOKUP(A353,[2]Materiality!$I$6:$J$12,2,TRUE),IFERROR(IF(VLOOKUP("*CR",F353,1,FALSE)&gt;=0,"",VLOOKUP("*CR",F353,1,FALSE)),F353),""),"")</f>
        <v/>
      </c>
      <c r="I353" s="1938">
        <f t="shared" si="5"/>
        <v>0</v>
      </c>
    </row>
    <row r="354" spans="1:9" x14ac:dyDescent="0.25">
      <c r="A354" t="s">
        <v>3600</v>
      </c>
      <c r="B354" s="1936"/>
      <c r="C354" t="s">
        <v>2373</v>
      </c>
      <c r="D354" s="1936"/>
      <c r="E354" s="1936"/>
      <c r="F354" s="1941">
        <v>0</v>
      </c>
      <c r="G354" s="1941">
        <v>0</v>
      </c>
      <c r="H354" s="1937" t="str">
        <f>IFERROR(IF(F354&gt;=VLOOKUP(A354,[2]Materiality!$I$6:$J$12,2,TRUE),IFERROR(IF(VLOOKUP("*CR",F354,1,FALSE)&gt;=0,"",VLOOKUP("*CR",F354,1,FALSE)),F354),""),"")</f>
        <v/>
      </c>
      <c r="I354" s="1938">
        <f t="shared" si="5"/>
        <v>0</v>
      </c>
    </row>
    <row r="355" spans="1:9" x14ac:dyDescent="0.25">
      <c r="A355" t="s">
        <v>3600</v>
      </c>
      <c r="B355" s="1936"/>
      <c r="C355" t="s">
        <v>2374</v>
      </c>
      <c r="D355" s="1936"/>
      <c r="E355" s="1936"/>
      <c r="F355" s="1941">
        <v>0</v>
      </c>
      <c r="G355" s="1941">
        <v>0</v>
      </c>
      <c r="H355" s="1937" t="str">
        <f>IFERROR(IF(F355&gt;=VLOOKUP(A355,[2]Materiality!$I$6:$J$12,2,TRUE),IFERROR(IF(VLOOKUP("*CR",F355,1,FALSE)&gt;=0,"",VLOOKUP("*CR",F355,1,FALSE)),F355),""),"")</f>
        <v/>
      </c>
      <c r="I355" s="1938">
        <f t="shared" si="5"/>
        <v>0</v>
      </c>
    </row>
    <row r="356" spans="1:9" x14ac:dyDescent="0.25">
      <c r="A356" t="s">
        <v>3600</v>
      </c>
      <c r="B356" s="1936"/>
      <c r="C356" t="s">
        <v>2375</v>
      </c>
      <c r="D356" s="1936"/>
      <c r="E356" s="1936"/>
      <c r="F356" s="1941">
        <v>0</v>
      </c>
      <c r="G356" s="1941">
        <v>0</v>
      </c>
      <c r="H356" s="1937" t="str">
        <f>IFERROR(IF(F356&gt;=VLOOKUP(A356,[2]Materiality!$I$6:$J$12,2,TRUE),IFERROR(IF(VLOOKUP("*CR",F356,1,FALSE)&gt;=0,"",VLOOKUP("*CR",F356,1,FALSE)),F356),""),"")</f>
        <v/>
      </c>
      <c r="I356" s="1938">
        <f t="shared" si="5"/>
        <v>0</v>
      </c>
    </row>
    <row r="357" spans="1:9" x14ac:dyDescent="0.25">
      <c r="A357" t="s">
        <v>3600</v>
      </c>
      <c r="B357" s="1936"/>
      <c r="C357" t="s">
        <v>2376</v>
      </c>
      <c r="D357" s="1936"/>
      <c r="E357" s="1936"/>
      <c r="F357" s="1941">
        <v>0</v>
      </c>
      <c r="G357" s="1941">
        <v>0</v>
      </c>
      <c r="H357" s="1937" t="str">
        <f>IFERROR(IF(F357&gt;=VLOOKUP(A357,[2]Materiality!$I$6:$J$12,2,TRUE),IFERROR(IF(VLOOKUP("*CR",F357,1,FALSE)&gt;=0,"",VLOOKUP("*CR",F357,1,FALSE)),F357),""),"")</f>
        <v/>
      </c>
      <c r="I357" s="1938">
        <f t="shared" si="5"/>
        <v>0</v>
      </c>
    </row>
    <row r="358" spans="1:9" x14ac:dyDescent="0.25">
      <c r="A358" t="s">
        <v>3600</v>
      </c>
      <c r="B358" s="1936"/>
      <c r="C358" t="s">
        <v>2376</v>
      </c>
      <c r="D358" s="1936"/>
      <c r="E358" s="1936"/>
      <c r="F358" s="1941">
        <v>0</v>
      </c>
      <c r="G358" s="1941">
        <v>0</v>
      </c>
      <c r="H358" s="1937" t="str">
        <f>IFERROR(IF(F358&gt;=VLOOKUP(A358,[2]Materiality!$I$6:$J$12,2,TRUE),IFERROR(IF(VLOOKUP("*CR",F358,1,FALSE)&gt;=0,"",VLOOKUP("*CR",F358,1,FALSE)),F358),""),"")</f>
        <v/>
      </c>
      <c r="I358" s="1938">
        <f t="shared" si="5"/>
        <v>0</v>
      </c>
    </row>
    <row r="359" spans="1:9" x14ac:dyDescent="0.25">
      <c r="A359" t="s">
        <v>3600</v>
      </c>
      <c r="B359" s="1936"/>
      <c r="C359" t="s">
        <v>2377</v>
      </c>
      <c r="D359" s="1936"/>
      <c r="E359" s="1936"/>
      <c r="F359" s="1941">
        <v>0</v>
      </c>
      <c r="G359" s="1941">
        <v>0</v>
      </c>
      <c r="H359" s="1937" t="str">
        <f>IFERROR(IF(F359&gt;=VLOOKUP(A359,[2]Materiality!$I$6:$J$12,2,TRUE),IFERROR(IF(VLOOKUP("*CR",F359,1,FALSE)&gt;=0,"",VLOOKUP("*CR",F359,1,FALSE)),F359),""),"")</f>
        <v/>
      </c>
      <c r="I359" s="1938">
        <f t="shared" si="5"/>
        <v>0</v>
      </c>
    </row>
    <row r="360" spans="1:9" x14ac:dyDescent="0.25">
      <c r="A360" t="s">
        <v>3600</v>
      </c>
      <c r="B360" s="1936"/>
      <c r="C360" t="s">
        <v>2378</v>
      </c>
      <c r="D360" s="1936"/>
      <c r="E360" s="1936"/>
      <c r="F360" s="1941">
        <v>0</v>
      </c>
      <c r="G360" s="1941">
        <v>0</v>
      </c>
      <c r="H360" s="1937" t="str">
        <f>IFERROR(IF(F360&gt;=VLOOKUP(A360,[2]Materiality!$I$6:$J$12,2,TRUE),IFERROR(IF(VLOOKUP("*CR",F360,1,FALSE)&gt;=0,"",VLOOKUP("*CR",F360,1,FALSE)),F360),""),"")</f>
        <v/>
      </c>
      <c r="I360" s="1938">
        <f t="shared" si="5"/>
        <v>0</v>
      </c>
    </row>
    <row r="361" spans="1:9" x14ac:dyDescent="0.25">
      <c r="A361" t="s">
        <v>3600</v>
      </c>
      <c r="B361" s="1936"/>
      <c r="C361" t="s">
        <v>2379</v>
      </c>
      <c r="D361" s="1936"/>
      <c r="E361" s="1936"/>
      <c r="F361" s="1941">
        <v>0</v>
      </c>
      <c r="G361" s="1941">
        <v>0</v>
      </c>
      <c r="H361" s="1937" t="str">
        <f>IFERROR(IF(F361&gt;=VLOOKUP(A361,[2]Materiality!$I$6:$J$12,2,TRUE),IFERROR(IF(VLOOKUP("*CR",F361,1,FALSE)&gt;=0,"",VLOOKUP("*CR",F361,1,FALSE)),F361),""),"")</f>
        <v/>
      </c>
      <c r="I361" s="1938">
        <f t="shared" si="5"/>
        <v>0</v>
      </c>
    </row>
    <row r="362" spans="1:9" x14ac:dyDescent="0.25">
      <c r="A362" t="s">
        <v>3600</v>
      </c>
      <c r="B362" s="1936"/>
      <c r="C362" t="s">
        <v>2380</v>
      </c>
      <c r="D362" s="1936"/>
      <c r="E362" s="1936"/>
      <c r="F362" s="1941">
        <v>35544.1</v>
      </c>
      <c r="G362" s="1941">
        <v>67041</v>
      </c>
      <c r="H362" s="1937" t="str">
        <f>IFERROR(IF(F362&gt;=VLOOKUP(A362,[2]Materiality!$I$6:$J$12,2,TRUE),IFERROR(IF(VLOOKUP("*CR",F362,1,FALSE)&gt;=0,"",VLOOKUP("*CR",F362,1,FALSE)),F362),""),"")</f>
        <v/>
      </c>
      <c r="I362" s="1938">
        <f t="shared" si="5"/>
        <v>0</v>
      </c>
    </row>
    <row r="363" spans="1:9" x14ac:dyDescent="0.25">
      <c r="A363" t="s">
        <v>3599</v>
      </c>
      <c r="B363" s="1936"/>
      <c r="C363" t="s">
        <v>2381</v>
      </c>
      <c r="D363" s="1936"/>
      <c r="E363" s="1936"/>
      <c r="F363" s="1941">
        <v>0</v>
      </c>
      <c r="G363" s="1941">
        <v>500</v>
      </c>
      <c r="H363" s="1937" t="str">
        <f>IFERROR(IF(F363&gt;=VLOOKUP(A363,[2]Materiality!$I$6:$J$12,2,TRUE),IFERROR(IF(VLOOKUP("*CR",F363,1,FALSE)&gt;=0,"",VLOOKUP("*CR",F363,1,FALSE)),F363),""),"")</f>
        <v/>
      </c>
      <c r="I363" s="1938">
        <f t="shared" si="5"/>
        <v>0</v>
      </c>
    </row>
    <row r="364" spans="1:9" x14ac:dyDescent="0.25">
      <c r="A364" t="s">
        <v>3598</v>
      </c>
      <c r="B364" s="1936"/>
      <c r="C364" t="s">
        <v>2382</v>
      </c>
      <c r="D364" s="1936"/>
      <c r="E364" s="1936"/>
      <c r="F364" s="1941">
        <v>0</v>
      </c>
      <c r="G364" s="1941">
        <v>0</v>
      </c>
      <c r="H364" s="1937" t="str">
        <f>IFERROR(IF(F364&gt;=VLOOKUP(A364,[2]Materiality!$I$6:$J$12,2,TRUE),IFERROR(IF(VLOOKUP("*CR",F364,1,FALSE)&gt;=0,"",VLOOKUP("*CR",F364,1,FALSE)),F364),""),"")</f>
        <v/>
      </c>
      <c r="I364" s="1938">
        <f t="shared" si="5"/>
        <v>0</v>
      </c>
    </row>
    <row r="365" spans="1:9" x14ac:dyDescent="0.25">
      <c r="A365" t="s">
        <v>3597</v>
      </c>
      <c r="B365" s="1936"/>
      <c r="C365" t="s">
        <v>2383</v>
      </c>
      <c r="D365" s="1936"/>
      <c r="E365" s="1936"/>
      <c r="F365" s="1941">
        <v>0</v>
      </c>
      <c r="G365" s="1941">
        <v>0</v>
      </c>
      <c r="H365" s="1937" t="str">
        <f>IFERROR(IF(F365&gt;=VLOOKUP(A365,[2]Materiality!$I$6:$J$12,2,TRUE),IFERROR(IF(VLOOKUP("*CR",F365,1,FALSE)&gt;=0,"",VLOOKUP("*CR",F365,1,FALSE)),F365),""),"")</f>
        <v/>
      </c>
      <c r="I365" s="1938">
        <f t="shared" si="5"/>
        <v>0</v>
      </c>
    </row>
    <row r="366" spans="1:9" x14ac:dyDescent="0.25">
      <c r="A366" t="s">
        <v>3596</v>
      </c>
      <c r="B366" s="1936"/>
      <c r="C366" t="s">
        <v>2384</v>
      </c>
      <c r="D366" s="1936"/>
      <c r="E366" s="1936"/>
      <c r="F366" s="1941">
        <v>968.08</v>
      </c>
      <c r="G366" s="1941">
        <v>1000</v>
      </c>
      <c r="H366" s="1937" t="str">
        <f>IFERROR(IF(F366&gt;=VLOOKUP(A366,[2]Materiality!$I$6:$J$12,2,TRUE),IFERROR(IF(VLOOKUP("*CR",F366,1,FALSE)&gt;=0,"",VLOOKUP("*CR",F366,1,FALSE)),F366),""),"")</f>
        <v/>
      </c>
      <c r="I366" s="1938">
        <f t="shared" si="5"/>
        <v>0</v>
      </c>
    </row>
    <row r="367" spans="1:9" x14ac:dyDescent="0.25">
      <c r="A367" t="s">
        <v>3595</v>
      </c>
      <c r="B367" s="1936"/>
      <c r="C367" t="s">
        <v>2385</v>
      </c>
      <c r="D367" s="1936"/>
      <c r="E367" s="1936"/>
      <c r="F367" s="1941">
        <v>0</v>
      </c>
      <c r="G367" s="1941">
        <v>0</v>
      </c>
      <c r="H367" s="1937" t="str">
        <f>IFERROR(IF(F367&gt;=VLOOKUP(A367,[2]Materiality!$I$6:$J$12,2,TRUE),IFERROR(IF(VLOOKUP("*CR",F367,1,FALSE)&gt;=0,"",VLOOKUP("*CR",F367,1,FALSE)),F367),""),"")</f>
        <v/>
      </c>
      <c r="I367" s="1938">
        <f t="shared" si="5"/>
        <v>0</v>
      </c>
    </row>
    <row r="368" spans="1:9" x14ac:dyDescent="0.25">
      <c r="A368" t="s">
        <v>3710</v>
      </c>
      <c r="B368" s="1936"/>
      <c r="C368" t="s">
        <v>2300</v>
      </c>
      <c r="D368" s="1936"/>
      <c r="E368" s="1936"/>
      <c r="F368" s="1941">
        <v>36512.18</v>
      </c>
      <c r="G368" s="1941">
        <v>68541</v>
      </c>
      <c r="H368" s="1937">
        <f>IFERROR(IF(F368&gt;=VLOOKUP(A368,[2]Materiality!$I$6:$J$12,2,TRUE),IFERROR(IF(VLOOKUP("*CR",F368,1,FALSE)&gt;=0,"",VLOOKUP("*CR",F368,1,FALSE)),F368),""),"")</f>
        <v>36512.18</v>
      </c>
      <c r="I368" s="1938">
        <f t="shared" si="5"/>
        <v>0</v>
      </c>
    </row>
    <row r="369" spans="1:9" x14ac:dyDescent="0.25">
      <c r="A369" t="s">
        <v>3720</v>
      </c>
      <c r="B369" s="1936"/>
      <c r="C369" t="s">
        <v>2386</v>
      </c>
      <c r="D369" s="1936"/>
      <c r="E369" s="1936"/>
      <c r="F369" s="1941">
        <v>800383.58</v>
      </c>
      <c r="G369" s="1941">
        <v>828896</v>
      </c>
      <c r="H369" s="1937">
        <f>IFERROR(IF(F369&gt;=VLOOKUP(A369,[2]Materiality!$I$6:$J$12,2,TRUE),IFERROR(IF(VLOOKUP("*CR",F369,1,FALSE)&gt;=0,"",VLOOKUP("*CR",F369,1,FALSE)),F369),""),"")</f>
        <v>800383.58</v>
      </c>
      <c r="I369" s="1938">
        <f t="shared" si="5"/>
        <v>0</v>
      </c>
    </row>
    <row r="370" spans="1:9" x14ac:dyDescent="0.25">
      <c r="A370" t="s">
        <v>3594</v>
      </c>
      <c r="B370" s="1936"/>
      <c r="C370" t="s">
        <v>2387</v>
      </c>
      <c r="D370" s="1936"/>
      <c r="E370" s="1936"/>
      <c r="F370" s="1941">
        <v>196737.41</v>
      </c>
      <c r="G370" s="1941">
        <v>196542</v>
      </c>
      <c r="H370" s="1937">
        <f>IFERROR(IF(F370&gt;=VLOOKUP(A370,[2]Materiality!$I$6:$J$12,2,TRUE),IFERROR(IF(VLOOKUP("*CR",F370,1,FALSE)&gt;=0,"",VLOOKUP("*CR",F370,1,FALSE)),F370),""),"")</f>
        <v>196737.41</v>
      </c>
      <c r="I370" s="1938">
        <f t="shared" si="5"/>
        <v>0</v>
      </c>
    </row>
    <row r="371" spans="1:9" x14ac:dyDescent="0.25">
      <c r="A371" t="s">
        <v>3593</v>
      </c>
      <c r="B371" s="1936"/>
      <c r="C371" t="s">
        <v>2388</v>
      </c>
      <c r="D371" s="1936"/>
      <c r="E371" s="1936"/>
      <c r="F371" s="1941">
        <v>45173.86</v>
      </c>
      <c r="G371" s="1941">
        <v>45174</v>
      </c>
      <c r="H371" s="1937" t="str">
        <f>IFERROR(IF(F371&gt;=VLOOKUP(A371,[2]Materiality!$I$6:$J$12,2,TRUE),IFERROR(IF(VLOOKUP("*CR",F371,1,FALSE)&gt;=0,"",VLOOKUP("*CR",F371,1,FALSE)),F371),""),"")</f>
        <v/>
      </c>
      <c r="I371" s="1938">
        <f t="shared" si="5"/>
        <v>0</v>
      </c>
    </row>
    <row r="372" spans="1:9" x14ac:dyDescent="0.25">
      <c r="A372" t="s">
        <v>3592</v>
      </c>
      <c r="B372" s="1936"/>
      <c r="C372" t="s">
        <v>2389</v>
      </c>
      <c r="D372" s="1936"/>
      <c r="E372" s="1936"/>
      <c r="F372" s="1941">
        <v>11200</v>
      </c>
      <c r="G372" s="1941">
        <v>11200</v>
      </c>
      <c r="H372" s="1937" t="str">
        <f>IFERROR(IF(F372&gt;=VLOOKUP(A372,[2]Materiality!$I$6:$J$12,2,TRUE),IFERROR(IF(VLOOKUP("*CR",F372,1,FALSE)&gt;=0,"",VLOOKUP("*CR",F372,1,FALSE)),F372),""),"")</f>
        <v/>
      </c>
      <c r="I372" s="1938">
        <f t="shared" si="5"/>
        <v>0</v>
      </c>
    </row>
    <row r="373" spans="1:9" x14ac:dyDescent="0.25">
      <c r="A373" t="s">
        <v>3591</v>
      </c>
      <c r="B373" s="1936"/>
      <c r="C373" t="s">
        <v>2390</v>
      </c>
      <c r="D373" s="1936"/>
      <c r="E373" s="1936"/>
      <c r="F373" s="1941">
        <v>14884.6</v>
      </c>
      <c r="G373" s="1941">
        <v>15565</v>
      </c>
      <c r="H373" s="1937" t="str">
        <f>IFERROR(IF(F373&gt;=VLOOKUP(A373,[2]Materiality!$I$6:$J$12,2,TRUE),IFERROR(IF(VLOOKUP("*CR",F373,1,FALSE)&gt;=0,"",VLOOKUP("*CR",F373,1,FALSE)),F373),""),"")</f>
        <v/>
      </c>
      <c r="I373" s="1938">
        <f t="shared" si="5"/>
        <v>0</v>
      </c>
    </row>
    <row r="374" spans="1:9" x14ac:dyDescent="0.25">
      <c r="A374" t="s">
        <v>3590</v>
      </c>
      <c r="B374" s="1936"/>
      <c r="C374" t="s">
        <v>2391</v>
      </c>
      <c r="D374" s="1936"/>
      <c r="E374" s="1936"/>
      <c r="F374" s="1941">
        <v>86970.26</v>
      </c>
      <c r="G374" s="1941">
        <v>95227</v>
      </c>
      <c r="H374" s="1937" t="str">
        <f>IFERROR(IF(F374&gt;=VLOOKUP(A374,[2]Materiality!$I$6:$J$12,2,TRUE),IFERROR(IF(VLOOKUP("*CR",F374,1,FALSE)&gt;=0,"",VLOOKUP("*CR",F374,1,FALSE)),F374),""),"")</f>
        <v/>
      </c>
      <c r="I374" s="1938">
        <f t="shared" si="5"/>
        <v>0</v>
      </c>
    </row>
    <row r="375" spans="1:9" x14ac:dyDescent="0.25">
      <c r="A375" t="s">
        <v>3589</v>
      </c>
      <c r="B375" s="1936"/>
      <c r="C375" t="s">
        <v>2392</v>
      </c>
      <c r="D375" s="1936"/>
      <c r="E375" s="1936"/>
      <c r="F375" s="1941">
        <v>15000</v>
      </c>
      <c r="G375" s="1941">
        <v>15000</v>
      </c>
      <c r="H375" s="1937" t="str">
        <f>IFERROR(IF(F375&gt;=VLOOKUP(A375,[2]Materiality!$I$6:$J$12,2,TRUE),IFERROR(IF(VLOOKUP("*CR",F375,1,FALSE)&gt;=0,"",VLOOKUP("*CR",F375,1,FALSE)),F375),""),"")</f>
        <v/>
      </c>
      <c r="I375" s="1938">
        <f t="shared" si="5"/>
        <v>0</v>
      </c>
    </row>
    <row r="376" spans="1:9" x14ac:dyDescent="0.25">
      <c r="A376" t="s">
        <v>3588</v>
      </c>
      <c r="B376" s="1936"/>
      <c r="C376" t="s">
        <v>2393</v>
      </c>
      <c r="D376" s="1936"/>
      <c r="E376" s="1936"/>
      <c r="F376" s="1941">
        <v>74300.850000000006</v>
      </c>
      <c r="G376" s="1941">
        <v>71000</v>
      </c>
      <c r="H376" s="1937" t="str">
        <f>IFERROR(IF(F376&gt;=VLOOKUP(A376,[2]Materiality!$I$6:$J$12,2,TRUE),IFERROR(IF(VLOOKUP("*CR",F376,1,FALSE)&gt;=0,"",VLOOKUP("*CR",F376,1,FALSE)),F376),""),"")</f>
        <v/>
      </c>
      <c r="I376" s="1938">
        <f t="shared" si="5"/>
        <v>0</v>
      </c>
    </row>
    <row r="377" spans="1:9" x14ac:dyDescent="0.25">
      <c r="A377" t="s">
        <v>3638</v>
      </c>
      <c r="B377" s="1936"/>
      <c r="C377" t="s">
        <v>203</v>
      </c>
      <c r="D377" s="1936"/>
      <c r="E377" s="1936"/>
      <c r="F377" s="1941">
        <v>444266.98</v>
      </c>
      <c r="G377" s="1941">
        <v>449708</v>
      </c>
      <c r="H377" s="1937">
        <f>IFERROR(IF(F377&gt;=VLOOKUP(A377,[2]Materiality!$I$6:$J$12,2,TRUE),IFERROR(IF(VLOOKUP("*CR",F377,1,FALSE)&gt;=0,"",VLOOKUP("*CR",F377,1,FALSE)),F377),""),"")</f>
        <v>444266.98</v>
      </c>
      <c r="I377" s="1938">
        <f t="shared" si="5"/>
        <v>0</v>
      </c>
    </row>
    <row r="378" spans="1:9" x14ac:dyDescent="0.25">
      <c r="A378" t="s">
        <v>3587</v>
      </c>
      <c r="B378" s="1936"/>
      <c r="C378" t="s">
        <v>2394</v>
      </c>
      <c r="D378" s="1936"/>
      <c r="E378" s="1936"/>
      <c r="F378" s="1941">
        <v>22459.35</v>
      </c>
      <c r="G378" s="1941">
        <v>22460</v>
      </c>
      <c r="H378" s="1937" t="str">
        <f>IFERROR(IF(F378&gt;=VLOOKUP(A378,[2]Materiality!$I$6:$J$12,2,TRUE),IFERROR(IF(VLOOKUP("*CR",F378,1,FALSE)&gt;=0,"",VLOOKUP("*CR",F378,1,FALSE)),F378),""),"")</f>
        <v/>
      </c>
      <c r="I378" s="1938">
        <f t="shared" si="5"/>
        <v>0</v>
      </c>
    </row>
    <row r="379" spans="1:9" x14ac:dyDescent="0.25">
      <c r="A379" t="s">
        <v>3586</v>
      </c>
      <c r="B379" s="1936"/>
      <c r="C379" t="s">
        <v>2395</v>
      </c>
      <c r="D379" s="1936"/>
      <c r="E379" s="1936"/>
      <c r="F379" s="1941">
        <v>82322.94</v>
      </c>
      <c r="G379" s="1941">
        <v>83201</v>
      </c>
      <c r="H379" s="1937" t="str">
        <f>IFERROR(IF(F379&gt;=VLOOKUP(A379,[2]Materiality!$I$6:$J$12,2,TRUE),IFERROR(IF(VLOOKUP("*CR",F379,1,FALSE)&gt;=0,"",VLOOKUP("*CR",F379,1,FALSE)),F379),""),"")</f>
        <v/>
      </c>
      <c r="I379" s="1938">
        <f t="shared" si="5"/>
        <v>0</v>
      </c>
    </row>
    <row r="380" spans="1:9" x14ac:dyDescent="0.25">
      <c r="A380" t="s">
        <v>3585</v>
      </c>
      <c r="B380" s="1936"/>
      <c r="C380" t="s">
        <v>2396</v>
      </c>
      <c r="D380" s="1936"/>
      <c r="E380" s="1936"/>
      <c r="F380" s="1941">
        <v>0</v>
      </c>
      <c r="G380" s="1941">
        <v>0</v>
      </c>
      <c r="H380" s="1937" t="str">
        <f>IFERROR(IF(F380&gt;=VLOOKUP(A380,[2]Materiality!$I$6:$J$12,2,TRUE),IFERROR(IF(VLOOKUP("*CR",F380,1,FALSE)&gt;=0,"",VLOOKUP("*CR",F380,1,FALSE)),F380),""),"")</f>
        <v/>
      </c>
      <c r="I380" s="1938">
        <f t="shared" si="5"/>
        <v>0</v>
      </c>
    </row>
    <row r="381" spans="1:9" x14ac:dyDescent="0.25">
      <c r="A381" t="s">
        <v>3584</v>
      </c>
      <c r="B381" s="1936"/>
      <c r="C381" t="s">
        <v>2397</v>
      </c>
      <c r="D381" s="1936"/>
      <c r="E381" s="1936"/>
      <c r="F381" s="1941">
        <v>699.86</v>
      </c>
      <c r="G381" s="1941">
        <v>706</v>
      </c>
      <c r="H381" s="1937" t="str">
        <f>IFERROR(IF(F381&gt;=VLOOKUP(A381,[2]Materiality!$I$6:$J$12,2,TRUE),IFERROR(IF(VLOOKUP("*CR",F381,1,FALSE)&gt;=0,"",VLOOKUP("*CR",F381,1,FALSE)),F381),""),"")</f>
        <v/>
      </c>
      <c r="I381" s="1938">
        <f t="shared" si="5"/>
        <v>0</v>
      </c>
    </row>
    <row r="382" spans="1:9" x14ac:dyDescent="0.25">
      <c r="A382" t="s">
        <v>3708</v>
      </c>
      <c r="B382" s="1936"/>
      <c r="C382" t="s">
        <v>51</v>
      </c>
      <c r="D382" s="1936"/>
      <c r="E382" s="1936"/>
      <c r="F382" s="1941">
        <v>105482.15</v>
      </c>
      <c r="G382" s="1941">
        <v>106367</v>
      </c>
      <c r="H382" s="1937">
        <f>IFERROR(IF(F382&gt;=VLOOKUP(A382,[2]Materiality!$I$6:$J$12,2,TRUE),IFERROR(IF(VLOOKUP("*CR",F382,1,FALSE)&gt;=0,"",VLOOKUP("*CR",F382,1,FALSE)),F382),""),"")</f>
        <v>105482.15</v>
      </c>
      <c r="I382" s="1938">
        <f t="shared" si="5"/>
        <v>0</v>
      </c>
    </row>
    <row r="383" spans="1:9" x14ac:dyDescent="0.25">
      <c r="A383" t="s">
        <v>3583</v>
      </c>
      <c r="B383" s="1936"/>
      <c r="C383" t="s">
        <v>2398</v>
      </c>
      <c r="D383" s="1936"/>
      <c r="E383" s="1936"/>
      <c r="F383" s="1941">
        <v>0</v>
      </c>
      <c r="G383" s="1941">
        <v>2000</v>
      </c>
      <c r="H383" s="1937" t="str">
        <f>IFERROR(IF(F383&gt;=VLOOKUP(A383,[2]Materiality!$I$6:$J$12,2,TRUE),IFERROR(IF(VLOOKUP("*CR",F383,1,FALSE)&gt;=0,"",VLOOKUP("*CR",F383,1,FALSE)),F383),""),"")</f>
        <v/>
      </c>
      <c r="I383" s="1938">
        <f t="shared" si="5"/>
        <v>0</v>
      </c>
    </row>
    <row r="384" spans="1:9" x14ac:dyDescent="0.25">
      <c r="A384" t="s">
        <v>3582</v>
      </c>
      <c r="B384" s="1936"/>
      <c r="C384" t="s">
        <v>2399</v>
      </c>
      <c r="D384" s="1936"/>
      <c r="E384" s="1936"/>
      <c r="F384" s="1941">
        <v>0</v>
      </c>
      <c r="G384" s="1941">
        <v>0</v>
      </c>
      <c r="H384" s="1937" t="str">
        <f>IFERROR(IF(F384&gt;=VLOOKUP(A384,[2]Materiality!$I$6:$J$12,2,TRUE),IFERROR(IF(VLOOKUP("*CR",F384,1,FALSE)&gt;=0,"",VLOOKUP("*CR",F384,1,FALSE)),F384),""),"")</f>
        <v/>
      </c>
      <c r="I384" s="1938">
        <f t="shared" si="5"/>
        <v>0</v>
      </c>
    </row>
    <row r="385" spans="1:9" x14ac:dyDescent="0.25">
      <c r="A385" t="s">
        <v>3581</v>
      </c>
      <c r="B385" s="1936"/>
      <c r="C385" t="s">
        <v>2400</v>
      </c>
      <c r="D385" s="1936"/>
      <c r="E385" s="1936"/>
      <c r="F385" s="1941">
        <v>7806.49</v>
      </c>
      <c r="G385" s="1941">
        <v>8000</v>
      </c>
      <c r="H385" s="1937" t="str">
        <f>IFERROR(IF(F385&gt;=VLOOKUP(A385,[2]Materiality!$I$6:$J$12,2,TRUE),IFERROR(IF(VLOOKUP("*CR",F385,1,FALSE)&gt;=0,"",VLOOKUP("*CR",F385,1,FALSE)),F385),""),"")</f>
        <v/>
      </c>
      <c r="I385" s="1938">
        <f t="shared" si="5"/>
        <v>0</v>
      </c>
    </row>
    <row r="386" spans="1:9" x14ac:dyDescent="0.25">
      <c r="A386" t="s">
        <v>3709</v>
      </c>
      <c r="B386" s="1936"/>
      <c r="C386" t="s">
        <v>1162</v>
      </c>
      <c r="D386" s="1936"/>
      <c r="E386" s="1936"/>
      <c r="F386" s="1941">
        <v>7806.49</v>
      </c>
      <c r="G386" s="1941">
        <v>10000</v>
      </c>
      <c r="H386" s="1937" t="str">
        <f>IFERROR(IF(F386&gt;=VLOOKUP(A386,[2]Materiality!$I$6:$J$12,2,TRUE),IFERROR(IF(VLOOKUP("*CR",F386,1,FALSE)&gt;=0,"",VLOOKUP("*CR",F386,1,FALSE)),F386),""),"")</f>
        <v/>
      </c>
      <c r="I386" s="1938">
        <f t="shared" si="5"/>
        <v>0</v>
      </c>
    </row>
    <row r="387" spans="1:9" x14ac:dyDescent="0.25">
      <c r="A387" t="s">
        <v>3580</v>
      </c>
      <c r="B387" s="1936"/>
      <c r="C387" t="s">
        <v>2401</v>
      </c>
      <c r="D387" s="1936"/>
      <c r="E387" s="1936"/>
      <c r="F387" s="1941">
        <v>36927.51</v>
      </c>
      <c r="G387" s="1941">
        <v>22836</v>
      </c>
      <c r="H387" s="1937" t="str">
        <f>IFERROR(IF(F387&gt;=VLOOKUP(A387,[2]Materiality!$I$6:$J$12,2,TRUE),IFERROR(IF(VLOOKUP("*CR",F387,1,FALSE)&gt;=0,"",VLOOKUP("*CR",F387,1,FALSE)),F387),""),"")</f>
        <v/>
      </c>
      <c r="I387" s="1938">
        <f t="shared" si="5"/>
        <v>0</v>
      </c>
    </row>
    <row r="388" spans="1:9" x14ac:dyDescent="0.25">
      <c r="A388" t="s">
        <v>3579</v>
      </c>
      <c r="B388" s="1936"/>
      <c r="C388" t="s">
        <v>2402</v>
      </c>
      <c r="D388" s="1936"/>
      <c r="E388" s="1936"/>
      <c r="F388" s="1941">
        <v>54128.99</v>
      </c>
      <c r="G388" s="1941">
        <v>56708</v>
      </c>
      <c r="H388" s="1937" t="str">
        <f>IFERROR(IF(F388&gt;=VLOOKUP(A388,[2]Materiality!$I$6:$J$12,2,TRUE),IFERROR(IF(VLOOKUP("*CR",F388,1,FALSE)&gt;=0,"",VLOOKUP("*CR",F388,1,FALSE)),F388),""),"")</f>
        <v/>
      </c>
      <c r="I388" s="1938">
        <f t="shared" ref="I388:I451" si="6">IF(F388&lt;0,F388,0)</f>
        <v>0</v>
      </c>
    </row>
    <row r="389" spans="1:9" x14ac:dyDescent="0.25">
      <c r="A389" t="s">
        <v>3578</v>
      </c>
      <c r="B389" s="1936"/>
      <c r="C389" t="s">
        <v>2403</v>
      </c>
      <c r="D389" s="1936"/>
      <c r="E389" s="1936"/>
      <c r="F389" s="1941">
        <v>2081</v>
      </c>
      <c r="G389" s="1941">
        <v>2000</v>
      </c>
      <c r="H389" s="1937" t="str">
        <f>IFERROR(IF(F389&gt;=VLOOKUP(A389,[2]Materiality!$I$6:$J$12,2,TRUE),IFERROR(IF(VLOOKUP("*CR",F389,1,FALSE)&gt;=0,"",VLOOKUP("*CR",F389,1,FALSE)),F389),""),"")</f>
        <v/>
      </c>
      <c r="I389" s="1938">
        <f t="shared" si="6"/>
        <v>0</v>
      </c>
    </row>
    <row r="390" spans="1:9" x14ac:dyDescent="0.25">
      <c r="A390" t="s">
        <v>3577</v>
      </c>
      <c r="B390" s="1936"/>
      <c r="C390" t="s">
        <v>2404</v>
      </c>
      <c r="D390" s="1936"/>
      <c r="E390" s="1936"/>
      <c r="F390" s="1941">
        <v>2942.6</v>
      </c>
      <c r="G390" s="1941">
        <v>2000</v>
      </c>
      <c r="H390" s="1937" t="str">
        <f>IFERROR(IF(F390&gt;=VLOOKUP(A390,[2]Materiality!$I$6:$J$12,2,TRUE),IFERROR(IF(VLOOKUP("*CR",F390,1,FALSE)&gt;=0,"",VLOOKUP("*CR",F390,1,FALSE)),F390),""),"")</f>
        <v/>
      </c>
      <c r="I390" s="1938">
        <f t="shared" si="6"/>
        <v>0</v>
      </c>
    </row>
    <row r="391" spans="1:9" x14ac:dyDescent="0.25">
      <c r="A391" t="s">
        <v>3710</v>
      </c>
      <c r="B391" s="1936"/>
      <c r="C391" t="s">
        <v>2300</v>
      </c>
      <c r="D391" s="1936"/>
      <c r="E391" s="1936"/>
      <c r="F391" s="1941">
        <v>96080.1</v>
      </c>
      <c r="G391" s="1941">
        <v>83544</v>
      </c>
      <c r="H391" s="1937">
        <f>IFERROR(IF(F391&gt;=VLOOKUP(A391,[2]Materiality!$I$6:$J$12,2,TRUE),IFERROR(IF(VLOOKUP("*CR",F391,1,FALSE)&gt;=0,"",VLOOKUP("*CR",F391,1,FALSE)),F391),""),"")</f>
        <v>96080.1</v>
      </c>
      <c r="I391" s="1938">
        <f t="shared" si="6"/>
        <v>0</v>
      </c>
    </row>
    <row r="392" spans="1:9" x14ac:dyDescent="0.25">
      <c r="A392" t="s">
        <v>3576</v>
      </c>
      <c r="B392" s="1936"/>
      <c r="C392" t="s">
        <v>2405</v>
      </c>
      <c r="D392" s="1936"/>
      <c r="E392" s="1936"/>
      <c r="F392" s="1941">
        <v>4467.6400000000003</v>
      </c>
      <c r="G392" s="1941">
        <v>4500</v>
      </c>
      <c r="H392" s="1937" t="str">
        <f>IFERROR(IF(F392&gt;=VLOOKUP(A392,[2]Materiality!$I$6:$J$12,2,TRUE),IFERROR(IF(VLOOKUP("*CR",F392,1,FALSE)&gt;=0,"",VLOOKUP("*CR",F392,1,FALSE)),F392),""),"")</f>
        <v/>
      </c>
      <c r="I392" s="1938">
        <f t="shared" si="6"/>
        <v>0</v>
      </c>
    </row>
    <row r="393" spans="1:9" x14ac:dyDescent="0.25">
      <c r="A393" t="s">
        <v>3711</v>
      </c>
      <c r="B393" s="1936"/>
      <c r="C393" t="s">
        <v>1157</v>
      </c>
      <c r="D393" s="1936"/>
      <c r="E393" s="1936"/>
      <c r="F393" s="1941">
        <v>4467.6400000000003</v>
      </c>
      <c r="G393" s="1941">
        <v>4500</v>
      </c>
      <c r="H393" s="1937" t="str">
        <f>IFERROR(IF(F393&gt;=VLOOKUP(A393,[2]Materiality!$I$6:$J$12,2,TRUE),IFERROR(IF(VLOOKUP("*CR",F393,1,FALSE)&gt;=0,"",VLOOKUP("*CR",F393,1,FALSE)),F393),""),"")</f>
        <v/>
      </c>
      <c r="I393" s="1938">
        <f t="shared" si="6"/>
        <v>0</v>
      </c>
    </row>
    <row r="394" spans="1:9" x14ac:dyDescent="0.25">
      <c r="A394" t="s">
        <v>3575</v>
      </c>
      <c r="B394" s="1936"/>
      <c r="C394" t="s">
        <v>2406</v>
      </c>
      <c r="D394" s="1936"/>
      <c r="E394" s="1936"/>
      <c r="F394" s="1941">
        <v>0</v>
      </c>
      <c r="G394" s="1941">
        <v>0</v>
      </c>
      <c r="H394" s="1937" t="str">
        <f>IFERROR(IF(F394&gt;=VLOOKUP(A394,[2]Materiality!$I$6:$J$12,2,TRUE),IFERROR(IF(VLOOKUP("*CR",F394,1,FALSE)&gt;=0,"",VLOOKUP("*CR",F394,1,FALSE)),F394),""),"")</f>
        <v/>
      </c>
      <c r="I394" s="1938">
        <f t="shared" si="6"/>
        <v>0</v>
      </c>
    </row>
    <row r="395" spans="1:9" x14ac:dyDescent="0.25">
      <c r="A395" t="s">
        <v>3714</v>
      </c>
      <c r="B395" s="1936"/>
      <c r="C395" t="s">
        <v>1158</v>
      </c>
      <c r="D395" s="1936"/>
      <c r="E395" s="1936"/>
      <c r="F395" s="1941">
        <v>0</v>
      </c>
      <c r="G395" s="1941">
        <v>0</v>
      </c>
      <c r="H395" s="1937">
        <f>IFERROR(IF(F395&gt;=VLOOKUP(A395,[2]Materiality!$I$6:$J$12,2,TRUE),IFERROR(IF(VLOOKUP("*CR",F395,1,FALSE)&gt;=0,"",VLOOKUP("*CR",F395,1,FALSE)),F395),""),"")</f>
        <v>0</v>
      </c>
      <c r="I395" s="1938">
        <f t="shared" si="6"/>
        <v>0</v>
      </c>
    </row>
    <row r="396" spans="1:9" x14ac:dyDescent="0.25">
      <c r="A396" t="s">
        <v>163</v>
      </c>
      <c r="B396" s="1936"/>
      <c r="C396" t="s">
        <v>1192</v>
      </c>
      <c r="D396" s="1936"/>
      <c r="E396" s="1936"/>
      <c r="F396" s="1941">
        <v>658103.36</v>
      </c>
      <c r="G396" s="1941">
        <v>654119</v>
      </c>
      <c r="H396" s="1937">
        <f>IFERROR(IF(F396&gt;=VLOOKUP(A396,[2]Materiality!$I$6:$J$12,2,TRUE),IFERROR(IF(VLOOKUP("*CR",F396,1,FALSE)&gt;=0,"",VLOOKUP("*CR",F396,1,FALSE)),F396),""),"")</f>
        <v>658103.36</v>
      </c>
      <c r="I396" s="1938">
        <f t="shared" si="6"/>
        <v>0</v>
      </c>
    </row>
    <row r="397" spans="1:9" x14ac:dyDescent="0.25">
      <c r="A397" t="s">
        <v>3869</v>
      </c>
      <c r="B397" s="1936"/>
      <c r="C397" t="s">
        <v>2407</v>
      </c>
      <c r="D397" s="1936"/>
      <c r="E397" s="1936"/>
      <c r="F397" s="1941">
        <v>720</v>
      </c>
      <c r="G397" s="1941">
        <v>2000</v>
      </c>
      <c r="H397" s="1937" t="str">
        <f>IFERROR(IF(F397&gt;=VLOOKUP(A397,[2]Materiality!$I$6:$J$12,2,TRUE),IFERROR(IF(VLOOKUP("*CR",F397,1,FALSE)&gt;=0,"",VLOOKUP("*CR",F397,1,FALSE)),F397),""),"")</f>
        <v/>
      </c>
      <c r="I397" s="1938">
        <f t="shared" si="6"/>
        <v>0</v>
      </c>
    </row>
    <row r="398" spans="1:9" x14ac:dyDescent="0.25">
      <c r="A398" t="s">
        <v>3638</v>
      </c>
      <c r="B398" s="1936"/>
      <c r="C398" t="s">
        <v>203</v>
      </c>
      <c r="D398" s="1936"/>
      <c r="E398" s="1936"/>
      <c r="F398" s="1941">
        <v>720</v>
      </c>
      <c r="G398" s="1941">
        <v>2000</v>
      </c>
      <c r="H398" s="1937" t="str">
        <f>IFERROR(IF(F398&gt;=VLOOKUP(A398,[2]Materiality!$I$6:$J$12,2,TRUE),IFERROR(IF(VLOOKUP("*CR",F398,1,FALSE)&gt;=0,"",VLOOKUP("*CR",F398,1,FALSE)),F398),""),"")</f>
        <v/>
      </c>
      <c r="I398" s="1938">
        <f t="shared" si="6"/>
        <v>0</v>
      </c>
    </row>
    <row r="399" spans="1:9" x14ac:dyDescent="0.25">
      <c r="A399" t="s">
        <v>3870</v>
      </c>
      <c r="B399" s="1936"/>
      <c r="C399" t="s">
        <v>2408</v>
      </c>
      <c r="D399" s="1936"/>
      <c r="E399" s="1936"/>
      <c r="F399" s="1941">
        <v>96</v>
      </c>
      <c r="G399" s="1941">
        <v>200</v>
      </c>
      <c r="H399" s="1937" t="str">
        <f>IFERROR(IF(F399&gt;=VLOOKUP(A399,[2]Materiality!$I$6:$J$12,2,TRUE),IFERROR(IF(VLOOKUP("*CR",F399,1,FALSE)&gt;=0,"",VLOOKUP("*CR",F399,1,FALSE)),F399),""),"")</f>
        <v/>
      </c>
      <c r="I399" s="1938">
        <f t="shared" si="6"/>
        <v>0</v>
      </c>
    </row>
    <row r="400" spans="1:9" x14ac:dyDescent="0.25">
      <c r="A400" t="s">
        <v>3709</v>
      </c>
      <c r="B400" s="1936"/>
      <c r="C400" t="s">
        <v>1162</v>
      </c>
      <c r="D400" s="1936"/>
      <c r="E400" s="1936"/>
      <c r="F400" s="1941">
        <v>96</v>
      </c>
      <c r="G400" s="1941">
        <v>200</v>
      </c>
      <c r="H400" s="1937" t="str">
        <f>IFERROR(IF(F400&gt;=VLOOKUP(A400,[2]Materiality!$I$6:$J$12,2,TRUE),IFERROR(IF(VLOOKUP("*CR",F400,1,FALSE)&gt;=0,"",VLOOKUP("*CR",F400,1,FALSE)),F400),""),"")</f>
        <v/>
      </c>
      <c r="I400" s="1938">
        <f t="shared" si="6"/>
        <v>0</v>
      </c>
    </row>
    <row r="401" spans="1:9" x14ac:dyDescent="0.25">
      <c r="A401" t="s">
        <v>3871</v>
      </c>
      <c r="B401" s="1936"/>
      <c r="C401" t="s">
        <v>2409</v>
      </c>
      <c r="D401" s="1936"/>
      <c r="E401" s="1936"/>
      <c r="F401" s="1941">
        <v>817.33</v>
      </c>
      <c r="G401" s="1941">
        <v>850</v>
      </c>
      <c r="H401" s="1937" t="str">
        <f>IFERROR(IF(F401&gt;=VLOOKUP(A401,[2]Materiality!$I$6:$J$12,2,TRUE),IFERROR(IF(VLOOKUP("*CR",F401,1,FALSE)&gt;=0,"",VLOOKUP("*CR",F401,1,FALSE)),F401),""),"")</f>
        <v/>
      </c>
      <c r="I401" s="1938">
        <f t="shared" si="6"/>
        <v>0</v>
      </c>
    </row>
    <row r="402" spans="1:9" x14ac:dyDescent="0.25">
      <c r="A402" t="s">
        <v>3710</v>
      </c>
      <c r="B402" s="1936"/>
      <c r="C402" t="s">
        <v>2300</v>
      </c>
      <c r="D402" s="1936"/>
      <c r="E402" s="1936"/>
      <c r="F402" s="1941">
        <v>817.33</v>
      </c>
      <c r="G402" s="1941">
        <v>850</v>
      </c>
      <c r="H402" s="1937" t="str">
        <f>IFERROR(IF(F402&gt;=VLOOKUP(A402,[2]Materiality!$I$6:$J$12,2,TRUE),IFERROR(IF(VLOOKUP("*CR",F402,1,FALSE)&gt;=0,"",VLOOKUP("*CR",F402,1,FALSE)),F402),""),"")</f>
        <v/>
      </c>
      <c r="I402" s="1938">
        <f t="shared" si="6"/>
        <v>0</v>
      </c>
    </row>
    <row r="403" spans="1:9" x14ac:dyDescent="0.25">
      <c r="A403" t="s">
        <v>3872</v>
      </c>
      <c r="B403" s="1936"/>
      <c r="C403" t="s">
        <v>2410</v>
      </c>
      <c r="D403" s="1936"/>
      <c r="E403" s="1936"/>
      <c r="F403" s="1941">
        <v>0</v>
      </c>
      <c r="G403" s="1941">
        <v>0</v>
      </c>
      <c r="H403" s="1937" t="str">
        <f>IFERROR(IF(F403&gt;=VLOOKUP(A403,[2]Materiality!$I$6:$J$12,2,TRUE),IFERROR(IF(VLOOKUP("*CR",F403,1,FALSE)&gt;=0,"",VLOOKUP("*CR",F403,1,FALSE)),F403),""),"")</f>
        <v/>
      </c>
      <c r="I403" s="1938">
        <f t="shared" si="6"/>
        <v>0</v>
      </c>
    </row>
    <row r="404" spans="1:9" x14ac:dyDescent="0.25">
      <c r="A404" t="s">
        <v>3711</v>
      </c>
      <c r="B404" s="1936"/>
      <c r="C404" t="s">
        <v>1157</v>
      </c>
      <c r="D404" s="1936"/>
      <c r="E404" s="1936"/>
      <c r="F404" s="1941">
        <v>0</v>
      </c>
      <c r="G404" s="1941">
        <v>0</v>
      </c>
      <c r="H404" s="1937" t="str">
        <f>IFERROR(IF(F404&gt;=VLOOKUP(A404,[2]Materiality!$I$6:$J$12,2,TRUE),IFERROR(IF(VLOOKUP("*CR",F404,1,FALSE)&gt;=0,"",VLOOKUP("*CR",F404,1,FALSE)),F404),""),"")</f>
        <v/>
      </c>
      <c r="I404" s="1938">
        <f t="shared" si="6"/>
        <v>0</v>
      </c>
    </row>
    <row r="405" spans="1:9" x14ac:dyDescent="0.25">
      <c r="A405" t="s">
        <v>3645</v>
      </c>
      <c r="B405" s="1936"/>
      <c r="C405" t="s">
        <v>2411</v>
      </c>
      <c r="D405" s="1936"/>
      <c r="E405" s="1936"/>
      <c r="F405" s="1941">
        <v>1633.33</v>
      </c>
      <c r="G405" s="1941">
        <v>3050</v>
      </c>
      <c r="H405" s="1937" t="str">
        <f>IFERROR(IF(F405&gt;=VLOOKUP(A405,[2]Materiality!$I$6:$J$12,2,TRUE),IFERROR(IF(VLOOKUP("*CR",F405,1,FALSE)&gt;=0,"",VLOOKUP("*CR",F405,1,FALSE)),F405),""),"")</f>
        <v/>
      </c>
      <c r="I405" s="1938">
        <f t="shared" si="6"/>
        <v>0</v>
      </c>
    </row>
    <row r="406" spans="1:9" x14ac:dyDescent="0.25">
      <c r="A406" t="s">
        <v>3870</v>
      </c>
      <c r="B406" s="1936"/>
      <c r="C406" t="s">
        <v>2412</v>
      </c>
      <c r="D406" s="1936"/>
      <c r="E406" s="1936"/>
      <c r="F406" s="1941">
        <v>0</v>
      </c>
      <c r="G406" s="1941">
        <v>200</v>
      </c>
      <c r="H406" s="1937" t="str">
        <f>IFERROR(IF(F406&gt;=VLOOKUP(A406,[2]Materiality!$I$6:$J$12,2,TRUE),IFERROR(IF(VLOOKUP("*CR",F406,1,FALSE)&gt;=0,"",VLOOKUP("*CR",F406,1,FALSE)),F406),""),"")</f>
        <v/>
      </c>
      <c r="I406" s="1938">
        <f t="shared" si="6"/>
        <v>0</v>
      </c>
    </row>
    <row r="407" spans="1:9" x14ac:dyDescent="0.25">
      <c r="A407" t="s">
        <v>3709</v>
      </c>
      <c r="B407" s="1936"/>
      <c r="C407" t="s">
        <v>1162</v>
      </c>
      <c r="D407" s="1936"/>
      <c r="E407" s="1936"/>
      <c r="F407" s="1941">
        <v>0</v>
      </c>
      <c r="G407" s="1941">
        <v>200</v>
      </c>
      <c r="H407" s="1937" t="str">
        <f>IFERROR(IF(F407&gt;=VLOOKUP(A407,[2]Materiality!$I$6:$J$12,2,TRUE),IFERROR(IF(VLOOKUP("*CR",F407,1,FALSE)&gt;=0,"",VLOOKUP("*CR",F407,1,FALSE)),F407),""),"")</f>
        <v/>
      </c>
      <c r="I407" s="1938">
        <f t="shared" si="6"/>
        <v>0</v>
      </c>
    </row>
    <row r="408" spans="1:9" x14ac:dyDescent="0.25">
      <c r="A408" t="s">
        <v>3871</v>
      </c>
      <c r="B408" s="1936"/>
      <c r="C408" t="s">
        <v>2413</v>
      </c>
      <c r="D408" s="1936"/>
      <c r="E408" s="1936"/>
      <c r="F408" s="1941">
        <v>647.5</v>
      </c>
      <c r="G408" s="1941">
        <v>1100</v>
      </c>
      <c r="H408" s="1937" t="str">
        <f>IFERROR(IF(F408&gt;=VLOOKUP(A408,[2]Materiality!$I$6:$J$12,2,TRUE),IFERROR(IF(VLOOKUP("*CR",F408,1,FALSE)&gt;=0,"",VLOOKUP("*CR",F408,1,FALSE)),F408),""),"")</f>
        <v/>
      </c>
      <c r="I408" s="1938">
        <f t="shared" si="6"/>
        <v>0</v>
      </c>
    </row>
    <row r="409" spans="1:9" x14ac:dyDescent="0.25">
      <c r="A409" t="s">
        <v>3710</v>
      </c>
      <c r="B409" s="1936"/>
      <c r="C409" t="s">
        <v>2300</v>
      </c>
      <c r="D409" s="1936"/>
      <c r="E409" s="1936"/>
      <c r="F409" s="1941">
        <v>647.5</v>
      </c>
      <c r="G409" s="1941">
        <v>1100</v>
      </c>
      <c r="H409" s="1937" t="str">
        <f>IFERROR(IF(F409&gt;=VLOOKUP(A409,[2]Materiality!$I$6:$J$12,2,TRUE),IFERROR(IF(VLOOKUP("*CR",F409,1,FALSE)&gt;=0,"",VLOOKUP("*CR",F409,1,FALSE)),F409),""),"")</f>
        <v/>
      </c>
      <c r="I409" s="1938">
        <f t="shared" si="6"/>
        <v>0</v>
      </c>
    </row>
    <row r="410" spans="1:9" x14ac:dyDescent="0.25">
      <c r="A410" t="s">
        <v>3872</v>
      </c>
      <c r="B410" s="1936"/>
      <c r="C410" t="s">
        <v>2414</v>
      </c>
      <c r="D410" s="1936"/>
      <c r="E410" s="1936"/>
      <c r="F410" s="1941">
        <v>0</v>
      </c>
      <c r="G410" s="1941">
        <v>500</v>
      </c>
      <c r="H410" s="1937" t="str">
        <f>IFERROR(IF(F410&gt;=VLOOKUP(A410,[2]Materiality!$I$6:$J$12,2,TRUE),IFERROR(IF(VLOOKUP("*CR",F410,1,FALSE)&gt;=0,"",VLOOKUP("*CR",F410,1,FALSE)),F410),""),"")</f>
        <v/>
      </c>
      <c r="I410" s="1938">
        <f t="shared" si="6"/>
        <v>0</v>
      </c>
    </row>
    <row r="411" spans="1:9" x14ac:dyDescent="0.25">
      <c r="A411" t="s">
        <v>3711</v>
      </c>
      <c r="B411" s="1936"/>
      <c r="C411" t="s">
        <v>1157</v>
      </c>
      <c r="D411" s="1936"/>
      <c r="E411" s="1936"/>
      <c r="F411" s="1941">
        <v>0</v>
      </c>
      <c r="G411" s="1941">
        <v>500</v>
      </c>
      <c r="H411" s="1937" t="str">
        <f>IFERROR(IF(F411&gt;=VLOOKUP(A411,[2]Materiality!$I$6:$J$12,2,TRUE),IFERROR(IF(VLOOKUP("*CR",F411,1,FALSE)&gt;=0,"",VLOOKUP("*CR",F411,1,FALSE)),F411),""),"")</f>
        <v/>
      </c>
      <c r="I411" s="1938">
        <f t="shared" si="6"/>
        <v>0</v>
      </c>
    </row>
    <row r="412" spans="1:9" x14ac:dyDescent="0.25">
      <c r="A412" t="s">
        <v>3721</v>
      </c>
      <c r="B412" s="1936"/>
      <c r="C412" t="s">
        <v>2415</v>
      </c>
      <c r="D412" s="1936"/>
      <c r="E412" s="1936"/>
      <c r="F412" s="1941">
        <v>647.5</v>
      </c>
      <c r="G412" s="1941">
        <v>1800</v>
      </c>
      <c r="H412" s="1937" t="str">
        <f>IFERROR(IF(F412&gt;=VLOOKUP(A412,[2]Materiality!$I$6:$J$12,2,TRUE),IFERROR(IF(VLOOKUP("*CR",F412,1,FALSE)&gt;=0,"",VLOOKUP("*CR",F412,1,FALSE)),F412),""),"")</f>
        <v/>
      </c>
      <c r="I412" s="1938">
        <f t="shared" si="6"/>
        <v>0</v>
      </c>
    </row>
    <row r="413" spans="1:9" x14ac:dyDescent="0.25">
      <c r="A413" t="s">
        <v>3869</v>
      </c>
      <c r="B413" s="1936"/>
      <c r="C413" t="s">
        <v>2416</v>
      </c>
      <c r="D413" s="1936"/>
      <c r="E413" s="1936"/>
      <c r="F413" s="1941">
        <v>525</v>
      </c>
      <c r="G413" s="1941">
        <v>1000</v>
      </c>
      <c r="H413" s="1937" t="str">
        <f>IFERROR(IF(F413&gt;=VLOOKUP(A413,[2]Materiality!$I$6:$J$12,2,TRUE),IFERROR(IF(VLOOKUP("*CR",F413,1,FALSE)&gt;=0,"",VLOOKUP("*CR",F413,1,FALSE)),F413),""),"")</f>
        <v/>
      </c>
      <c r="I413" s="1938">
        <f t="shared" si="6"/>
        <v>0</v>
      </c>
    </row>
    <row r="414" spans="1:9" x14ac:dyDescent="0.25">
      <c r="A414" t="s">
        <v>3873</v>
      </c>
      <c r="B414" s="1936"/>
      <c r="C414" t="s">
        <v>2417</v>
      </c>
      <c r="D414" s="1936"/>
      <c r="E414" s="1936"/>
      <c r="F414" s="1941">
        <v>2400</v>
      </c>
      <c r="G414" s="1941">
        <v>2400</v>
      </c>
      <c r="H414" s="1937" t="str">
        <f>IFERROR(IF(F414&gt;=VLOOKUP(A414,[2]Materiality!$I$6:$J$12,2,TRUE),IFERROR(IF(VLOOKUP("*CR",F414,1,FALSE)&gt;=0,"",VLOOKUP("*CR",F414,1,FALSE)),F414),""),"")</f>
        <v/>
      </c>
      <c r="I414" s="1938">
        <f t="shared" si="6"/>
        <v>0</v>
      </c>
    </row>
    <row r="415" spans="1:9" x14ac:dyDescent="0.25">
      <c r="A415" t="s">
        <v>3638</v>
      </c>
      <c r="B415" s="1936"/>
      <c r="C415" t="s">
        <v>203</v>
      </c>
      <c r="D415" s="1936"/>
      <c r="E415" s="1936"/>
      <c r="F415" s="1941">
        <v>2925</v>
      </c>
      <c r="G415" s="1941">
        <v>3400</v>
      </c>
      <c r="H415" s="1937" t="str">
        <f>IFERROR(IF(F415&gt;=VLOOKUP(A415,[2]Materiality!$I$6:$J$12,2,TRUE),IFERROR(IF(VLOOKUP("*CR",F415,1,FALSE)&gt;=0,"",VLOOKUP("*CR",F415,1,FALSE)),F415),""),"")</f>
        <v/>
      </c>
      <c r="I415" s="1938">
        <f t="shared" si="6"/>
        <v>0</v>
      </c>
    </row>
    <row r="416" spans="1:9" x14ac:dyDescent="0.25">
      <c r="A416" t="s">
        <v>3874</v>
      </c>
      <c r="B416" s="1936"/>
      <c r="C416" t="s">
        <v>2418</v>
      </c>
      <c r="D416" s="1936"/>
      <c r="E416" s="1936"/>
      <c r="F416" s="1941">
        <v>275.81</v>
      </c>
      <c r="G416" s="1941">
        <v>250</v>
      </c>
      <c r="H416" s="1937" t="str">
        <f>IFERROR(IF(F416&gt;=VLOOKUP(A416,[2]Materiality!$I$6:$J$12,2,TRUE),IFERROR(IF(VLOOKUP("*CR",F416,1,FALSE)&gt;=0,"",VLOOKUP("*CR",F416,1,FALSE)),F416),""),"")</f>
        <v/>
      </c>
      <c r="I416" s="1938">
        <f t="shared" si="6"/>
        <v>0</v>
      </c>
    </row>
    <row r="417" spans="1:9" x14ac:dyDescent="0.25">
      <c r="A417" t="s">
        <v>3708</v>
      </c>
      <c r="B417" s="1936"/>
      <c r="C417" t="s">
        <v>51</v>
      </c>
      <c r="D417" s="1936"/>
      <c r="E417" s="1936"/>
      <c r="F417" s="1941">
        <v>275.81</v>
      </c>
      <c r="G417" s="1941">
        <v>250</v>
      </c>
      <c r="H417" s="1937" t="str">
        <f>IFERROR(IF(F417&gt;=VLOOKUP(A417,[2]Materiality!$I$6:$J$12,2,TRUE),IFERROR(IF(VLOOKUP("*CR",F417,1,FALSE)&gt;=0,"",VLOOKUP("*CR",F417,1,FALSE)),F417),""),"")</f>
        <v/>
      </c>
      <c r="I417" s="1938">
        <f t="shared" si="6"/>
        <v>0</v>
      </c>
    </row>
    <row r="418" spans="1:9" x14ac:dyDescent="0.25">
      <c r="A418" t="s">
        <v>3875</v>
      </c>
      <c r="B418" s="1936"/>
      <c r="C418" t="s">
        <v>2419</v>
      </c>
      <c r="D418" s="1936"/>
      <c r="E418" s="1936"/>
      <c r="F418" s="1941">
        <v>0</v>
      </c>
      <c r="G418" s="1941">
        <v>0</v>
      </c>
      <c r="H418" s="1937" t="str">
        <f>IFERROR(IF(F418&gt;=VLOOKUP(A418,[2]Materiality!$I$6:$J$12,2,TRUE),IFERROR(IF(VLOOKUP("*CR",F418,1,FALSE)&gt;=0,"",VLOOKUP("*CR",F418,1,FALSE)),F418),""),"")</f>
        <v/>
      </c>
      <c r="I418" s="1938">
        <f t="shared" si="6"/>
        <v>0</v>
      </c>
    </row>
    <row r="419" spans="1:9" x14ac:dyDescent="0.25">
      <c r="A419" t="s">
        <v>3709</v>
      </c>
      <c r="B419" s="1936"/>
      <c r="C419" t="s">
        <v>1162</v>
      </c>
      <c r="D419" s="1936"/>
      <c r="E419" s="1936"/>
      <c r="F419" s="1941">
        <v>0</v>
      </c>
      <c r="G419" s="1941">
        <v>0</v>
      </c>
      <c r="H419" s="1937" t="str">
        <f>IFERROR(IF(F419&gt;=VLOOKUP(A419,[2]Materiality!$I$6:$J$12,2,TRUE),IFERROR(IF(VLOOKUP("*CR",F419,1,FALSE)&gt;=0,"",VLOOKUP("*CR",F419,1,FALSE)),F419),""),"")</f>
        <v/>
      </c>
      <c r="I419" s="1938">
        <f t="shared" si="6"/>
        <v>0</v>
      </c>
    </row>
    <row r="420" spans="1:9" x14ac:dyDescent="0.25">
      <c r="A420" t="s">
        <v>3871</v>
      </c>
      <c r="B420" s="1936"/>
      <c r="C420" t="s">
        <v>2420</v>
      </c>
      <c r="D420" s="1936"/>
      <c r="E420" s="1936"/>
      <c r="F420" s="1941">
        <v>791.32</v>
      </c>
      <c r="G420" s="1941">
        <v>750</v>
      </c>
      <c r="H420" s="1937" t="str">
        <f>IFERROR(IF(F420&gt;=VLOOKUP(A420,[2]Materiality!$I$6:$J$12,2,TRUE),IFERROR(IF(VLOOKUP("*CR",F420,1,FALSE)&gt;=0,"",VLOOKUP("*CR",F420,1,FALSE)),F420),""),"")</f>
        <v/>
      </c>
      <c r="I420" s="1938">
        <f t="shared" si="6"/>
        <v>0</v>
      </c>
    </row>
    <row r="421" spans="1:9" x14ac:dyDescent="0.25">
      <c r="A421" t="s">
        <v>3876</v>
      </c>
      <c r="B421" s="1936"/>
      <c r="C421" t="s">
        <v>2421</v>
      </c>
      <c r="D421" s="1936"/>
      <c r="E421" s="1936"/>
      <c r="F421" s="1941">
        <v>0</v>
      </c>
      <c r="G421" s="1941">
        <v>100</v>
      </c>
      <c r="H421" s="1937" t="str">
        <f>IFERROR(IF(F421&gt;=VLOOKUP(A421,[2]Materiality!$I$6:$J$12,2,TRUE),IFERROR(IF(VLOOKUP("*CR",F421,1,FALSE)&gt;=0,"",VLOOKUP("*CR",F421,1,FALSE)),F421),""),"")</f>
        <v/>
      </c>
      <c r="I421" s="1938">
        <f t="shared" si="6"/>
        <v>0</v>
      </c>
    </row>
    <row r="422" spans="1:9" x14ac:dyDescent="0.25">
      <c r="A422" t="s">
        <v>3710</v>
      </c>
      <c r="B422" s="1936"/>
      <c r="C422" t="s">
        <v>2300</v>
      </c>
      <c r="D422" s="1936"/>
      <c r="E422" s="1936"/>
      <c r="F422" s="1941">
        <v>791.32</v>
      </c>
      <c r="G422" s="1941">
        <v>850</v>
      </c>
      <c r="H422" s="1937" t="str">
        <f>IFERROR(IF(F422&gt;=VLOOKUP(A422,[2]Materiality!$I$6:$J$12,2,TRUE),IFERROR(IF(VLOOKUP("*CR",F422,1,FALSE)&gt;=0,"",VLOOKUP("*CR",F422,1,FALSE)),F422),""),"")</f>
        <v/>
      </c>
      <c r="I422" s="1938">
        <f t="shared" si="6"/>
        <v>0</v>
      </c>
    </row>
    <row r="423" spans="1:9" x14ac:dyDescent="0.25">
      <c r="A423" t="s">
        <v>3877</v>
      </c>
      <c r="B423" s="1936"/>
      <c r="C423" t="s">
        <v>2422</v>
      </c>
      <c r="D423" s="1936"/>
      <c r="E423" s="1936"/>
      <c r="F423" s="1941">
        <v>0</v>
      </c>
      <c r="G423" s="1941">
        <v>200</v>
      </c>
      <c r="H423" s="1937" t="str">
        <f>IFERROR(IF(F423&gt;=VLOOKUP(A423,[2]Materiality!$I$6:$J$12,2,TRUE),IFERROR(IF(VLOOKUP("*CR",F423,1,FALSE)&gt;=0,"",VLOOKUP("*CR",F423,1,FALSE)),F423),""),"")</f>
        <v/>
      </c>
      <c r="I423" s="1938">
        <f t="shared" si="6"/>
        <v>0</v>
      </c>
    </row>
    <row r="424" spans="1:9" x14ac:dyDescent="0.25">
      <c r="A424" t="s">
        <v>3714</v>
      </c>
      <c r="B424" s="1936"/>
      <c r="C424" t="s">
        <v>1158</v>
      </c>
      <c r="D424" s="1936"/>
      <c r="E424" s="1936"/>
      <c r="F424" s="1941">
        <v>0</v>
      </c>
      <c r="G424" s="1941">
        <v>200</v>
      </c>
      <c r="H424" s="1937">
        <f>IFERROR(IF(F424&gt;=VLOOKUP(A424,[2]Materiality!$I$6:$J$12,2,TRUE),IFERROR(IF(VLOOKUP("*CR",F424,1,FALSE)&gt;=0,"",VLOOKUP("*CR",F424,1,FALSE)),F424),""),"")</f>
        <v>0</v>
      </c>
      <c r="I424" s="1938">
        <f t="shared" si="6"/>
        <v>0</v>
      </c>
    </row>
    <row r="425" spans="1:9" x14ac:dyDescent="0.25">
      <c r="A425" t="s">
        <v>3722</v>
      </c>
      <c r="B425" s="1936"/>
      <c r="C425" t="s">
        <v>2423</v>
      </c>
      <c r="D425" s="1936"/>
      <c r="E425" s="1936"/>
      <c r="F425" s="1941">
        <v>3992.13</v>
      </c>
      <c r="G425" s="1941">
        <v>4700</v>
      </c>
      <c r="H425" s="1937" t="str">
        <f>IFERROR(IF(F425&gt;=VLOOKUP(A425,[2]Materiality!$I$6:$J$12,2,TRUE),IFERROR(IF(VLOOKUP("*CR",F425,1,FALSE)&gt;=0,"",VLOOKUP("*CR",F425,1,FALSE)),F425),""),"")</f>
        <v/>
      </c>
      <c r="I425" s="1938">
        <f t="shared" si="6"/>
        <v>0</v>
      </c>
    </row>
    <row r="426" spans="1:9" x14ac:dyDescent="0.25">
      <c r="A426" t="s">
        <v>3879</v>
      </c>
      <c r="B426" s="1936"/>
      <c r="C426" t="s">
        <v>2424</v>
      </c>
      <c r="D426" s="1936"/>
      <c r="E426" s="1936"/>
      <c r="F426" s="1941">
        <v>118426.19</v>
      </c>
      <c r="G426" s="1941">
        <v>118407</v>
      </c>
      <c r="H426" s="1937" t="str">
        <f>IFERROR(IF(F426&gt;=VLOOKUP(A426,[2]Materiality!$I$6:$J$12,2,TRUE),IFERROR(IF(VLOOKUP("*CR",F426,1,FALSE)&gt;=0,"",VLOOKUP("*CR",F426,1,FALSE)),F426),""),"")</f>
        <v/>
      </c>
      <c r="I426" s="1938">
        <f t="shared" si="6"/>
        <v>0</v>
      </c>
    </row>
    <row r="427" spans="1:9" x14ac:dyDescent="0.25">
      <c r="A427" t="s">
        <v>3638</v>
      </c>
      <c r="B427" s="1936"/>
      <c r="C427" t="s">
        <v>203</v>
      </c>
      <c r="D427" s="1936"/>
      <c r="E427" s="1936"/>
      <c r="F427" s="1941">
        <v>118426.19</v>
      </c>
      <c r="G427" s="1941">
        <v>118407</v>
      </c>
      <c r="H427" s="1937" t="str">
        <f>IFERROR(IF(F427&gt;=VLOOKUP(A427,[2]Materiality!$I$6:$J$12,2,TRUE),IFERROR(IF(VLOOKUP("*CR",F427,1,FALSE)&gt;=0,"",VLOOKUP("*CR",F427,1,FALSE)),F427),""),"")</f>
        <v/>
      </c>
      <c r="I427" s="1938">
        <f t="shared" si="6"/>
        <v>0</v>
      </c>
    </row>
    <row r="428" spans="1:9" x14ac:dyDescent="0.25">
      <c r="A428" t="s">
        <v>3874</v>
      </c>
      <c r="B428" s="1936"/>
      <c r="C428" t="s">
        <v>2425</v>
      </c>
      <c r="D428" s="1936"/>
      <c r="E428" s="1936"/>
      <c r="F428" s="1941">
        <v>13729.35</v>
      </c>
      <c r="G428" s="1941">
        <v>13729</v>
      </c>
      <c r="H428" s="1937" t="str">
        <f>IFERROR(IF(F428&gt;=VLOOKUP(A428,[2]Materiality!$I$6:$J$12,2,TRUE),IFERROR(IF(VLOOKUP("*CR",F428,1,FALSE)&gt;=0,"",VLOOKUP("*CR",F428,1,FALSE)),F428),""),"")</f>
        <v/>
      </c>
      <c r="I428" s="1938">
        <f t="shared" si="6"/>
        <v>0</v>
      </c>
    </row>
    <row r="429" spans="1:9" x14ac:dyDescent="0.25">
      <c r="A429" t="s">
        <v>3880</v>
      </c>
      <c r="B429" s="1936"/>
      <c r="C429" t="s">
        <v>2426</v>
      </c>
      <c r="D429" s="1936"/>
      <c r="E429" s="1936"/>
      <c r="F429" s="1941">
        <v>16429.919999999998</v>
      </c>
      <c r="G429" s="1941">
        <v>16430</v>
      </c>
      <c r="H429" s="1937" t="str">
        <f>IFERROR(IF(F429&gt;=VLOOKUP(A429,[2]Materiality!$I$6:$J$12,2,TRUE),IFERROR(IF(VLOOKUP("*CR",F429,1,FALSE)&gt;=0,"",VLOOKUP("*CR",F429,1,FALSE)),F429),""),"")</f>
        <v/>
      </c>
      <c r="I429" s="1938">
        <f t="shared" si="6"/>
        <v>0</v>
      </c>
    </row>
    <row r="430" spans="1:9" x14ac:dyDescent="0.25">
      <c r="A430" t="s">
        <v>3881</v>
      </c>
      <c r="B430" s="1936"/>
      <c r="C430" t="s">
        <v>2427</v>
      </c>
      <c r="D430" s="1936"/>
      <c r="E430" s="1936"/>
      <c r="F430" s="1941">
        <v>0</v>
      </c>
      <c r="G430" s="1941">
        <v>0</v>
      </c>
      <c r="H430" s="1937" t="str">
        <f>IFERROR(IF(F430&gt;=VLOOKUP(A430,[2]Materiality!$I$6:$J$12,2,TRUE),IFERROR(IF(VLOOKUP("*CR",F430,1,FALSE)&gt;=0,"",VLOOKUP("*CR",F430,1,FALSE)),F430),""),"")</f>
        <v/>
      </c>
      <c r="I430" s="1938">
        <f t="shared" si="6"/>
        <v>0</v>
      </c>
    </row>
    <row r="431" spans="1:9" x14ac:dyDescent="0.25">
      <c r="A431" t="s">
        <v>3882</v>
      </c>
      <c r="B431" s="1936"/>
      <c r="C431" t="s">
        <v>2428</v>
      </c>
      <c r="D431" s="1936"/>
      <c r="E431" s="1936"/>
      <c r="F431" s="1941">
        <v>112.8</v>
      </c>
      <c r="G431" s="1941">
        <v>99</v>
      </c>
      <c r="H431" s="1937" t="str">
        <f>IFERROR(IF(F431&gt;=VLOOKUP(A431,[2]Materiality!$I$6:$J$12,2,TRUE),IFERROR(IF(VLOOKUP("*CR",F431,1,FALSE)&gt;=0,"",VLOOKUP("*CR",F431,1,FALSE)),F431),""),"")</f>
        <v/>
      </c>
      <c r="I431" s="1938">
        <f t="shared" si="6"/>
        <v>0</v>
      </c>
    </row>
    <row r="432" spans="1:9" x14ac:dyDescent="0.25">
      <c r="A432" t="s">
        <v>3708</v>
      </c>
      <c r="B432" s="1936"/>
      <c r="C432" t="s">
        <v>51</v>
      </c>
      <c r="D432" s="1936"/>
      <c r="E432" s="1936"/>
      <c r="F432" s="1941">
        <v>30272.07</v>
      </c>
      <c r="G432" s="1941">
        <v>30258</v>
      </c>
      <c r="H432" s="1937">
        <f>IFERROR(IF(F432&gt;=VLOOKUP(A432,[2]Materiality!$I$6:$J$12,2,TRUE),IFERROR(IF(VLOOKUP("*CR",F432,1,FALSE)&gt;=0,"",VLOOKUP("*CR",F432,1,FALSE)),F432),""),"")</f>
        <v>30272.07</v>
      </c>
      <c r="I432" s="1938">
        <f t="shared" si="6"/>
        <v>0</v>
      </c>
    </row>
    <row r="433" spans="1:9" x14ac:dyDescent="0.25">
      <c r="A433" t="s">
        <v>3870</v>
      </c>
      <c r="B433" s="1936"/>
      <c r="C433" t="s">
        <v>2429</v>
      </c>
      <c r="D433" s="1936"/>
      <c r="E433" s="1936"/>
      <c r="F433" s="1941">
        <v>719.3</v>
      </c>
      <c r="G433" s="1941">
        <v>1500</v>
      </c>
      <c r="H433" s="1937" t="str">
        <f>IFERROR(IF(F433&gt;=VLOOKUP(A433,[2]Materiality!$I$6:$J$12,2,TRUE),IFERROR(IF(VLOOKUP("*CR",F433,1,FALSE)&gt;=0,"",VLOOKUP("*CR",F433,1,FALSE)),F433),""),"")</f>
        <v/>
      </c>
      <c r="I433" s="1938">
        <f t="shared" si="6"/>
        <v>0</v>
      </c>
    </row>
    <row r="434" spans="1:9" x14ac:dyDescent="0.25">
      <c r="A434" t="s">
        <v>3709</v>
      </c>
      <c r="B434" s="1936"/>
      <c r="C434" t="s">
        <v>1162</v>
      </c>
      <c r="D434" s="1936"/>
      <c r="E434" s="1936"/>
      <c r="F434" s="1941">
        <v>719.3</v>
      </c>
      <c r="G434" s="1941">
        <v>1500</v>
      </c>
      <c r="H434" s="1937" t="str">
        <f>IFERROR(IF(F434&gt;=VLOOKUP(A434,[2]Materiality!$I$6:$J$12,2,TRUE),IFERROR(IF(VLOOKUP("*CR",F434,1,FALSE)&gt;=0,"",VLOOKUP("*CR",F434,1,FALSE)),F434),""),"")</f>
        <v/>
      </c>
      <c r="I434" s="1938">
        <f t="shared" si="6"/>
        <v>0</v>
      </c>
    </row>
    <row r="435" spans="1:9" x14ac:dyDescent="0.25">
      <c r="A435" t="s">
        <v>3871</v>
      </c>
      <c r="B435" s="1936"/>
      <c r="C435" t="s">
        <v>2430</v>
      </c>
      <c r="D435" s="1936"/>
      <c r="E435" s="1936"/>
      <c r="F435" s="1941">
        <v>1747.25</v>
      </c>
      <c r="G435" s="1941">
        <v>2000</v>
      </c>
      <c r="H435" s="1937" t="str">
        <f>IFERROR(IF(F435&gt;=VLOOKUP(A435,[2]Materiality!$I$6:$J$12,2,TRUE),IFERROR(IF(VLOOKUP("*CR",F435,1,FALSE)&gt;=0,"",VLOOKUP("*CR",F435,1,FALSE)),F435),""),"")</f>
        <v/>
      </c>
      <c r="I435" s="1938">
        <f t="shared" si="6"/>
        <v>0</v>
      </c>
    </row>
    <row r="436" spans="1:9" x14ac:dyDescent="0.25">
      <c r="A436" t="s">
        <v>3876</v>
      </c>
      <c r="B436" s="1936"/>
      <c r="C436" t="s">
        <v>2431</v>
      </c>
      <c r="D436" s="1936"/>
      <c r="E436" s="1936"/>
      <c r="F436" s="1941">
        <v>532</v>
      </c>
      <c r="G436" s="1941">
        <v>500</v>
      </c>
      <c r="H436" s="1937" t="str">
        <f>IFERROR(IF(F436&gt;=VLOOKUP(A436,[2]Materiality!$I$6:$J$12,2,TRUE),IFERROR(IF(VLOOKUP("*CR",F436,1,FALSE)&gt;=0,"",VLOOKUP("*CR",F436,1,FALSE)),F436),""),"")</f>
        <v/>
      </c>
      <c r="I436" s="1938">
        <f t="shared" si="6"/>
        <v>0</v>
      </c>
    </row>
    <row r="437" spans="1:9" x14ac:dyDescent="0.25">
      <c r="A437" t="s">
        <v>3710</v>
      </c>
      <c r="B437" s="1936"/>
      <c r="C437" t="s">
        <v>2300</v>
      </c>
      <c r="D437" s="1936"/>
      <c r="E437" s="1936"/>
      <c r="F437" s="1941">
        <v>2279.25</v>
      </c>
      <c r="G437" s="1941">
        <v>2500</v>
      </c>
      <c r="H437" s="1937" t="str">
        <f>IFERROR(IF(F437&gt;=VLOOKUP(A437,[2]Materiality!$I$6:$J$12,2,TRUE),IFERROR(IF(VLOOKUP("*CR",F437,1,FALSE)&gt;=0,"",VLOOKUP("*CR",F437,1,FALSE)),F437),""),"")</f>
        <v/>
      </c>
      <c r="I437" s="1938">
        <f t="shared" si="6"/>
        <v>0</v>
      </c>
    </row>
    <row r="438" spans="1:9" x14ac:dyDescent="0.25">
      <c r="A438" t="s">
        <v>3872</v>
      </c>
      <c r="B438" s="1936"/>
      <c r="C438" t="s">
        <v>2432</v>
      </c>
      <c r="D438" s="1936"/>
      <c r="E438" s="1936"/>
      <c r="F438" s="1941">
        <v>0</v>
      </c>
      <c r="G438" s="1941">
        <v>500</v>
      </c>
      <c r="H438" s="1937" t="str">
        <f>IFERROR(IF(F438&gt;=VLOOKUP(A438,[2]Materiality!$I$6:$J$12,2,TRUE),IFERROR(IF(VLOOKUP("*CR",F438,1,FALSE)&gt;=0,"",VLOOKUP("*CR",F438,1,FALSE)),F438),""),"")</f>
        <v/>
      </c>
      <c r="I438" s="1938">
        <f t="shared" si="6"/>
        <v>0</v>
      </c>
    </row>
    <row r="439" spans="1:9" x14ac:dyDescent="0.25">
      <c r="A439" t="s">
        <v>3711</v>
      </c>
      <c r="B439" s="1936"/>
      <c r="C439" t="s">
        <v>1157</v>
      </c>
      <c r="D439" s="1936"/>
      <c r="E439" s="1936"/>
      <c r="F439" s="1941">
        <v>0</v>
      </c>
      <c r="G439" s="1941">
        <v>500</v>
      </c>
      <c r="H439" s="1937" t="str">
        <f>IFERROR(IF(F439&gt;=VLOOKUP(A439,[2]Materiality!$I$6:$J$12,2,TRUE),IFERROR(IF(VLOOKUP("*CR",F439,1,FALSE)&gt;=0,"",VLOOKUP("*CR",F439,1,FALSE)),F439),""),"")</f>
        <v/>
      </c>
      <c r="I439" s="1938">
        <f t="shared" si="6"/>
        <v>0</v>
      </c>
    </row>
    <row r="440" spans="1:9" x14ac:dyDescent="0.25">
      <c r="A440" t="s">
        <v>3883</v>
      </c>
      <c r="B440" s="1936"/>
      <c r="C440" t="s">
        <v>2433</v>
      </c>
      <c r="D440" s="1936"/>
      <c r="E440" s="1936"/>
      <c r="F440" s="1941">
        <v>301.33</v>
      </c>
      <c r="G440" s="1941">
        <v>500</v>
      </c>
      <c r="H440" s="1937" t="str">
        <f>IFERROR(IF(F440&gt;=VLOOKUP(A440,[2]Materiality!$I$6:$J$12,2,TRUE),IFERROR(IF(VLOOKUP("*CR",F440,1,FALSE)&gt;=0,"",VLOOKUP("*CR",F440,1,FALSE)),F440),""),"")</f>
        <v/>
      </c>
      <c r="I440" s="1938">
        <f t="shared" si="6"/>
        <v>0</v>
      </c>
    </row>
    <row r="441" spans="1:9" x14ac:dyDescent="0.25">
      <c r="A441" t="s">
        <v>3714</v>
      </c>
      <c r="B441" s="1936"/>
      <c r="C441" t="s">
        <v>1158</v>
      </c>
      <c r="D441" s="1936"/>
      <c r="E441" s="1936"/>
      <c r="F441" s="1941">
        <v>301.33</v>
      </c>
      <c r="G441" s="1941">
        <v>500</v>
      </c>
      <c r="H441" s="1937">
        <f>IFERROR(IF(F441&gt;=VLOOKUP(A441,[2]Materiality!$I$6:$J$12,2,TRUE),IFERROR(IF(VLOOKUP("*CR",F441,1,FALSE)&gt;=0,"",VLOOKUP("*CR",F441,1,FALSE)),F441),""),"")</f>
        <v>301.33</v>
      </c>
      <c r="I441" s="1938">
        <f t="shared" si="6"/>
        <v>0</v>
      </c>
    </row>
    <row r="442" spans="1:9" x14ac:dyDescent="0.25">
      <c r="A442" t="s">
        <v>3723</v>
      </c>
      <c r="B442" s="1936"/>
      <c r="C442" t="s">
        <v>2434</v>
      </c>
      <c r="D442" s="1936"/>
      <c r="E442" s="1936"/>
      <c r="F442" s="1941">
        <v>151998.14000000001</v>
      </c>
      <c r="G442" s="1941">
        <v>153665</v>
      </c>
      <c r="H442" s="1937">
        <f>IFERROR(IF(F442&gt;=VLOOKUP(A442,[2]Materiality!$I$6:$J$12,2,TRUE),IFERROR(IF(VLOOKUP("*CR",F442,1,FALSE)&gt;=0,"",VLOOKUP("*CR",F442,1,FALSE)),F442),""),"")</f>
        <v>151998.14000000001</v>
      </c>
      <c r="I442" s="1938">
        <f t="shared" si="6"/>
        <v>0</v>
      </c>
    </row>
    <row r="443" spans="1:9" x14ac:dyDescent="0.25">
      <c r="A443" t="s">
        <v>3884</v>
      </c>
      <c r="B443" s="1936"/>
      <c r="C443" t="s">
        <v>2435</v>
      </c>
      <c r="D443" s="1936"/>
      <c r="E443" s="1936"/>
      <c r="F443" s="1941">
        <v>30394</v>
      </c>
      <c r="G443" s="1941">
        <v>29908</v>
      </c>
      <c r="H443" s="1937" t="str">
        <f>IFERROR(IF(F443&gt;=VLOOKUP(A443,[2]Materiality!$I$6:$J$12,2,TRUE),IFERROR(IF(VLOOKUP("*CR",F443,1,FALSE)&gt;=0,"",VLOOKUP("*CR",F443,1,FALSE)),F443),""),"")</f>
        <v/>
      </c>
      <c r="I443" s="1938">
        <f t="shared" si="6"/>
        <v>0</v>
      </c>
    </row>
    <row r="444" spans="1:9" x14ac:dyDescent="0.25">
      <c r="A444" t="s">
        <v>3638</v>
      </c>
      <c r="B444" s="1936"/>
      <c r="C444" t="s">
        <v>203</v>
      </c>
      <c r="D444" s="1936"/>
      <c r="E444" s="1936"/>
      <c r="F444" s="1941">
        <v>30394</v>
      </c>
      <c r="G444" s="1941">
        <v>29908</v>
      </c>
      <c r="H444" s="1937" t="str">
        <f>IFERROR(IF(F444&gt;=VLOOKUP(A444,[2]Materiality!$I$6:$J$12,2,TRUE),IFERROR(IF(VLOOKUP("*CR",F444,1,FALSE)&gt;=0,"",VLOOKUP("*CR",F444,1,FALSE)),F444),""),"")</f>
        <v/>
      </c>
      <c r="I444" s="1938">
        <f t="shared" si="6"/>
        <v>0</v>
      </c>
    </row>
    <row r="445" spans="1:9" x14ac:dyDescent="0.25">
      <c r="A445" t="s">
        <v>3874</v>
      </c>
      <c r="B445" s="1936"/>
      <c r="C445" t="s">
        <v>2436</v>
      </c>
      <c r="D445" s="1936"/>
      <c r="E445" s="1936"/>
      <c r="F445" s="1941">
        <v>2719.77</v>
      </c>
      <c r="G445" s="1941">
        <v>3149</v>
      </c>
      <c r="H445" s="1937" t="str">
        <f>IFERROR(IF(F445&gt;=VLOOKUP(A445,[2]Materiality!$I$6:$J$12,2,TRUE),IFERROR(IF(VLOOKUP("*CR",F445,1,FALSE)&gt;=0,"",VLOOKUP("*CR",F445,1,FALSE)),F445),""),"")</f>
        <v/>
      </c>
      <c r="I445" s="1938">
        <f t="shared" si="6"/>
        <v>0</v>
      </c>
    </row>
    <row r="446" spans="1:9" x14ac:dyDescent="0.25">
      <c r="A446" t="s">
        <v>3880</v>
      </c>
      <c r="B446" s="1936"/>
      <c r="C446" t="s">
        <v>2437</v>
      </c>
      <c r="D446" s="1936"/>
      <c r="E446" s="1936"/>
      <c r="F446" s="1941">
        <v>1962</v>
      </c>
      <c r="G446" s="1941">
        <v>0</v>
      </c>
      <c r="H446" s="1937" t="str">
        <f>IFERROR(IF(F446&gt;=VLOOKUP(A446,[2]Materiality!$I$6:$J$12,2,TRUE),IFERROR(IF(VLOOKUP("*CR",F446,1,FALSE)&gt;=0,"",VLOOKUP("*CR",F446,1,FALSE)),F446),""),"")</f>
        <v/>
      </c>
      <c r="I446" s="1938">
        <f t="shared" si="6"/>
        <v>0</v>
      </c>
    </row>
    <row r="447" spans="1:9" x14ac:dyDescent="0.25">
      <c r="A447" t="s">
        <v>3881</v>
      </c>
      <c r="B447" s="1936"/>
      <c r="C447" t="s">
        <v>2438</v>
      </c>
      <c r="D447" s="1936"/>
      <c r="E447" s="1936"/>
      <c r="F447" s="1941">
        <v>0</v>
      </c>
      <c r="G447" s="1941">
        <v>289</v>
      </c>
      <c r="H447" s="1937" t="str">
        <f>IFERROR(IF(F447&gt;=VLOOKUP(A447,[2]Materiality!$I$6:$J$12,2,TRUE),IFERROR(IF(VLOOKUP("*CR",F447,1,FALSE)&gt;=0,"",VLOOKUP("*CR",F447,1,FALSE)),F447),""),"")</f>
        <v/>
      </c>
      <c r="I447" s="1938">
        <f t="shared" si="6"/>
        <v>0</v>
      </c>
    </row>
    <row r="448" spans="1:9" x14ac:dyDescent="0.25">
      <c r="A448" t="s">
        <v>3882</v>
      </c>
      <c r="B448" s="1936"/>
      <c r="C448" t="s">
        <v>2439</v>
      </c>
      <c r="D448" s="1936"/>
      <c r="E448" s="1936"/>
      <c r="F448" s="1941">
        <v>0</v>
      </c>
      <c r="G448" s="1941">
        <v>0</v>
      </c>
      <c r="H448" s="1937" t="str">
        <f>IFERROR(IF(F448&gt;=VLOOKUP(A448,[2]Materiality!$I$6:$J$12,2,TRUE),IFERROR(IF(VLOOKUP("*CR",F448,1,FALSE)&gt;=0,"",VLOOKUP("*CR",F448,1,FALSE)),F448),""),"")</f>
        <v/>
      </c>
      <c r="I448" s="1938">
        <f t="shared" si="6"/>
        <v>0</v>
      </c>
    </row>
    <row r="449" spans="1:9" x14ac:dyDescent="0.25">
      <c r="A449" t="s">
        <v>3708</v>
      </c>
      <c r="B449" s="1936"/>
      <c r="C449" t="s">
        <v>51</v>
      </c>
      <c r="D449" s="1936"/>
      <c r="E449" s="1936"/>
      <c r="F449" s="1941">
        <v>4681.7700000000004</v>
      </c>
      <c r="G449" s="1941">
        <v>3438</v>
      </c>
      <c r="H449" s="1937" t="str">
        <f>IFERROR(IF(F449&gt;=VLOOKUP(A449,[2]Materiality!$I$6:$J$12,2,TRUE),IFERROR(IF(VLOOKUP("*CR",F449,1,FALSE)&gt;=0,"",VLOOKUP("*CR",F449,1,FALSE)),F449),""),"")</f>
        <v/>
      </c>
      <c r="I449" s="1938">
        <f t="shared" si="6"/>
        <v>0</v>
      </c>
    </row>
    <row r="450" spans="1:9" x14ac:dyDescent="0.25">
      <c r="A450" t="s">
        <v>3885</v>
      </c>
      <c r="B450" s="1936"/>
      <c r="C450" t="s">
        <v>2440</v>
      </c>
      <c r="D450" s="1936"/>
      <c r="E450" s="1936"/>
      <c r="F450" s="1941">
        <v>12862.5</v>
      </c>
      <c r="G450" s="1941">
        <v>13000</v>
      </c>
      <c r="H450" s="1937" t="str">
        <f>IFERROR(IF(F450&gt;=VLOOKUP(A450,[2]Materiality!$I$6:$J$12,2,TRUE),IFERROR(IF(VLOOKUP("*CR",F450,1,FALSE)&gt;=0,"",VLOOKUP("*CR",F450,1,FALSE)),F450),""),"")</f>
        <v/>
      </c>
      <c r="I450" s="1938">
        <f t="shared" si="6"/>
        <v>0</v>
      </c>
    </row>
    <row r="451" spans="1:9" x14ac:dyDescent="0.25">
      <c r="A451" t="s">
        <v>3886</v>
      </c>
      <c r="B451" s="1936"/>
      <c r="C451" t="s">
        <v>2441</v>
      </c>
      <c r="D451" s="1936"/>
      <c r="E451" s="1936"/>
      <c r="F451" s="1941">
        <v>871.27</v>
      </c>
      <c r="G451" s="1941">
        <v>1800</v>
      </c>
      <c r="H451" s="1937" t="str">
        <f>IFERROR(IF(F451&gt;=VLOOKUP(A451,[2]Materiality!$I$6:$J$12,2,TRUE),IFERROR(IF(VLOOKUP("*CR",F451,1,FALSE)&gt;=0,"",VLOOKUP("*CR",F451,1,FALSE)),F451),""),"")</f>
        <v/>
      </c>
      <c r="I451" s="1938">
        <f t="shared" si="6"/>
        <v>0</v>
      </c>
    </row>
    <row r="452" spans="1:9" x14ac:dyDescent="0.25">
      <c r="A452" t="s">
        <v>3709</v>
      </c>
      <c r="B452" s="1936"/>
      <c r="C452" t="s">
        <v>1162</v>
      </c>
      <c r="D452" s="1936"/>
      <c r="E452" s="1936"/>
      <c r="F452" s="1941">
        <v>13733.77</v>
      </c>
      <c r="G452" s="1941">
        <v>14800</v>
      </c>
      <c r="H452" s="1937" t="str">
        <f>IFERROR(IF(F452&gt;=VLOOKUP(A452,[2]Materiality!$I$6:$J$12,2,TRUE),IFERROR(IF(VLOOKUP("*CR",F452,1,FALSE)&gt;=0,"",VLOOKUP("*CR",F452,1,FALSE)),F452),""),"")</f>
        <v/>
      </c>
      <c r="I452" s="1938">
        <f t="shared" ref="I452:I515" si="7">IF(F452&lt;0,F452,0)</f>
        <v>0</v>
      </c>
    </row>
    <row r="453" spans="1:9" x14ac:dyDescent="0.25">
      <c r="A453" t="s">
        <v>3871</v>
      </c>
      <c r="B453" s="1936"/>
      <c r="C453" t="s">
        <v>2442</v>
      </c>
      <c r="D453" s="1936"/>
      <c r="E453" s="1936"/>
      <c r="F453" s="1941">
        <v>1459.64</v>
      </c>
      <c r="G453" s="1941">
        <v>2000</v>
      </c>
      <c r="H453" s="1937" t="str">
        <f>IFERROR(IF(F453&gt;=VLOOKUP(A453,[2]Materiality!$I$6:$J$12,2,TRUE),IFERROR(IF(VLOOKUP("*CR",F453,1,FALSE)&gt;=0,"",VLOOKUP("*CR",F453,1,FALSE)),F453),""),"")</f>
        <v/>
      </c>
      <c r="I453" s="1938">
        <f t="shared" si="7"/>
        <v>0</v>
      </c>
    </row>
    <row r="454" spans="1:9" x14ac:dyDescent="0.25">
      <c r="A454" t="s">
        <v>3887</v>
      </c>
      <c r="B454" s="1936"/>
      <c r="C454" t="s">
        <v>2443</v>
      </c>
      <c r="D454" s="1936"/>
      <c r="E454" s="1936"/>
      <c r="F454" s="1941">
        <v>2102.85</v>
      </c>
      <c r="G454" s="1941">
        <v>2100</v>
      </c>
      <c r="H454" s="1937" t="str">
        <f>IFERROR(IF(F454&gt;=VLOOKUP(A454,[2]Materiality!$I$6:$J$12,2,TRUE),IFERROR(IF(VLOOKUP("*CR",F454,1,FALSE)&gt;=0,"",VLOOKUP("*CR",F454,1,FALSE)),F454),""),"")</f>
        <v/>
      </c>
      <c r="I454" s="1938">
        <f t="shared" si="7"/>
        <v>0</v>
      </c>
    </row>
    <row r="455" spans="1:9" x14ac:dyDescent="0.25">
      <c r="A455" t="s">
        <v>3888</v>
      </c>
      <c r="B455" s="1936"/>
      <c r="C455" t="s">
        <v>2444</v>
      </c>
      <c r="D455" s="1936"/>
      <c r="E455" s="1936"/>
      <c r="F455" s="1941">
        <v>1578.3</v>
      </c>
      <c r="G455" s="1941">
        <v>2000</v>
      </c>
      <c r="H455" s="1937" t="str">
        <f>IFERROR(IF(F455&gt;=VLOOKUP(A455,[2]Materiality!$I$6:$J$12,2,TRUE),IFERROR(IF(VLOOKUP("*CR",F455,1,FALSE)&gt;=0,"",VLOOKUP("*CR",F455,1,FALSE)),F455),""),"")</f>
        <v/>
      </c>
      <c r="I455" s="1938">
        <f t="shared" si="7"/>
        <v>0</v>
      </c>
    </row>
    <row r="456" spans="1:9" x14ac:dyDescent="0.25">
      <c r="A456" t="s">
        <v>3710</v>
      </c>
      <c r="B456" s="1936"/>
      <c r="C456" t="s">
        <v>2300</v>
      </c>
      <c r="D456" s="1936"/>
      <c r="E456" s="1936"/>
      <c r="F456" s="1941">
        <v>5140.79</v>
      </c>
      <c r="G456" s="1941">
        <v>6100</v>
      </c>
      <c r="H456" s="1937" t="str">
        <f>IFERROR(IF(F456&gt;=VLOOKUP(A456,[2]Materiality!$I$6:$J$12,2,TRUE),IFERROR(IF(VLOOKUP("*CR",F456,1,FALSE)&gt;=0,"",VLOOKUP("*CR",F456,1,FALSE)),F456),""),"")</f>
        <v/>
      </c>
      <c r="I456" s="1938">
        <f t="shared" si="7"/>
        <v>0</v>
      </c>
    </row>
    <row r="457" spans="1:9" x14ac:dyDescent="0.25">
      <c r="A457" t="s">
        <v>3872</v>
      </c>
      <c r="B457" s="1936"/>
      <c r="C457" t="s">
        <v>2445</v>
      </c>
      <c r="D457" s="1936"/>
      <c r="E457" s="1936"/>
      <c r="F457" s="1941">
        <v>1000</v>
      </c>
      <c r="G457" s="1941">
        <v>2000</v>
      </c>
      <c r="H457" s="1937" t="str">
        <f>IFERROR(IF(F457&gt;=VLOOKUP(A457,[2]Materiality!$I$6:$J$12,2,TRUE),IFERROR(IF(VLOOKUP("*CR",F457,1,FALSE)&gt;=0,"",VLOOKUP("*CR",F457,1,FALSE)),F457),""),"")</f>
        <v/>
      </c>
      <c r="I457" s="1938">
        <f t="shared" si="7"/>
        <v>0</v>
      </c>
    </row>
    <row r="458" spans="1:9" x14ac:dyDescent="0.25">
      <c r="A458" t="s">
        <v>3711</v>
      </c>
      <c r="B458" s="1936"/>
      <c r="C458" t="s">
        <v>1157</v>
      </c>
      <c r="D458" s="1936"/>
      <c r="E458" s="1936"/>
      <c r="F458" s="1941">
        <v>1000</v>
      </c>
      <c r="G458" s="1941">
        <v>2000</v>
      </c>
      <c r="H458" s="1937" t="str">
        <f>IFERROR(IF(F458&gt;=VLOOKUP(A458,[2]Materiality!$I$6:$J$12,2,TRUE),IFERROR(IF(VLOOKUP("*CR",F458,1,FALSE)&gt;=0,"",VLOOKUP("*CR",F458,1,FALSE)),F458),""),"")</f>
        <v/>
      </c>
      <c r="I458" s="1938">
        <f t="shared" si="7"/>
        <v>0</v>
      </c>
    </row>
    <row r="459" spans="1:9" x14ac:dyDescent="0.25">
      <c r="A459" t="s">
        <v>3883</v>
      </c>
      <c r="B459" s="1936"/>
      <c r="C459" t="s">
        <v>2446</v>
      </c>
      <c r="D459" s="1936"/>
      <c r="E459" s="1936"/>
      <c r="F459" s="1941">
        <v>3709.9</v>
      </c>
      <c r="G459" s="1941">
        <v>5000</v>
      </c>
      <c r="H459" s="1937" t="str">
        <f>IFERROR(IF(F459&gt;=VLOOKUP(A459,[2]Materiality!$I$6:$J$12,2,TRUE),IFERROR(IF(VLOOKUP("*CR",F459,1,FALSE)&gt;=0,"",VLOOKUP("*CR",F459,1,FALSE)),F459),""),"")</f>
        <v/>
      </c>
      <c r="I459" s="1938">
        <f t="shared" si="7"/>
        <v>0</v>
      </c>
    </row>
    <row r="460" spans="1:9" x14ac:dyDescent="0.25">
      <c r="A460" t="s">
        <v>3877</v>
      </c>
      <c r="B460" s="1936"/>
      <c r="C460" t="s">
        <v>2447</v>
      </c>
      <c r="D460" s="1936"/>
      <c r="E460" s="1936"/>
      <c r="F460" s="1941">
        <v>0</v>
      </c>
      <c r="G460" s="1941">
        <v>0</v>
      </c>
      <c r="H460" s="1937" t="str">
        <f>IFERROR(IF(F460&gt;=VLOOKUP(A460,[2]Materiality!$I$6:$J$12,2,TRUE),IFERROR(IF(VLOOKUP("*CR",F460,1,FALSE)&gt;=0,"",VLOOKUP("*CR",F460,1,FALSE)),F460),""),"")</f>
        <v/>
      </c>
      <c r="I460" s="1938">
        <f t="shared" si="7"/>
        <v>0</v>
      </c>
    </row>
    <row r="461" spans="1:9" x14ac:dyDescent="0.25">
      <c r="A461" t="s">
        <v>3714</v>
      </c>
      <c r="B461" s="1936"/>
      <c r="C461" t="s">
        <v>1158</v>
      </c>
      <c r="D461" s="1936"/>
      <c r="E461" s="1936"/>
      <c r="F461" s="1941">
        <v>3709.9</v>
      </c>
      <c r="G461" s="1941">
        <v>5000</v>
      </c>
      <c r="H461" s="1937">
        <f>IFERROR(IF(F461&gt;=VLOOKUP(A461,[2]Materiality!$I$6:$J$12,2,TRUE),IFERROR(IF(VLOOKUP("*CR",F461,1,FALSE)&gt;=0,"",VLOOKUP("*CR",F461,1,FALSE)),F461),""),"")</f>
        <v>3709.9</v>
      </c>
      <c r="I461" s="1938">
        <f t="shared" si="7"/>
        <v>0</v>
      </c>
    </row>
    <row r="462" spans="1:9" x14ac:dyDescent="0.25">
      <c r="A462" t="s">
        <v>3724</v>
      </c>
      <c r="B462" s="1936"/>
      <c r="C462" t="s">
        <v>2448</v>
      </c>
      <c r="D462" s="1936"/>
      <c r="E462" s="1936"/>
      <c r="F462" s="1941">
        <v>58660.23</v>
      </c>
      <c r="G462" s="1941">
        <v>61246</v>
      </c>
      <c r="H462" s="1937" t="str">
        <f>IFERROR(IF(F462&gt;=VLOOKUP(A462,[2]Materiality!$I$6:$J$12,2,TRUE),IFERROR(IF(VLOOKUP("*CR",F462,1,FALSE)&gt;=0,"",VLOOKUP("*CR",F462,1,FALSE)),F462),""),"")</f>
        <v/>
      </c>
      <c r="I462" s="1938">
        <f t="shared" si="7"/>
        <v>0</v>
      </c>
    </row>
    <row r="463" spans="1:9" x14ac:dyDescent="0.25">
      <c r="A463" t="s">
        <v>3891</v>
      </c>
      <c r="B463" s="1936"/>
      <c r="C463" t="s">
        <v>2449</v>
      </c>
      <c r="D463" s="1936"/>
      <c r="E463" s="1936"/>
      <c r="F463" s="1941">
        <v>7855</v>
      </c>
      <c r="G463" s="1941">
        <v>7855</v>
      </c>
      <c r="H463" s="1937" t="str">
        <f>IFERROR(IF(F463&gt;=VLOOKUP(A463,[2]Materiality!$I$6:$J$12,2,TRUE),IFERROR(IF(VLOOKUP("*CR",F463,1,FALSE)&gt;=0,"",VLOOKUP("*CR",F463,1,FALSE)),F463),""),"")</f>
        <v/>
      </c>
      <c r="I463" s="1938">
        <f t="shared" si="7"/>
        <v>0</v>
      </c>
    </row>
    <row r="464" spans="1:9" x14ac:dyDescent="0.25">
      <c r="A464" t="s">
        <v>3638</v>
      </c>
      <c r="B464" s="1936"/>
      <c r="C464" t="s">
        <v>203</v>
      </c>
      <c r="D464" s="1936"/>
      <c r="E464" s="1936"/>
      <c r="F464" s="1941">
        <v>7855</v>
      </c>
      <c r="G464" s="1941">
        <v>7855</v>
      </c>
      <c r="H464" s="1937" t="str">
        <f>IFERROR(IF(F464&gt;=VLOOKUP(A464,[2]Materiality!$I$6:$J$12,2,TRUE),IFERROR(IF(VLOOKUP("*CR",F464,1,FALSE)&gt;=0,"",VLOOKUP("*CR",F464,1,FALSE)),F464),""),"")</f>
        <v/>
      </c>
      <c r="I464" s="1938">
        <f t="shared" si="7"/>
        <v>0</v>
      </c>
    </row>
    <row r="465" spans="1:9" x14ac:dyDescent="0.25">
      <c r="A465" t="s">
        <v>3874</v>
      </c>
      <c r="B465" s="1936"/>
      <c r="C465" t="s">
        <v>2450</v>
      </c>
      <c r="D465" s="1936"/>
      <c r="E465" s="1936"/>
      <c r="F465" s="1941">
        <v>535.82000000000005</v>
      </c>
      <c r="G465" s="1941">
        <v>606</v>
      </c>
      <c r="H465" s="1937" t="str">
        <f>IFERROR(IF(F465&gt;=VLOOKUP(A465,[2]Materiality!$I$6:$J$12,2,TRUE),IFERROR(IF(VLOOKUP("*CR",F465,1,FALSE)&gt;=0,"",VLOOKUP("*CR",F465,1,FALSE)),F465),""),"")</f>
        <v/>
      </c>
      <c r="I465" s="1938">
        <f t="shared" si="7"/>
        <v>0</v>
      </c>
    </row>
    <row r="466" spans="1:9" x14ac:dyDescent="0.25">
      <c r="A466" t="s">
        <v>3881</v>
      </c>
      <c r="B466" s="1936"/>
      <c r="C466" t="s">
        <v>2451</v>
      </c>
      <c r="D466" s="1936"/>
      <c r="E466" s="1936"/>
      <c r="F466" s="1941">
        <v>0</v>
      </c>
      <c r="G466" s="1941">
        <v>0</v>
      </c>
      <c r="H466" s="1937" t="str">
        <f>IFERROR(IF(F466&gt;=VLOOKUP(A466,[2]Materiality!$I$6:$J$12,2,TRUE),IFERROR(IF(VLOOKUP("*CR",F466,1,FALSE)&gt;=0,"",VLOOKUP("*CR",F466,1,FALSE)),F466),""),"")</f>
        <v/>
      </c>
      <c r="I466" s="1938">
        <f t="shared" si="7"/>
        <v>0</v>
      </c>
    </row>
    <row r="467" spans="1:9" x14ac:dyDescent="0.25">
      <c r="A467" t="s">
        <v>3708</v>
      </c>
      <c r="B467" s="1936"/>
      <c r="C467" t="s">
        <v>51</v>
      </c>
      <c r="D467" s="1936"/>
      <c r="E467" s="1936"/>
      <c r="F467" s="1941">
        <v>535.82000000000005</v>
      </c>
      <c r="G467" s="1941">
        <v>606</v>
      </c>
      <c r="H467" s="1937" t="str">
        <f>IFERROR(IF(F467&gt;=VLOOKUP(A467,[2]Materiality!$I$6:$J$12,2,TRUE),IFERROR(IF(VLOOKUP("*CR",F467,1,FALSE)&gt;=0,"",VLOOKUP("*CR",F467,1,FALSE)),F467),""),"")</f>
        <v/>
      </c>
      <c r="I467" s="1938">
        <f t="shared" si="7"/>
        <v>0</v>
      </c>
    </row>
    <row r="468" spans="1:9" x14ac:dyDescent="0.25">
      <c r="A468" t="s">
        <v>3725</v>
      </c>
      <c r="B468" s="1936"/>
      <c r="C468" t="s">
        <v>2452</v>
      </c>
      <c r="D468" s="1936"/>
      <c r="E468" s="1936"/>
      <c r="F468" s="1941">
        <v>8390.82</v>
      </c>
      <c r="G468" s="1941">
        <v>8461</v>
      </c>
      <c r="H468" s="1937" t="str">
        <f>IFERROR(IF(F468&gt;=VLOOKUP(A468,[2]Materiality!$I$6:$J$12,2,TRUE),IFERROR(IF(VLOOKUP("*CR",F468,1,FALSE)&gt;=0,"",VLOOKUP("*CR",F468,1,FALSE)),F468),""),"")</f>
        <v/>
      </c>
      <c r="I468" s="1938">
        <f t="shared" si="7"/>
        <v>0</v>
      </c>
    </row>
    <row r="469" spans="1:9" x14ac:dyDescent="0.25">
      <c r="A469" t="s">
        <v>3574</v>
      </c>
      <c r="B469" s="1936"/>
      <c r="C469" t="s">
        <v>2378</v>
      </c>
      <c r="D469" s="1936"/>
      <c r="E469" s="1936"/>
      <c r="F469" s="1941">
        <v>0</v>
      </c>
      <c r="G469" s="1941">
        <v>0</v>
      </c>
      <c r="H469" s="1937" t="str">
        <f>IFERROR(IF(F469&gt;=VLOOKUP(A469,[2]Materiality!$I$6:$J$12,2,TRUE),IFERROR(IF(VLOOKUP("*CR",F469,1,FALSE)&gt;=0,"",VLOOKUP("*CR",F469,1,FALSE)),F469),""),"")</f>
        <v/>
      </c>
      <c r="I469" s="1938">
        <f t="shared" si="7"/>
        <v>0</v>
      </c>
    </row>
    <row r="470" spans="1:9" x14ac:dyDescent="0.25">
      <c r="A470" t="s">
        <v>3710</v>
      </c>
      <c r="B470" s="1936"/>
      <c r="C470" t="s">
        <v>2300</v>
      </c>
      <c r="D470" s="1936"/>
      <c r="E470" s="1936"/>
      <c r="F470" s="1941">
        <v>0</v>
      </c>
      <c r="G470" s="1941">
        <v>0</v>
      </c>
      <c r="H470" s="1937" t="str">
        <f>IFERROR(IF(F470&gt;=VLOOKUP(A470,[2]Materiality!$I$6:$J$12,2,TRUE),IFERROR(IF(VLOOKUP("*CR",F470,1,FALSE)&gt;=0,"",VLOOKUP("*CR",F470,1,FALSE)),F470),""),"")</f>
        <v/>
      </c>
      <c r="I470" s="1938">
        <f t="shared" si="7"/>
        <v>0</v>
      </c>
    </row>
    <row r="471" spans="1:9" x14ac:dyDescent="0.25">
      <c r="A471" t="s">
        <v>444</v>
      </c>
      <c r="B471" s="1936"/>
      <c r="C471" t="s">
        <v>1044</v>
      </c>
      <c r="D471" s="1936"/>
      <c r="E471" s="1936"/>
      <c r="F471" s="1941">
        <v>0</v>
      </c>
      <c r="G471" s="1941">
        <v>0</v>
      </c>
      <c r="H471" s="1937" t="str">
        <f>IFERROR(IF(F471&gt;=VLOOKUP(A471,[2]Materiality!$I$6:$J$12,2,TRUE),IFERROR(IF(VLOOKUP("*CR",F471,1,FALSE)&gt;=0,"",VLOOKUP("*CR",F471,1,FALSE)),F471),""),"")</f>
        <v/>
      </c>
      <c r="I471" s="1938">
        <f t="shared" si="7"/>
        <v>0</v>
      </c>
    </row>
    <row r="472" spans="1:9" x14ac:dyDescent="0.25">
      <c r="A472" t="s">
        <v>591</v>
      </c>
      <c r="B472" s="1936"/>
      <c r="C472" t="s">
        <v>476</v>
      </c>
      <c r="D472" s="1936"/>
      <c r="E472" s="1936"/>
      <c r="F472" s="1941">
        <v>11756974.859999999</v>
      </c>
      <c r="G472" s="1941">
        <v>11876909.08</v>
      </c>
      <c r="H472" s="1937">
        <f>IFERROR(IF(F472&gt;=VLOOKUP(A472,[2]Materiality!$I$6:$J$12,2,TRUE),IFERROR(IF(VLOOKUP("*CR",F472,1,FALSE)&gt;=0,"",VLOOKUP("*CR",F472,1,FALSE)),F472),""),"")</f>
        <v>11756974.859999999</v>
      </c>
      <c r="I472" s="1938">
        <f t="shared" si="7"/>
        <v>0</v>
      </c>
    </row>
    <row r="473" spans="1:9" x14ac:dyDescent="0.25">
      <c r="A473" t="s">
        <v>3573</v>
      </c>
      <c r="B473" s="1936"/>
      <c r="C473" t="s">
        <v>2453</v>
      </c>
      <c r="D473" s="1936"/>
      <c r="E473" s="1936"/>
      <c r="F473" s="1941">
        <v>0</v>
      </c>
      <c r="G473" s="1941">
        <v>0</v>
      </c>
      <c r="H473" s="1937" t="str">
        <f>IFERROR(IF(F473&gt;=VLOOKUP(A473,[2]Materiality!$I$6:$J$12,2,TRUE),IFERROR(IF(VLOOKUP("*CR",F473,1,FALSE)&gt;=0,"",VLOOKUP("*CR",F473,1,FALSE)),F473),""),"")</f>
        <v/>
      </c>
      <c r="I473" s="1938">
        <f t="shared" si="7"/>
        <v>0</v>
      </c>
    </row>
    <row r="474" spans="1:9" x14ac:dyDescent="0.25">
      <c r="A474" t="s">
        <v>3573</v>
      </c>
      <c r="B474" s="1936"/>
      <c r="C474" t="s">
        <v>2454</v>
      </c>
      <c r="D474" s="1936"/>
      <c r="E474" s="1936"/>
      <c r="F474" s="1941">
        <v>0</v>
      </c>
      <c r="G474" s="1941">
        <v>0</v>
      </c>
      <c r="H474" s="1937" t="str">
        <f>IFERROR(IF(F474&gt;=VLOOKUP(A474,[2]Materiality!$I$6:$J$12,2,TRUE),IFERROR(IF(VLOOKUP("*CR",F474,1,FALSE)&gt;=0,"",VLOOKUP("*CR",F474,1,FALSE)),F474),""),"")</f>
        <v/>
      </c>
      <c r="I474" s="1938">
        <f t="shared" si="7"/>
        <v>0</v>
      </c>
    </row>
    <row r="475" spans="1:9" x14ac:dyDescent="0.25">
      <c r="A475" t="s">
        <v>3573</v>
      </c>
      <c r="B475" s="1936"/>
      <c r="C475" t="s">
        <v>2455</v>
      </c>
      <c r="D475" s="1936"/>
      <c r="E475" s="1936"/>
      <c r="F475" s="1941">
        <v>49200</v>
      </c>
      <c r="G475" s="1941">
        <v>49200</v>
      </c>
      <c r="H475" s="1937" t="str">
        <f>IFERROR(IF(F475&gt;=VLOOKUP(A475,[2]Materiality!$I$6:$J$12,2,TRUE),IFERROR(IF(VLOOKUP("*CR",F475,1,FALSE)&gt;=0,"",VLOOKUP("*CR",F475,1,FALSE)),F475),""),"")</f>
        <v/>
      </c>
      <c r="I475" s="1938">
        <f t="shared" si="7"/>
        <v>0</v>
      </c>
    </row>
    <row r="476" spans="1:9" x14ac:dyDescent="0.25">
      <c r="A476" t="s">
        <v>3638</v>
      </c>
      <c r="B476" s="1936"/>
      <c r="C476" t="s">
        <v>203</v>
      </c>
      <c r="D476" s="1936"/>
      <c r="E476" s="1936"/>
      <c r="F476" s="1941">
        <v>49200</v>
      </c>
      <c r="G476" s="1941">
        <v>49200</v>
      </c>
      <c r="H476" s="1937" t="str">
        <f>IFERROR(IF(F476&gt;=VLOOKUP(A476,[2]Materiality!$I$6:$J$12,2,TRUE),IFERROR(IF(VLOOKUP("*CR",F476,1,FALSE)&gt;=0,"",VLOOKUP("*CR",F476,1,FALSE)),F476),""),"")</f>
        <v/>
      </c>
      <c r="I476" s="1938">
        <f t="shared" si="7"/>
        <v>0</v>
      </c>
    </row>
    <row r="477" spans="1:9" x14ac:dyDescent="0.25">
      <c r="A477" t="s">
        <v>3572</v>
      </c>
      <c r="B477" s="1936"/>
      <c r="C477" t="s">
        <v>2456</v>
      </c>
      <c r="D477" s="1936"/>
      <c r="E477" s="1936"/>
      <c r="F477" s="1941">
        <v>0</v>
      </c>
      <c r="G477" s="1941">
        <v>0</v>
      </c>
      <c r="H477" s="1937" t="str">
        <f>IFERROR(IF(F477&gt;=VLOOKUP(A477,[2]Materiality!$I$6:$J$12,2,TRUE),IFERROR(IF(VLOOKUP("*CR",F477,1,FALSE)&gt;=0,"",VLOOKUP("*CR",F477,1,FALSE)),F477),""),"")</f>
        <v/>
      </c>
      <c r="I477" s="1938">
        <f t="shared" si="7"/>
        <v>0</v>
      </c>
    </row>
    <row r="478" spans="1:9" x14ac:dyDescent="0.25">
      <c r="A478" t="s">
        <v>3572</v>
      </c>
      <c r="B478" s="1936"/>
      <c r="C478" t="s">
        <v>2457</v>
      </c>
      <c r="D478" s="1936"/>
      <c r="E478" s="1936"/>
      <c r="F478" s="1941">
        <v>0</v>
      </c>
      <c r="G478" s="1941">
        <v>0</v>
      </c>
      <c r="H478" s="1937" t="str">
        <f>IFERROR(IF(F478&gt;=VLOOKUP(A478,[2]Materiality!$I$6:$J$12,2,TRUE),IFERROR(IF(VLOOKUP("*CR",F478,1,FALSE)&gt;=0,"",VLOOKUP("*CR",F478,1,FALSE)),F478),""),"")</f>
        <v/>
      </c>
      <c r="I478" s="1938">
        <f t="shared" si="7"/>
        <v>0</v>
      </c>
    </row>
    <row r="479" spans="1:9" x14ac:dyDescent="0.25">
      <c r="A479" t="s">
        <v>3572</v>
      </c>
      <c r="B479" s="1936"/>
      <c r="C479" t="s">
        <v>2458</v>
      </c>
      <c r="D479" s="1936"/>
      <c r="E479" s="1936"/>
      <c r="F479" s="1941">
        <v>7068.96</v>
      </c>
      <c r="G479" s="1941">
        <v>7069</v>
      </c>
      <c r="H479" s="1937" t="str">
        <f>IFERROR(IF(F479&gt;=VLOOKUP(A479,[2]Materiality!$I$6:$J$12,2,TRUE),IFERROR(IF(VLOOKUP("*CR",F479,1,FALSE)&gt;=0,"",VLOOKUP("*CR",F479,1,FALSE)),F479),""),"")</f>
        <v/>
      </c>
      <c r="I479" s="1938">
        <f t="shared" si="7"/>
        <v>0</v>
      </c>
    </row>
    <row r="480" spans="1:9" x14ac:dyDescent="0.25">
      <c r="A480" t="s">
        <v>3571</v>
      </c>
      <c r="B480" s="1936"/>
      <c r="C480" t="s">
        <v>2459</v>
      </c>
      <c r="D480" s="1936"/>
      <c r="E480" s="1936"/>
      <c r="F480" s="1941">
        <v>0</v>
      </c>
      <c r="G480" s="1941">
        <v>0</v>
      </c>
      <c r="H480" s="1937" t="str">
        <f>IFERROR(IF(F480&gt;=VLOOKUP(A480,[2]Materiality!$I$6:$J$12,2,TRUE),IFERROR(IF(VLOOKUP("*CR",F480,1,FALSE)&gt;=0,"",VLOOKUP("*CR",F480,1,FALSE)),F480),""),"")</f>
        <v/>
      </c>
      <c r="I480" s="1938">
        <f t="shared" si="7"/>
        <v>0</v>
      </c>
    </row>
    <row r="481" spans="1:9" x14ac:dyDescent="0.25">
      <c r="A481" t="s">
        <v>3571</v>
      </c>
      <c r="B481" s="1936"/>
      <c r="C481" t="s">
        <v>2460</v>
      </c>
      <c r="D481" s="1936"/>
      <c r="E481" s="1936"/>
      <c r="F481" s="1941">
        <v>0</v>
      </c>
      <c r="G481" s="1941">
        <v>0</v>
      </c>
      <c r="H481" s="1937" t="str">
        <f>IFERROR(IF(F481&gt;=VLOOKUP(A481,[2]Materiality!$I$6:$J$12,2,TRUE),IFERROR(IF(VLOOKUP("*CR",F481,1,FALSE)&gt;=0,"",VLOOKUP("*CR",F481,1,FALSE)),F481),""),"")</f>
        <v/>
      </c>
      <c r="I481" s="1938">
        <f t="shared" si="7"/>
        <v>0</v>
      </c>
    </row>
    <row r="482" spans="1:9" x14ac:dyDescent="0.25">
      <c r="A482" t="s">
        <v>3571</v>
      </c>
      <c r="B482" s="1936"/>
      <c r="C482" t="s">
        <v>2461</v>
      </c>
      <c r="D482" s="1936"/>
      <c r="E482" s="1936"/>
      <c r="F482" s="1941">
        <v>23264.799999999999</v>
      </c>
      <c r="G482" s="1941">
        <v>23265</v>
      </c>
      <c r="H482" s="1937" t="str">
        <f>IFERROR(IF(F482&gt;=VLOOKUP(A482,[2]Materiality!$I$6:$J$12,2,TRUE),IFERROR(IF(VLOOKUP("*CR",F482,1,FALSE)&gt;=0,"",VLOOKUP("*CR",F482,1,FALSE)),F482),""),"")</f>
        <v/>
      </c>
      <c r="I482" s="1938">
        <f t="shared" si="7"/>
        <v>0</v>
      </c>
    </row>
    <row r="483" spans="1:9" x14ac:dyDescent="0.25">
      <c r="A483" t="s">
        <v>3570</v>
      </c>
      <c r="B483" s="1936"/>
      <c r="C483" t="s">
        <v>2462</v>
      </c>
      <c r="D483" s="1936"/>
      <c r="E483" s="1936"/>
      <c r="F483" s="1941">
        <v>0</v>
      </c>
      <c r="G483" s="1941">
        <v>0</v>
      </c>
      <c r="H483" s="1937" t="str">
        <f>IFERROR(IF(F483&gt;=VLOOKUP(A483,[2]Materiality!$I$6:$J$12,2,TRUE),IFERROR(IF(VLOOKUP("*CR",F483,1,FALSE)&gt;=0,"",VLOOKUP("*CR",F483,1,FALSE)),F483),""),"")</f>
        <v/>
      </c>
      <c r="I483" s="1938">
        <f t="shared" si="7"/>
        <v>0</v>
      </c>
    </row>
    <row r="484" spans="1:9" x14ac:dyDescent="0.25">
      <c r="A484" t="s">
        <v>3570</v>
      </c>
      <c r="B484" s="1936"/>
      <c r="C484" t="s">
        <v>2463</v>
      </c>
      <c r="D484" s="1936"/>
      <c r="E484" s="1936"/>
      <c r="F484" s="1941">
        <v>0</v>
      </c>
      <c r="G484" s="1941">
        <v>0</v>
      </c>
      <c r="H484" s="1937" t="str">
        <f>IFERROR(IF(F484&gt;=VLOOKUP(A484,[2]Materiality!$I$6:$J$12,2,TRUE),IFERROR(IF(VLOOKUP("*CR",F484,1,FALSE)&gt;=0,"",VLOOKUP("*CR",F484,1,FALSE)),F484),""),"")</f>
        <v/>
      </c>
      <c r="I484" s="1938">
        <f t="shared" si="7"/>
        <v>0</v>
      </c>
    </row>
    <row r="485" spans="1:9" x14ac:dyDescent="0.25">
      <c r="A485" t="s">
        <v>3570</v>
      </c>
      <c r="B485" s="1936"/>
      <c r="C485" t="s">
        <v>2464</v>
      </c>
      <c r="D485" s="1936"/>
      <c r="E485" s="1936"/>
      <c r="F485" s="1941">
        <v>0</v>
      </c>
      <c r="G485" s="1941">
        <v>0</v>
      </c>
      <c r="H485" s="1937" t="str">
        <f>IFERROR(IF(F485&gt;=VLOOKUP(A485,[2]Materiality!$I$6:$J$12,2,TRUE),IFERROR(IF(VLOOKUP("*CR",F485,1,FALSE)&gt;=0,"",VLOOKUP("*CR",F485,1,FALSE)),F485),""),"")</f>
        <v/>
      </c>
      <c r="I485" s="1938">
        <f t="shared" si="7"/>
        <v>0</v>
      </c>
    </row>
    <row r="486" spans="1:9" x14ac:dyDescent="0.25">
      <c r="A486" t="s">
        <v>3569</v>
      </c>
      <c r="B486" s="1936"/>
      <c r="C486" t="s">
        <v>2465</v>
      </c>
      <c r="D486" s="1936"/>
      <c r="E486" s="1936"/>
      <c r="F486" s="1941">
        <v>0</v>
      </c>
      <c r="G486" s="1941">
        <v>0</v>
      </c>
      <c r="H486" s="1937" t="str">
        <f>IFERROR(IF(F486&gt;=VLOOKUP(A486,[2]Materiality!$I$6:$J$12,2,TRUE),IFERROR(IF(VLOOKUP("*CR",F486,1,FALSE)&gt;=0,"",VLOOKUP("*CR",F486,1,FALSE)),F486),""),"")</f>
        <v/>
      </c>
      <c r="I486" s="1938">
        <f t="shared" si="7"/>
        <v>0</v>
      </c>
    </row>
    <row r="487" spans="1:9" x14ac:dyDescent="0.25">
      <c r="A487" t="s">
        <v>3569</v>
      </c>
      <c r="B487" s="1936"/>
      <c r="C487" t="s">
        <v>2466</v>
      </c>
      <c r="D487" s="1936"/>
      <c r="E487" s="1936"/>
      <c r="F487" s="1941">
        <v>0</v>
      </c>
      <c r="G487" s="1941">
        <v>0</v>
      </c>
      <c r="H487" s="1937" t="str">
        <f>IFERROR(IF(F487&gt;=VLOOKUP(A487,[2]Materiality!$I$6:$J$12,2,TRUE),IFERROR(IF(VLOOKUP("*CR",F487,1,FALSE)&gt;=0,"",VLOOKUP("*CR",F487,1,FALSE)),F487),""),"")</f>
        <v/>
      </c>
      <c r="I487" s="1938">
        <f t="shared" si="7"/>
        <v>0</v>
      </c>
    </row>
    <row r="488" spans="1:9" x14ac:dyDescent="0.25">
      <c r="A488" t="s">
        <v>3569</v>
      </c>
      <c r="B488" s="1936"/>
      <c r="C488" t="s">
        <v>2467</v>
      </c>
      <c r="D488" s="1936"/>
      <c r="E488" s="1936"/>
      <c r="F488" s="1941">
        <v>246.48</v>
      </c>
      <c r="G488" s="1941">
        <v>240</v>
      </c>
      <c r="H488" s="1937" t="str">
        <f>IFERROR(IF(F488&gt;=VLOOKUP(A488,[2]Materiality!$I$6:$J$12,2,TRUE),IFERROR(IF(VLOOKUP("*CR",F488,1,FALSE)&gt;=0,"",VLOOKUP("*CR",F488,1,FALSE)),F488),""),"")</f>
        <v/>
      </c>
      <c r="I488" s="1938">
        <f t="shared" si="7"/>
        <v>0</v>
      </c>
    </row>
    <row r="489" spans="1:9" x14ac:dyDescent="0.25">
      <c r="A489" t="s">
        <v>3708</v>
      </c>
      <c r="B489" s="1936"/>
      <c r="C489" t="s">
        <v>51</v>
      </c>
      <c r="D489" s="1936"/>
      <c r="E489" s="1936"/>
      <c r="F489" s="1941">
        <v>30580.240000000002</v>
      </c>
      <c r="G489" s="1941">
        <v>30574</v>
      </c>
      <c r="H489" s="1937">
        <f>IFERROR(IF(F489&gt;=VLOOKUP(A489,[2]Materiality!$I$6:$J$12,2,TRUE),IFERROR(IF(VLOOKUP("*CR",F489,1,FALSE)&gt;=0,"",VLOOKUP("*CR",F489,1,FALSE)),F489),""),"")</f>
        <v>30580.240000000002</v>
      </c>
      <c r="I489" s="1938">
        <f t="shared" si="7"/>
        <v>0</v>
      </c>
    </row>
    <row r="490" spans="1:9" x14ac:dyDescent="0.25">
      <c r="A490" t="s">
        <v>3568</v>
      </c>
      <c r="B490" s="1936"/>
      <c r="C490" t="s">
        <v>2468</v>
      </c>
      <c r="D490" s="1936"/>
      <c r="E490" s="1936"/>
      <c r="F490" s="1941">
        <v>0</v>
      </c>
      <c r="G490" s="1941">
        <v>0</v>
      </c>
      <c r="H490" s="1937" t="str">
        <f>IFERROR(IF(F490&gt;=VLOOKUP(A490,[2]Materiality!$I$6:$J$12,2,TRUE),IFERROR(IF(VLOOKUP("*CR",F490,1,FALSE)&gt;=0,"",VLOOKUP("*CR",F490,1,FALSE)),F490),""),"")</f>
        <v/>
      </c>
      <c r="I490" s="1938">
        <f t="shared" si="7"/>
        <v>0</v>
      </c>
    </row>
    <row r="491" spans="1:9" x14ac:dyDescent="0.25">
      <c r="A491" t="s">
        <v>3709</v>
      </c>
      <c r="B491" s="1936"/>
      <c r="C491" t="s">
        <v>1162</v>
      </c>
      <c r="D491" s="1936"/>
      <c r="E491" s="1936"/>
      <c r="F491" s="1941">
        <v>0</v>
      </c>
      <c r="G491" s="1941">
        <v>0</v>
      </c>
      <c r="H491" s="1937" t="str">
        <f>IFERROR(IF(F491&gt;=VLOOKUP(A491,[2]Materiality!$I$6:$J$12,2,TRUE),IFERROR(IF(VLOOKUP("*CR",F491,1,FALSE)&gt;=0,"",VLOOKUP("*CR",F491,1,FALSE)),F491),""),"")</f>
        <v/>
      </c>
      <c r="I491" s="1938">
        <f t="shared" si="7"/>
        <v>0</v>
      </c>
    </row>
    <row r="492" spans="1:9" x14ac:dyDescent="0.25">
      <c r="A492" t="s">
        <v>3567</v>
      </c>
      <c r="B492" s="1936"/>
      <c r="C492" t="s">
        <v>2469</v>
      </c>
      <c r="D492" s="1936"/>
      <c r="E492" s="1936"/>
      <c r="F492" s="1941">
        <v>4299.38</v>
      </c>
      <c r="G492" s="1941">
        <v>4500</v>
      </c>
      <c r="H492" s="1937" t="str">
        <f>IFERROR(IF(F492&gt;=VLOOKUP(A492,[2]Materiality!$I$6:$J$12,2,TRUE),IFERROR(IF(VLOOKUP("*CR",F492,1,FALSE)&gt;=0,"",VLOOKUP("*CR",F492,1,FALSE)),F492),""),"")</f>
        <v/>
      </c>
      <c r="I492" s="1938">
        <f t="shared" si="7"/>
        <v>0</v>
      </c>
    </row>
    <row r="493" spans="1:9" x14ac:dyDescent="0.25">
      <c r="A493" t="s">
        <v>3710</v>
      </c>
      <c r="B493" s="1936"/>
      <c r="C493" t="s">
        <v>2300</v>
      </c>
      <c r="D493" s="1936"/>
      <c r="E493" s="1936"/>
      <c r="F493" s="1941">
        <v>4299.38</v>
      </c>
      <c r="G493" s="1941">
        <v>4500</v>
      </c>
      <c r="H493" s="1937" t="str">
        <f>IFERROR(IF(F493&gt;=VLOOKUP(A493,[2]Materiality!$I$6:$J$12,2,TRUE),IFERROR(IF(VLOOKUP("*CR",F493,1,FALSE)&gt;=0,"",VLOOKUP("*CR",F493,1,FALSE)),F493),""),"")</f>
        <v/>
      </c>
      <c r="I493" s="1938">
        <f t="shared" si="7"/>
        <v>0</v>
      </c>
    </row>
    <row r="494" spans="1:9" x14ac:dyDescent="0.25">
      <c r="A494" t="s">
        <v>3726</v>
      </c>
      <c r="B494" s="1936"/>
      <c r="C494" t="s">
        <v>2470</v>
      </c>
      <c r="D494" s="1936"/>
      <c r="E494" s="1936"/>
      <c r="F494" s="1941">
        <v>84079.62</v>
      </c>
      <c r="G494" s="1941">
        <v>84274</v>
      </c>
      <c r="H494" s="1937">
        <f>IFERROR(IF(F494&gt;=VLOOKUP(A494,[2]Materiality!$I$6:$J$12,2,TRUE),IFERROR(IF(VLOOKUP("*CR",F494,1,FALSE)&gt;=0,"",VLOOKUP("*CR",F494,1,FALSE)),F494),""),"")</f>
        <v>84079.62</v>
      </c>
      <c r="I494" s="1938">
        <f t="shared" si="7"/>
        <v>0</v>
      </c>
    </row>
    <row r="495" spans="1:9" x14ac:dyDescent="0.25">
      <c r="A495" t="s">
        <v>3566</v>
      </c>
      <c r="B495" s="1936"/>
      <c r="C495" t="s">
        <v>2471</v>
      </c>
      <c r="D495" s="1936"/>
      <c r="E495" s="1936"/>
      <c r="F495" s="1941">
        <v>162608.26</v>
      </c>
      <c r="G495" s="1941">
        <v>162608</v>
      </c>
      <c r="H495" s="1937">
        <f>IFERROR(IF(F495&gt;=VLOOKUP(A495,[2]Materiality!$I$6:$J$12,2,TRUE),IFERROR(IF(VLOOKUP("*CR",F495,1,FALSE)&gt;=0,"",VLOOKUP("*CR",F495,1,FALSE)),F495),""),"")</f>
        <v>162608.26</v>
      </c>
      <c r="I495" s="1938">
        <f t="shared" si="7"/>
        <v>0</v>
      </c>
    </row>
    <row r="496" spans="1:9" x14ac:dyDescent="0.25">
      <c r="A496" t="s">
        <v>3565</v>
      </c>
      <c r="B496" s="1936"/>
      <c r="C496" t="s">
        <v>2472</v>
      </c>
      <c r="D496" s="1936"/>
      <c r="E496" s="1936"/>
      <c r="F496" s="1941">
        <v>6559.2</v>
      </c>
      <c r="G496" s="1941">
        <v>6559.2</v>
      </c>
      <c r="H496" s="1937" t="str">
        <f>IFERROR(IF(F496&gt;=VLOOKUP(A496,[2]Materiality!$I$6:$J$12,2,TRUE),IFERROR(IF(VLOOKUP("*CR",F496,1,FALSE)&gt;=0,"",VLOOKUP("*CR",F496,1,FALSE)),F496),""),"")</f>
        <v/>
      </c>
      <c r="I496" s="1938">
        <f t="shared" si="7"/>
        <v>0</v>
      </c>
    </row>
    <row r="497" spans="1:9" x14ac:dyDescent="0.25">
      <c r="A497" t="s">
        <v>3638</v>
      </c>
      <c r="B497" s="1936"/>
      <c r="C497" t="s">
        <v>203</v>
      </c>
      <c r="D497" s="1936"/>
      <c r="E497" s="1936"/>
      <c r="F497" s="1941">
        <v>169167.46</v>
      </c>
      <c r="G497" s="1941">
        <v>169167.2</v>
      </c>
      <c r="H497" s="1937">
        <f>IFERROR(IF(F497&gt;=VLOOKUP(A497,[2]Materiality!$I$6:$J$12,2,TRUE),IFERROR(IF(VLOOKUP("*CR",F497,1,FALSE)&gt;=0,"",VLOOKUP("*CR",F497,1,FALSE)),F497),""),"")</f>
        <v>169167.46</v>
      </c>
      <c r="I497" s="1938">
        <f t="shared" si="7"/>
        <v>0</v>
      </c>
    </row>
    <row r="498" spans="1:9" x14ac:dyDescent="0.25">
      <c r="A498" t="s">
        <v>3564</v>
      </c>
      <c r="B498" s="1936"/>
      <c r="C498" t="s">
        <v>2473</v>
      </c>
      <c r="D498" s="1936"/>
      <c r="E498" s="1936"/>
      <c r="F498" s="1941">
        <v>23778.5</v>
      </c>
      <c r="G498" s="1941">
        <v>23779</v>
      </c>
      <c r="H498" s="1937" t="str">
        <f>IFERROR(IF(F498&gt;=VLOOKUP(A498,[2]Materiality!$I$6:$J$12,2,TRUE),IFERROR(IF(VLOOKUP("*CR",F498,1,FALSE)&gt;=0,"",VLOOKUP("*CR",F498,1,FALSE)),F498),""),"")</f>
        <v/>
      </c>
      <c r="I498" s="1938">
        <f t="shared" si="7"/>
        <v>0</v>
      </c>
    </row>
    <row r="499" spans="1:9" x14ac:dyDescent="0.25">
      <c r="A499" t="s">
        <v>3563</v>
      </c>
      <c r="B499" s="1936"/>
      <c r="C499" t="s">
        <v>2474</v>
      </c>
      <c r="D499" s="1936"/>
      <c r="E499" s="1936"/>
      <c r="F499" s="1941">
        <v>32637.08</v>
      </c>
      <c r="G499" s="1941">
        <v>32638</v>
      </c>
      <c r="H499" s="1937" t="str">
        <f>IFERROR(IF(F499&gt;=VLOOKUP(A499,[2]Materiality!$I$6:$J$12,2,TRUE),IFERROR(IF(VLOOKUP("*CR",F499,1,FALSE)&gt;=0,"",VLOOKUP("*CR",F499,1,FALSE)),F499),""),"")</f>
        <v/>
      </c>
      <c r="I499" s="1938">
        <f t="shared" si="7"/>
        <v>0</v>
      </c>
    </row>
    <row r="500" spans="1:9" x14ac:dyDescent="0.25">
      <c r="A500" t="s">
        <v>3562</v>
      </c>
      <c r="B500" s="1936"/>
      <c r="C500" t="s">
        <v>2475</v>
      </c>
      <c r="D500" s="1936"/>
      <c r="E500" s="1936"/>
      <c r="F500" s="1941">
        <v>0</v>
      </c>
      <c r="G500" s="1941">
        <v>0</v>
      </c>
      <c r="H500" s="1937" t="str">
        <f>IFERROR(IF(F500&gt;=VLOOKUP(A500,[2]Materiality!$I$6:$J$12,2,TRUE),IFERROR(IF(VLOOKUP("*CR",F500,1,FALSE)&gt;=0,"",VLOOKUP("*CR",F500,1,FALSE)),F500),""),"")</f>
        <v/>
      </c>
      <c r="I500" s="1938">
        <f t="shared" si="7"/>
        <v>0</v>
      </c>
    </row>
    <row r="501" spans="1:9" x14ac:dyDescent="0.25">
      <c r="A501" t="s">
        <v>3561</v>
      </c>
      <c r="B501" s="1936"/>
      <c r="C501" t="s">
        <v>2476</v>
      </c>
      <c r="D501" s="1936"/>
      <c r="E501" s="1936"/>
      <c r="F501" s="1941">
        <v>215.01</v>
      </c>
      <c r="G501" s="1941">
        <v>215</v>
      </c>
      <c r="H501" s="1937" t="str">
        <f>IFERROR(IF(F501&gt;=VLOOKUP(A501,[2]Materiality!$I$6:$J$12,2,TRUE),IFERROR(IF(VLOOKUP("*CR",F501,1,FALSE)&gt;=0,"",VLOOKUP("*CR",F501,1,FALSE)),F501),""),"")</f>
        <v/>
      </c>
      <c r="I501" s="1938">
        <f t="shared" si="7"/>
        <v>0</v>
      </c>
    </row>
    <row r="502" spans="1:9" x14ac:dyDescent="0.25">
      <c r="A502" t="s">
        <v>3708</v>
      </c>
      <c r="B502" s="1936"/>
      <c r="C502" t="s">
        <v>51</v>
      </c>
      <c r="D502" s="1936"/>
      <c r="E502" s="1936"/>
      <c r="F502" s="1941">
        <v>56630.59</v>
      </c>
      <c r="G502" s="1941">
        <v>56632</v>
      </c>
      <c r="H502" s="1937">
        <f>IFERROR(IF(F502&gt;=VLOOKUP(A502,[2]Materiality!$I$6:$J$12,2,TRUE),IFERROR(IF(VLOOKUP("*CR",F502,1,FALSE)&gt;=0,"",VLOOKUP("*CR",F502,1,FALSE)),F502),""),"")</f>
        <v>56630.59</v>
      </c>
      <c r="I502" s="1938">
        <f t="shared" si="7"/>
        <v>0</v>
      </c>
    </row>
    <row r="503" spans="1:9" x14ac:dyDescent="0.25">
      <c r="A503" t="s">
        <v>3560</v>
      </c>
      <c r="B503" s="1936"/>
      <c r="C503" t="s">
        <v>2477</v>
      </c>
      <c r="D503" s="1936"/>
      <c r="E503" s="1936"/>
      <c r="F503" s="1941">
        <v>24664.29</v>
      </c>
      <c r="G503" s="1941">
        <v>22500</v>
      </c>
      <c r="H503" s="1937" t="str">
        <f>IFERROR(IF(F503&gt;=VLOOKUP(A503,[2]Materiality!$I$6:$J$12,2,TRUE),IFERROR(IF(VLOOKUP("*CR",F503,1,FALSE)&gt;=0,"",VLOOKUP("*CR",F503,1,FALSE)),F503),""),"")</f>
        <v/>
      </c>
      <c r="I503" s="1938">
        <f t="shared" si="7"/>
        <v>0</v>
      </c>
    </row>
    <row r="504" spans="1:9" x14ac:dyDescent="0.25">
      <c r="A504" t="s">
        <v>3709</v>
      </c>
      <c r="B504" s="1936"/>
      <c r="C504" t="s">
        <v>1162</v>
      </c>
      <c r="D504" s="1936"/>
      <c r="E504" s="1936"/>
      <c r="F504" s="1941">
        <v>24664.29</v>
      </c>
      <c r="G504" s="1941">
        <v>22500</v>
      </c>
      <c r="H504" s="1937" t="str">
        <f>IFERROR(IF(F504&gt;=VLOOKUP(A504,[2]Materiality!$I$6:$J$12,2,TRUE),IFERROR(IF(VLOOKUP("*CR",F504,1,FALSE)&gt;=0,"",VLOOKUP("*CR",F504,1,FALSE)),F504),""),"")</f>
        <v/>
      </c>
      <c r="I504" s="1938">
        <f t="shared" si="7"/>
        <v>0</v>
      </c>
    </row>
    <row r="505" spans="1:9" x14ac:dyDescent="0.25">
      <c r="A505" t="s">
        <v>3559</v>
      </c>
      <c r="B505" s="1936"/>
      <c r="C505" t="s">
        <v>2478</v>
      </c>
      <c r="D505" s="1936"/>
      <c r="E505" s="1936"/>
      <c r="F505" s="1941">
        <v>23.25</v>
      </c>
      <c r="G505" s="1941">
        <v>100</v>
      </c>
      <c r="H505" s="1937" t="str">
        <f>IFERROR(IF(F505&gt;=VLOOKUP(A505,[2]Materiality!$I$6:$J$12,2,TRUE),IFERROR(IF(VLOOKUP("*CR",F505,1,FALSE)&gt;=0,"",VLOOKUP("*CR",F505,1,FALSE)),F505),""),"")</f>
        <v/>
      </c>
      <c r="I505" s="1938">
        <f t="shared" si="7"/>
        <v>0</v>
      </c>
    </row>
    <row r="506" spans="1:9" x14ac:dyDescent="0.25">
      <c r="A506" t="s">
        <v>3710</v>
      </c>
      <c r="B506" s="1936"/>
      <c r="C506" t="s">
        <v>2300</v>
      </c>
      <c r="D506" s="1936"/>
      <c r="E506" s="1936"/>
      <c r="F506" s="1941">
        <v>23.25</v>
      </c>
      <c r="G506" s="1941">
        <v>100</v>
      </c>
      <c r="H506" s="1937" t="str">
        <f>IFERROR(IF(F506&gt;=VLOOKUP(A506,[2]Materiality!$I$6:$J$12,2,TRUE),IFERROR(IF(VLOOKUP("*CR",F506,1,FALSE)&gt;=0,"",VLOOKUP("*CR",F506,1,FALSE)),F506),""),"")</f>
        <v/>
      </c>
      <c r="I506" s="1938">
        <f t="shared" si="7"/>
        <v>0</v>
      </c>
    </row>
    <row r="507" spans="1:9" x14ac:dyDescent="0.25">
      <c r="A507" t="s">
        <v>3727</v>
      </c>
      <c r="B507" s="1936"/>
      <c r="C507" t="s">
        <v>2479</v>
      </c>
      <c r="D507" s="1936"/>
      <c r="E507" s="1936"/>
      <c r="F507" s="1941">
        <v>250485.59</v>
      </c>
      <c r="G507" s="1941">
        <v>248399.2</v>
      </c>
      <c r="H507" s="1937">
        <f>IFERROR(IF(F507&gt;=VLOOKUP(A507,[2]Materiality!$I$6:$J$12,2,TRUE),IFERROR(IF(VLOOKUP("*CR",F507,1,FALSE)&gt;=0,"",VLOOKUP("*CR",F507,1,FALSE)),F507),""),"")</f>
        <v>250485.59</v>
      </c>
      <c r="I507" s="1938">
        <f t="shared" si="7"/>
        <v>0</v>
      </c>
    </row>
    <row r="508" spans="1:9" x14ac:dyDescent="0.25">
      <c r="A508" t="s">
        <v>3558</v>
      </c>
      <c r="B508" s="1936"/>
      <c r="C508" t="s">
        <v>2480</v>
      </c>
      <c r="D508" s="1936"/>
      <c r="E508" s="1936"/>
      <c r="F508" s="1941">
        <v>79155</v>
      </c>
      <c r="G508" s="1941">
        <v>83551</v>
      </c>
      <c r="H508" s="1937" t="str">
        <f>IFERROR(IF(F508&gt;=VLOOKUP(A508,[2]Materiality!$I$6:$J$12,2,TRUE),IFERROR(IF(VLOOKUP("*CR",F508,1,FALSE)&gt;=0,"",VLOOKUP("*CR",F508,1,FALSE)),F508),""),"")</f>
        <v/>
      </c>
      <c r="I508" s="1938">
        <f t="shared" si="7"/>
        <v>0</v>
      </c>
    </row>
    <row r="509" spans="1:9" x14ac:dyDescent="0.25">
      <c r="A509" t="s">
        <v>3557</v>
      </c>
      <c r="B509" s="1936"/>
      <c r="C509" t="s">
        <v>2212</v>
      </c>
      <c r="D509" s="1936"/>
      <c r="E509" s="1936"/>
      <c r="F509" s="1941">
        <v>0</v>
      </c>
      <c r="G509" s="1941">
        <v>0</v>
      </c>
      <c r="H509" s="1937" t="str">
        <f>IFERROR(IF(F509&gt;=VLOOKUP(A509,[2]Materiality!$I$6:$J$12,2,TRUE),IFERROR(IF(VLOOKUP("*CR",F509,1,FALSE)&gt;=0,"",VLOOKUP("*CR",F509,1,FALSE)),F509),""),"")</f>
        <v/>
      </c>
      <c r="I509" s="1938">
        <f t="shared" si="7"/>
        <v>0</v>
      </c>
    </row>
    <row r="510" spans="1:9" x14ac:dyDescent="0.25">
      <c r="A510" t="s">
        <v>3557</v>
      </c>
      <c r="B510" s="1936"/>
      <c r="C510" t="s">
        <v>2212</v>
      </c>
      <c r="D510" s="1936"/>
      <c r="E510" s="1936"/>
      <c r="F510" s="1941">
        <v>0</v>
      </c>
      <c r="G510" s="1941">
        <v>0</v>
      </c>
      <c r="H510" s="1937" t="str">
        <f>IFERROR(IF(F510&gt;=VLOOKUP(A510,[2]Materiality!$I$6:$J$12,2,TRUE),IFERROR(IF(VLOOKUP("*CR",F510,1,FALSE)&gt;=0,"",VLOOKUP("*CR",F510,1,FALSE)),F510),""),"")</f>
        <v/>
      </c>
      <c r="I510" s="1938">
        <f t="shared" si="7"/>
        <v>0</v>
      </c>
    </row>
    <row r="511" spans="1:9" x14ac:dyDescent="0.25">
      <c r="A511" t="s">
        <v>3557</v>
      </c>
      <c r="B511" s="1936"/>
      <c r="C511" t="s">
        <v>2212</v>
      </c>
      <c r="D511" s="1936"/>
      <c r="E511" s="1936"/>
      <c r="F511" s="1941">
        <v>0</v>
      </c>
      <c r="G511" s="1941">
        <v>0</v>
      </c>
      <c r="H511" s="1937" t="str">
        <f>IFERROR(IF(F511&gt;=VLOOKUP(A511,[2]Materiality!$I$6:$J$12,2,TRUE),IFERROR(IF(VLOOKUP("*CR",F511,1,FALSE)&gt;=0,"",VLOOKUP("*CR",F511,1,FALSE)),F511),""),"")</f>
        <v/>
      </c>
      <c r="I511" s="1938">
        <f t="shared" si="7"/>
        <v>0</v>
      </c>
    </row>
    <row r="512" spans="1:9" x14ac:dyDescent="0.25">
      <c r="A512" t="s">
        <v>3557</v>
      </c>
      <c r="B512" s="1936"/>
      <c r="C512" t="s">
        <v>2212</v>
      </c>
      <c r="D512" s="1936"/>
      <c r="E512" s="1936"/>
      <c r="F512" s="1941">
        <v>0</v>
      </c>
      <c r="G512" s="1941">
        <v>0</v>
      </c>
      <c r="H512" s="1937" t="str">
        <f>IFERROR(IF(F512&gt;=VLOOKUP(A512,[2]Materiality!$I$6:$J$12,2,TRUE),IFERROR(IF(VLOOKUP("*CR",F512,1,FALSE)&gt;=0,"",VLOOKUP("*CR",F512,1,FALSE)),F512),""),"")</f>
        <v/>
      </c>
      <c r="I512" s="1938">
        <f t="shared" si="7"/>
        <v>0</v>
      </c>
    </row>
    <row r="513" spans="1:9" x14ac:dyDescent="0.25">
      <c r="A513" t="s">
        <v>3638</v>
      </c>
      <c r="B513" s="1936"/>
      <c r="C513" t="s">
        <v>203</v>
      </c>
      <c r="D513" s="1936"/>
      <c r="E513" s="1936"/>
      <c r="F513" s="1941">
        <v>79155</v>
      </c>
      <c r="G513" s="1941">
        <v>83551</v>
      </c>
      <c r="H513" s="1937" t="str">
        <f>IFERROR(IF(F513&gt;=VLOOKUP(A513,[2]Materiality!$I$6:$J$12,2,TRUE),IFERROR(IF(VLOOKUP("*CR",F513,1,FALSE)&gt;=0,"",VLOOKUP("*CR",F513,1,FALSE)),F513),""),"")</f>
        <v/>
      </c>
      <c r="I513" s="1938">
        <f t="shared" si="7"/>
        <v>0</v>
      </c>
    </row>
    <row r="514" spans="1:9" x14ac:dyDescent="0.25">
      <c r="A514" t="s">
        <v>3556</v>
      </c>
      <c r="B514" s="1936"/>
      <c r="C514" t="s">
        <v>2481</v>
      </c>
      <c r="D514" s="1936"/>
      <c r="E514" s="1936"/>
      <c r="F514" s="1941">
        <v>9603.6</v>
      </c>
      <c r="G514" s="1941">
        <v>9604</v>
      </c>
      <c r="H514" s="1937" t="str">
        <f>IFERROR(IF(F514&gt;=VLOOKUP(A514,[2]Materiality!$I$6:$J$12,2,TRUE),IFERROR(IF(VLOOKUP("*CR",F514,1,FALSE)&gt;=0,"",VLOOKUP("*CR",F514,1,FALSE)),F514),""),"")</f>
        <v/>
      </c>
      <c r="I514" s="1938">
        <f t="shared" si="7"/>
        <v>0</v>
      </c>
    </row>
    <row r="515" spans="1:9" x14ac:dyDescent="0.25">
      <c r="A515" t="s">
        <v>3555</v>
      </c>
      <c r="B515" s="1936"/>
      <c r="C515" t="s">
        <v>2482</v>
      </c>
      <c r="D515" s="1936"/>
      <c r="E515" s="1936"/>
      <c r="F515" s="1941">
        <v>23264.799999999999</v>
      </c>
      <c r="G515" s="1941">
        <v>23265</v>
      </c>
      <c r="H515" s="1937" t="str">
        <f>IFERROR(IF(F515&gt;=VLOOKUP(A515,[2]Materiality!$I$6:$J$12,2,TRUE),IFERROR(IF(VLOOKUP("*CR",F515,1,FALSE)&gt;=0,"",VLOOKUP("*CR",F515,1,FALSE)),F515),""),"")</f>
        <v/>
      </c>
      <c r="I515" s="1938">
        <f t="shared" si="7"/>
        <v>0</v>
      </c>
    </row>
    <row r="516" spans="1:9" x14ac:dyDescent="0.25">
      <c r="A516" t="s">
        <v>3554</v>
      </c>
      <c r="B516" s="1936"/>
      <c r="C516" t="s">
        <v>2483</v>
      </c>
      <c r="D516" s="1936"/>
      <c r="E516" s="1936"/>
      <c r="F516" s="1941">
        <v>0</v>
      </c>
      <c r="G516" s="1941">
        <v>0</v>
      </c>
      <c r="H516" s="1937" t="str">
        <f>IFERROR(IF(F516&gt;=VLOOKUP(A516,[2]Materiality!$I$6:$J$12,2,TRUE),IFERROR(IF(VLOOKUP("*CR",F516,1,FALSE)&gt;=0,"",VLOOKUP("*CR",F516,1,FALSE)),F516),""),"")</f>
        <v/>
      </c>
      <c r="I516" s="1938">
        <f t="shared" ref="I516:I579" si="8">IF(F516&lt;0,F516,0)</f>
        <v>0</v>
      </c>
    </row>
    <row r="517" spans="1:9" x14ac:dyDescent="0.25">
      <c r="A517" t="s">
        <v>3553</v>
      </c>
      <c r="B517" s="1936"/>
      <c r="C517" t="s">
        <v>2484</v>
      </c>
      <c r="D517" s="1936"/>
      <c r="E517" s="1936"/>
      <c r="F517" s="1941">
        <v>528.48</v>
      </c>
      <c r="G517" s="1941">
        <v>528</v>
      </c>
      <c r="H517" s="1937" t="str">
        <f>IFERROR(IF(F517&gt;=VLOOKUP(A517,[2]Materiality!$I$6:$J$12,2,TRUE),IFERROR(IF(VLOOKUP("*CR",F517,1,FALSE)&gt;=0,"",VLOOKUP("*CR",F517,1,FALSE)),F517),""),"")</f>
        <v/>
      </c>
      <c r="I517" s="1938">
        <f t="shared" si="8"/>
        <v>0</v>
      </c>
    </row>
    <row r="518" spans="1:9" x14ac:dyDescent="0.25">
      <c r="A518" t="s">
        <v>3552</v>
      </c>
      <c r="B518" s="1936"/>
      <c r="C518" t="s">
        <v>2485</v>
      </c>
      <c r="D518" s="1936"/>
      <c r="E518" s="1936"/>
      <c r="F518" s="1941">
        <v>499.92</v>
      </c>
      <c r="G518" s="1941">
        <v>500</v>
      </c>
      <c r="H518" s="1937" t="str">
        <f>IFERROR(IF(F518&gt;=VLOOKUP(A518,[2]Materiality!$I$6:$J$12,2,TRUE),IFERROR(IF(VLOOKUP("*CR",F518,1,FALSE)&gt;=0,"",VLOOKUP("*CR",F518,1,FALSE)),F518),""),"")</f>
        <v/>
      </c>
      <c r="I518" s="1938">
        <f t="shared" si="8"/>
        <v>0</v>
      </c>
    </row>
    <row r="519" spans="1:9" x14ac:dyDescent="0.25">
      <c r="A519" t="s">
        <v>3708</v>
      </c>
      <c r="B519" s="1936"/>
      <c r="C519" t="s">
        <v>51</v>
      </c>
      <c r="D519" s="1936"/>
      <c r="E519" s="1936"/>
      <c r="F519" s="1941">
        <v>33896.800000000003</v>
      </c>
      <c r="G519" s="1941">
        <v>33897</v>
      </c>
      <c r="H519" s="1937">
        <f>IFERROR(IF(F519&gt;=VLOOKUP(A519,[2]Materiality!$I$6:$J$12,2,TRUE),IFERROR(IF(VLOOKUP("*CR",F519,1,FALSE)&gt;=0,"",VLOOKUP("*CR",F519,1,FALSE)),F519),""),"")</f>
        <v>33896.800000000003</v>
      </c>
      <c r="I519" s="1938">
        <f t="shared" si="8"/>
        <v>0</v>
      </c>
    </row>
    <row r="520" spans="1:9" x14ac:dyDescent="0.25">
      <c r="A520" t="s">
        <v>3551</v>
      </c>
      <c r="B520" s="1936"/>
      <c r="C520" t="s">
        <v>2486</v>
      </c>
      <c r="D520" s="1936"/>
      <c r="E520" s="1936"/>
      <c r="F520" s="1941">
        <v>0</v>
      </c>
      <c r="G520" s="1941">
        <v>0</v>
      </c>
      <c r="H520" s="1937" t="str">
        <f>IFERROR(IF(F520&gt;=VLOOKUP(A520,[2]Materiality!$I$6:$J$12,2,TRUE),IFERROR(IF(VLOOKUP("*CR",F520,1,FALSE)&gt;=0,"",VLOOKUP("*CR",F520,1,FALSE)),F520),""),"")</f>
        <v/>
      </c>
      <c r="I520" s="1938">
        <f t="shared" si="8"/>
        <v>0</v>
      </c>
    </row>
    <row r="521" spans="1:9" x14ac:dyDescent="0.25">
      <c r="A521" t="s">
        <v>3709</v>
      </c>
      <c r="B521" s="1936"/>
      <c r="C521" t="s">
        <v>1162</v>
      </c>
      <c r="D521" s="1936"/>
      <c r="E521" s="1936"/>
      <c r="F521" s="1941">
        <v>0</v>
      </c>
      <c r="G521" s="1941">
        <v>0</v>
      </c>
      <c r="H521" s="1937" t="str">
        <f>IFERROR(IF(F521&gt;=VLOOKUP(A521,[2]Materiality!$I$6:$J$12,2,TRUE),IFERROR(IF(VLOOKUP("*CR",F521,1,FALSE)&gt;=0,"",VLOOKUP("*CR",F521,1,FALSE)),F521),""),"")</f>
        <v/>
      </c>
      <c r="I521" s="1938">
        <f t="shared" si="8"/>
        <v>0</v>
      </c>
    </row>
    <row r="522" spans="1:9" x14ac:dyDescent="0.25">
      <c r="A522" t="s">
        <v>3728</v>
      </c>
      <c r="B522" s="1936"/>
      <c r="C522" t="s">
        <v>2487</v>
      </c>
      <c r="D522" s="1936"/>
      <c r="E522" s="1936"/>
      <c r="F522" s="1941">
        <v>113051.8</v>
      </c>
      <c r="G522" s="1941">
        <v>117448</v>
      </c>
      <c r="H522" s="1937">
        <f>IFERROR(IF(F522&gt;=VLOOKUP(A522,[2]Materiality!$I$6:$J$12,2,TRUE),IFERROR(IF(VLOOKUP("*CR",F522,1,FALSE)&gt;=0,"",VLOOKUP("*CR",F522,1,FALSE)),F522),""),"")</f>
        <v>113051.8</v>
      </c>
      <c r="I522" s="1938">
        <f t="shared" si="8"/>
        <v>0</v>
      </c>
    </row>
    <row r="523" spans="1:9" x14ac:dyDescent="0.25">
      <c r="A523" t="s">
        <v>3550</v>
      </c>
      <c r="B523" s="1936"/>
      <c r="C523" t="s">
        <v>2488</v>
      </c>
      <c r="D523" s="1936"/>
      <c r="E523" s="1936"/>
      <c r="F523" s="1941">
        <v>65082.66</v>
      </c>
      <c r="G523" s="1941">
        <v>65604</v>
      </c>
      <c r="H523" s="1937" t="str">
        <f>IFERROR(IF(F523&gt;=VLOOKUP(A523,[2]Materiality!$I$6:$J$12,2,TRUE),IFERROR(IF(VLOOKUP("*CR",F523,1,FALSE)&gt;=0,"",VLOOKUP("*CR",F523,1,FALSE)),F523),""),"")</f>
        <v/>
      </c>
      <c r="I523" s="1938">
        <f t="shared" si="8"/>
        <v>0</v>
      </c>
    </row>
    <row r="524" spans="1:9" x14ac:dyDescent="0.25">
      <c r="A524" t="s">
        <v>3550</v>
      </c>
      <c r="B524" s="1936"/>
      <c r="C524" t="s">
        <v>2489</v>
      </c>
      <c r="D524" s="1936"/>
      <c r="E524" s="1936"/>
      <c r="F524" s="1941">
        <v>72464.800000000003</v>
      </c>
      <c r="G524" s="1941">
        <v>72465</v>
      </c>
      <c r="H524" s="1937" t="str">
        <f>IFERROR(IF(F524&gt;=VLOOKUP(A524,[2]Materiality!$I$6:$J$12,2,TRUE),IFERROR(IF(VLOOKUP("*CR",F524,1,FALSE)&gt;=0,"",VLOOKUP("*CR",F524,1,FALSE)),F524),""),"")</f>
        <v/>
      </c>
      <c r="I524" s="1938">
        <f t="shared" si="8"/>
        <v>0</v>
      </c>
    </row>
    <row r="525" spans="1:9" x14ac:dyDescent="0.25">
      <c r="A525" t="s">
        <v>3638</v>
      </c>
      <c r="B525" s="1936"/>
      <c r="C525" t="s">
        <v>203</v>
      </c>
      <c r="D525" s="1936"/>
      <c r="E525" s="1936"/>
      <c r="F525" s="1941">
        <v>137547.46</v>
      </c>
      <c r="G525" s="1941">
        <v>138069</v>
      </c>
      <c r="H525" s="1937">
        <f>IFERROR(IF(F525&gt;=VLOOKUP(A525,[2]Materiality!$I$6:$J$12,2,TRUE),IFERROR(IF(VLOOKUP("*CR",F525,1,FALSE)&gt;=0,"",VLOOKUP("*CR",F525,1,FALSE)),F525),""),"")</f>
        <v>137547.46</v>
      </c>
      <c r="I525" s="1938">
        <f t="shared" si="8"/>
        <v>0</v>
      </c>
    </row>
    <row r="526" spans="1:9" x14ac:dyDescent="0.25">
      <c r="A526" t="s">
        <v>3549</v>
      </c>
      <c r="B526" s="1936"/>
      <c r="C526" t="s">
        <v>2490</v>
      </c>
      <c r="D526" s="1936"/>
      <c r="E526" s="1936"/>
      <c r="F526" s="1941">
        <v>7531.46</v>
      </c>
      <c r="G526" s="1941">
        <v>7592</v>
      </c>
      <c r="H526" s="1937" t="str">
        <f>IFERROR(IF(F526&gt;=VLOOKUP(A526,[2]Materiality!$I$6:$J$12,2,TRUE),IFERROR(IF(VLOOKUP("*CR",F526,1,FALSE)&gt;=0,"",VLOOKUP("*CR",F526,1,FALSE)),F526),""),"")</f>
        <v/>
      </c>
      <c r="I526" s="1938">
        <f t="shared" si="8"/>
        <v>0</v>
      </c>
    </row>
    <row r="527" spans="1:9" x14ac:dyDescent="0.25">
      <c r="A527" t="s">
        <v>3549</v>
      </c>
      <c r="B527" s="1936"/>
      <c r="C527" t="s">
        <v>2491</v>
      </c>
      <c r="D527" s="1936"/>
      <c r="E527" s="1936"/>
      <c r="F527" s="1941">
        <v>8416.01</v>
      </c>
      <c r="G527" s="1941">
        <v>8417</v>
      </c>
      <c r="H527" s="1937" t="str">
        <f>IFERROR(IF(F527&gt;=VLOOKUP(A527,[2]Materiality!$I$6:$J$12,2,TRUE),IFERROR(IF(VLOOKUP("*CR",F527,1,FALSE)&gt;=0,"",VLOOKUP("*CR",F527,1,FALSE)),F527),""),"")</f>
        <v/>
      </c>
      <c r="I527" s="1938">
        <f t="shared" si="8"/>
        <v>0</v>
      </c>
    </row>
    <row r="528" spans="1:9" x14ac:dyDescent="0.25">
      <c r="A528" t="s">
        <v>3548</v>
      </c>
      <c r="B528" s="1936"/>
      <c r="C528" t="s">
        <v>2492</v>
      </c>
      <c r="D528" s="1936"/>
      <c r="E528" s="1936"/>
      <c r="F528" s="1941">
        <v>8214.9599999999991</v>
      </c>
      <c r="G528" s="1941">
        <v>8215</v>
      </c>
      <c r="H528" s="1937" t="str">
        <f>IFERROR(IF(F528&gt;=VLOOKUP(A528,[2]Materiality!$I$6:$J$12,2,TRUE),IFERROR(IF(VLOOKUP("*CR",F528,1,FALSE)&gt;=0,"",VLOOKUP("*CR",F528,1,FALSE)),F528),""),"")</f>
        <v/>
      </c>
      <c r="I528" s="1938">
        <f t="shared" si="8"/>
        <v>0</v>
      </c>
    </row>
    <row r="529" spans="1:9" x14ac:dyDescent="0.25">
      <c r="A529" t="s">
        <v>3548</v>
      </c>
      <c r="B529" s="1936"/>
      <c r="C529" t="s">
        <v>2493</v>
      </c>
      <c r="D529" s="1936"/>
      <c r="E529" s="1936"/>
      <c r="F529" s="1941">
        <v>8214.9599999999991</v>
      </c>
      <c r="G529" s="1941">
        <v>8215</v>
      </c>
      <c r="H529" s="1937" t="str">
        <f>IFERROR(IF(F529&gt;=VLOOKUP(A529,[2]Materiality!$I$6:$J$12,2,TRUE),IFERROR(IF(VLOOKUP("*CR",F529,1,FALSE)&gt;=0,"",VLOOKUP("*CR",F529,1,FALSE)),F529),""),"")</f>
        <v/>
      </c>
      <c r="I529" s="1938">
        <f t="shared" si="8"/>
        <v>0</v>
      </c>
    </row>
    <row r="530" spans="1:9" x14ac:dyDescent="0.25">
      <c r="A530" t="s">
        <v>3547</v>
      </c>
      <c r="B530" s="1936"/>
      <c r="C530" t="s">
        <v>2494</v>
      </c>
      <c r="D530" s="1936"/>
      <c r="E530" s="1936"/>
      <c r="F530" s="1941">
        <v>0</v>
      </c>
      <c r="G530" s="1941">
        <v>0</v>
      </c>
      <c r="H530" s="1937" t="str">
        <f>IFERROR(IF(F530&gt;=VLOOKUP(A530,[2]Materiality!$I$6:$J$12,2,TRUE),IFERROR(IF(VLOOKUP("*CR",F530,1,FALSE)&gt;=0,"",VLOOKUP("*CR",F530,1,FALSE)),F530),""),"")</f>
        <v/>
      </c>
      <c r="I530" s="1938">
        <f t="shared" si="8"/>
        <v>0</v>
      </c>
    </row>
    <row r="531" spans="1:9" x14ac:dyDescent="0.25">
      <c r="A531" t="s">
        <v>3547</v>
      </c>
      <c r="B531" s="1936"/>
      <c r="C531" t="s">
        <v>2495</v>
      </c>
      <c r="D531" s="1936"/>
      <c r="E531" s="1936"/>
      <c r="F531" s="1941">
        <v>0</v>
      </c>
      <c r="G531" s="1941">
        <v>0</v>
      </c>
      <c r="H531" s="1937" t="str">
        <f>IFERROR(IF(F531&gt;=VLOOKUP(A531,[2]Materiality!$I$6:$J$12,2,TRUE),IFERROR(IF(VLOOKUP("*CR",F531,1,FALSE)&gt;=0,"",VLOOKUP("*CR",F531,1,FALSE)),F531),""),"")</f>
        <v/>
      </c>
      <c r="I531" s="1938">
        <f t="shared" si="8"/>
        <v>0</v>
      </c>
    </row>
    <row r="532" spans="1:9" x14ac:dyDescent="0.25">
      <c r="A532" t="s">
        <v>3546</v>
      </c>
      <c r="B532" s="1936"/>
      <c r="C532" t="s">
        <v>2496</v>
      </c>
      <c r="D532" s="1936"/>
      <c r="E532" s="1936"/>
      <c r="F532" s="1941">
        <v>56.4</v>
      </c>
      <c r="G532" s="1941">
        <v>56</v>
      </c>
      <c r="H532" s="1937" t="str">
        <f>IFERROR(IF(F532&gt;=VLOOKUP(A532,[2]Materiality!$I$6:$J$12,2,TRUE),IFERROR(IF(VLOOKUP("*CR",F532,1,FALSE)&gt;=0,"",VLOOKUP("*CR",F532,1,FALSE)),F532),""),"")</f>
        <v/>
      </c>
      <c r="I532" s="1938">
        <f t="shared" si="8"/>
        <v>0</v>
      </c>
    </row>
    <row r="533" spans="1:9" x14ac:dyDescent="0.25">
      <c r="A533" t="s">
        <v>3546</v>
      </c>
      <c r="B533" s="1936"/>
      <c r="C533" t="s">
        <v>2497</v>
      </c>
      <c r="D533" s="1936"/>
      <c r="E533" s="1936"/>
      <c r="F533" s="1941">
        <v>56.4</v>
      </c>
      <c r="G533" s="1941">
        <v>56</v>
      </c>
      <c r="H533" s="1937" t="str">
        <f>IFERROR(IF(F533&gt;=VLOOKUP(A533,[2]Materiality!$I$6:$J$12,2,TRUE),IFERROR(IF(VLOOKUP("*CR",F533,1,FALSE)&gt;=0,"",VLOOKUP("*CR",F533,1,FALSE)),F533),""),"")</f>
        <v/>
      </c>
      <c r="I533" s="1938">
        <f t="shared" si="8"/>
        <v>0</v>
      </c>
    </row>
    <row r="534" spans="1:9" x14ac:dyDescent="0.25">
      <c r="A534" t="s">
        <v>3708</v>
      </c>
      <c r="B534" s="1936"/>
      <c r="C534" t="s">
        <v>51</v>
      </c>
      <c r="D534" s="1936"/>
      <c r="E534" s="1936"/>
      <c r="F534" s="1941">
        <v>32490.19</v>
      </c>
      <c r="G534" s="1941">
        <v>32551</v>
      </c>
      <c r="H534" s="1937">
        <f>IFERROR(IF(F534&gt;=VLOOKUP(A534,[2]Materiality!$I$6:$J$12,2,TRUE),IFERROR(IF(VLOOKUP("*CR",F534,1,FALSE)&gt;=0,"",VLOOKUP("*CR",F534,1,FALSE)),F534),""),"")</f>
        <v>32490.19</v>
      </c>
      <c r="I534" s="1938">
        <f t="shared" si="8"/>
        <v>0</v>
      </c>
    </row>
    <row r="535" spans="1:9" x14ac:dyDescent="0.25">
      <c r="A535" t="s">
        <v>3729</v>
      </c>
      <c r="B535" s="1936"/>
      <c r="C535" t="s">
        <v>2498</v>
      </c>
      <c r="D535" s="1936"/>
      <c r="E535" s="1936"/>
      <c r="F535" s="1941">
        <v>170037.65</v>
      </c>
      <c r="G535" s="1941">
        <v>170620</v>
      </c>
      <c r="H535" s="1937">
        <f>IFERROR(IF(F535&gt;=VLOOKUP(A535,[2]Materiality!$I$6:$J$12,2,TRUE),IFERROR(IF(VLOOKUP("*CR",F535,1,FALSE)&gt;=0,"",VLOOKUP("*CR",F535,1,FALSE)),F535),""),"")</f>
        <v>170037.65</v>
      </c>
      <c r="I535" s="1938">
        <f t="shared" si="8"/>
        <v>0</v>
      </c>
    </row>
    <row r="536" spans="1:9" x14ac:dyDescent="0.25">
      <c r="A536" t="s">
        <v>3545</v>
      </c>
      <c r="B536" s="1936"/>
      <c r="C536" t="s">
        <v>2499</v>
      </c>
      <c r="D536" s="1936"/>
      <c r="E536" s="1936"/>
      <c r="F536" s="1941">
        <v>20020.84</v>
      </c>
      <c r="G536" s="1941">
        <v>19907</v>
      </c>
      <c r="H536" s="1937" t="str">
        <f>IFERROR(IF(F536&gt;=VLOOKUP(A536,[2]Materiality!$I$6:$J$12,2,TRUE),IFERROR(IF(VLOOKUP("*CR",F536,1,FALSE)&gt;=0,"",VLOOKUP("*CR",F536,1,FALSE)),F536),""),"")</f>
        <v/>
      </c>
      <c r="I536" s="1938">
        <f t="shared" si="8"/>
        <v>0</v>
      </c>
    </row>
    <row r="537" spans="1:9" x14ac:dyDescent="0.25">
      <c r="A537" t="s">
        <v>3638</v>
      </c>
      <c r="B537" s="1936"/>
      <c r="C537" t="s">
        <v>203</v>
      </c>
      <c r="D537" s="1936"/>
      <c r="E537" s="1936"/>
      <c r="F537" s="1941">
        <v>20020.84</v>
      </c>
      <c r="G537" s="1941">
        <v>19907</v>
      </c>
      <c r="H537" s="1937" t="str">
        <f>IFERROR(IF(F537&gt;=VLOOKUP(A537,[2]Materiality!$I$6:$J$12,2,TRUE),IFERROR(IF(VLOOKUP("*CR",F537,1,FALSE)&gt;=0,"",VLOOKUP("*CR",F537,1,FALSE)),F537),""),"")</f>
        <v/>
      </c>
      <c r="I537" s="1938">
        <f t="shared" si="8"/>
        <v>0</v>
      </c>
    </row>
    <row r="538" spans="1:9" x14ac:dyDescent="0.25">
      <c r="A538" t="s">
        <v>3544</v>
      </c>
      <c r="B538" s="1936"/>
      <c r="C538" t="s">
        <v>2500</v>
      </c>
      <c r="D538" s="1936"/>
      <c r="E538" s="1936"/>
      <c r="F538" s="1941">
        <v>0</v>
      </c>
      <c r="G538" s="1941">
        <v>0</v>
      </c>
      <c r="H538" s="1937" t="str">
        <f>IFERROR(IF(F538&gt;=VLOOKUP(A538,[2]Materiality!$I$6:$J$12,2,TRUE),IFERROR(IF(VLOOKUP("*CR",F538,1,FALSE)&gt;=0,"",VLOOKUP("*CR",F538,1,FALSE)),F538),""),"")</f>
        <v/>
      </c>
      <c r="I538" s="1938">
        <f t="shared" si="8"/>
        <v>0</v>
      </c>
    </row>
    <row r="539" spans="1:9" x14ac:dyDescent="0.25">
      <c r="A539" t="s">
        <v>3543</v>
      </c>
      <c r="B539" s="1936"/>
      <c r="C539" t="s">
        <v>2501</v>
      </c>
      <c r="D539" s="1936"/>
      <c r="E539" s="1936"/>
      <c r="F539" s="1941">
        <v>54.8</v>
      </c>
      <c r="G539" s="1941">
        <v>56</v>
      </c>
      <c r="H539" s="1937" t="str">
        <f>IFERROR(IF(F539&gt;=VLOOKUP(A539,[2]Materiality!$I$6:$J$12,2,TRUE),IFERROR(IF(VLOOKUP("*CR",F539,1,FALSE)&gt;=0,"",VLOOKUP("*CR",F539,1,FALSE)),F539),""),"")</f>
        <v/>
      </c>
      <c r="I539" s="1938">
        <f t="shared" si="8"/>
        <v>0</v>
      </c>
    </row>
    <row r="540" spans="1:9" x14ac:dyDescent="0.25">
      <c r="A540" t="s">
        <v>3708</v>
      </c>
      <c r="B540" s="1936"/>
      <c r="C540" t="s">
        <v>51</v>
      </c>
      <c r="D540" s="1936"/>
      <c r="E540" s="1936"/>
      <c r="F540" s="1941">
        <v>54.8</v>
      </c>
      <c r="G540" s="1941">
        <v>56</v>
      </c>
      <c r="H540" s="1937" t="str">
        <f>IFERROR(IF(F540&gt;=VLOOKUP(A540,[2]Materiality!$I$6:$J$12,2,TRUE),IFERROR(IF(VLOOKUP("*CR",F540,1,FALSE)&gt;=0,"",VLOOKUP("*CR",F540,1,FALSE)),F540),""),"")</f>
        <v/>
      </c>
      <c r="I540" s="1938">
        <f t="shared" si="8"/>
        <v>0</v>
      </c>
    </row>
    <row r="541" spans="1:9" x14ac:dyDescent="0.25">
      <c r="A541" t="s">
        <v>3730</v>
      </c>
      <c r="B541" s="1936"/>
      <c r="C541" t="s">
        <v>2502</v>
      </c>
      <c r="D541" s="1936"/>
      <c r="E541" s="1936"/>
      <c r="F541" s="1941">
        <v>20075.64</v>
      </c>
      <c r="G541" s="1941">
        <v>19963</v>
      </c>
      <c r="H541" s="1937" t="str">
        <f>IFERROR(IF(F541&gt;=VLOOKUP(A541,[2]Materiality!$I$6:$J$12,2,TRUE),IFERROR(IF(VLOOKUP("*CR",F541,1,FALSE)&gt;=0,"",VLOOKUP("*CR",F541,1,FALSE)),F541),""),"")</f>
        <v/>
      </c>
      <c r="I541" s="1938">
        <f t="shared" si="8"/>
        <v>0</v>
      </c>
    </row>
    <row r="542" spans="1:9" x14ac:dyDescent="0.25">
      <c r="A542" t="s">
        <v>3542</v>
      </c>
      <c r="B542" s="1936"/>
      <c r="C542" t="s">
        <v>2503</v>
      </c>
      <c r="D542" s="1936"/>
      <c r="E542" s="1936"/>
      <c r="F542" s="1941">
        <v>87323.1</v>
      </c>
      <c r="G542" s="1941">
        <v>88381</v>
      </c>
      <c r="H542" s="1937" t="str">
        <f>IFERROR(IF(F542&gt;=VLOOKUP(A542,[2]Materiality!$I$6:$J$12,2,TRUE),IFERROR(IF(VLOOKUP("*CR",F542,1,FALSE)&gt;=0,"",VLOOKUP("*CR",F542,1,FALSE)),F542),""),"")</f>
        <v/>
      </c>
      <c r="I542" s="1938">
        <f t="shared" si="8"/>
        <v>0</v>
      </c>
    </row>
    <row r="543" spans="1:9" x14ac:dyDescent="0.25">
      <c r="A543" t="s">
        <v>3541</v>
      </c>
      <c r="B543" s="1936"/>
      <c r="C543" t="s">
        <v>2504</v>
      </c>
      <c r="D543" s="1936"/>
      <c r="E543" s="1936"/>
      <c r="F543" s="1941">
        <v>3575.04</v>
      </c>
      <c r="G543" s="1941">
        <v>3575</v>
      </c>
      <c r="H543" s="1937" t="str">
        <f>IFERROR(IF(F543&gt;=VLOOKUP(A543,[2]Materiality!$I$6:$J$12,2,TRUE),IFERROR(IF(VLOOKUP("*CR",F543,1,FALSE)&gt;=0,"",VLOOKUP("*CR",F543,1,FALSE)),F543),""),"")</f>
        <v/>
      </c>
      <c r="I543" s="1938">
        <f t="shared" si="8"/>
        <v>0</v>
      </c>
    </row>
    <row r="544" spans="1:9" x14ac:dyDescent="0.25">
      <c r="A544" t="s">
        <v>3638</v>
      </c>
      <c r="B544" s="1936"/>
      <c r="C544" t="s">
        <v>203</v>
      </c>
      <c r="D544" s="1936"/>
      <c r="E544" s="1936"/>
      <c r="F544" s="1941">
        <v>90898.14</v>
      </c>
      <c r="G544" s="1941">
        <v>91956</v>
      </c>
      <c r="H544" s="1937" t="str">
        <f>IFERROR(IF(F544&gt;=VLOOKUP(A544,[2]Materiality!$I$6:$J$12,2,TRUE),IFERROR(IF(VLOOKUP("*CR",F544,1,FALSE)&gt;=0,"",VLOOKUP("*CR",F544,1,FALSE)),F544),""),"")</f>
        <v/>
      </c>
      <c r="I544" s="1938">
        <f t="shared" si="8"/>
        <v>0</v>
      </c>
    </row>
    <row r="545" spans="1:9" x14ac:dyDescent="0.25">
      <c r="A545" t="s">
        <v>3540</v>
      </c>
      <c r="B545" s="1936"/>
      <c r="C545" t="s">
        <v>2505</v>
      </c>
      <c r="D545" s="1936"/>
      <c r="E545" s="1936"/>
      <c r="F545" s="1941">
        <v>17799.080000000002</v>
      </c>
      <c r="G545" s="1941">
        <v>17800</v>
      </c>
      <c r="H545" s="1937" t="str">
        <f>IFERROR(IF(F545&gt;=VLOOKUP(A545,[2]Materiality!$I$6:$J$12,2,TRUE),IFERROR(IF(VLOOKUP("*CR",F545,1,FALSE)&gt;=0,"",VLOOKUP("*CR",F545,1,FALSE)),F545),""),"")</f>
        <v/>
      </c>
      <c r="I545" s="1938">
        <f t="shared" si="8"/>
        <v>0</v>
      </c>
    </row>
    <row r="546" spans="1:9" x14ac:dyDescent="0.25">
      <c r="A546" t="s">
        <v>3539</v>
      </c>
      <c r="B546" s="1936"/>
      <c r="C546" t="s">
        <v>2506</v>
      </c>
      <c r="D546" s="1936"/>
      <c r="E546" s="1936"/>
      <c r="F546" s="1941">
        <v>179</v>
      </c>
      <c r="G546" s="1941">
        <v>196</v>
      </c>
      <c r="H546" s="1937" t="str">
        <f>IFERROR(IF(F546&gt;=VLOOKUP(A546,[2]Materiality!$I$6:$J$12,2,TRUE),IFERROR(IF(VLOOKUP("*CR",F546,1,FALSE)&gt;=0,"",VLOOKUP("*CR",F546,1,FALSE)),F546),""),"")</f>
        <v/>
      </c>
      <c r="I546" s="1938">
        <f t="shared" si="8"/>
        <v>0</v>
      </c>
    </row>
    <row r="547" spans="1:9" x14ac:dyDescent="0.25">
      <c r="A547" t="s">
        <v>3708</v>
      </c>
      <c r="B547" s="1936"/>
      <c r="C547" t="s">
        <v>51</v>
      </c>
      <c r="D547" s="1936"/>
      <c r="E547" s="1936"/>
      <c r="F547" s="1941">
        <v>17978.080000000002</v>
      </c>
      <c r="G547" s="1941">
        <v>17996</v>
      </c>
      <c r="H547" s="1937" t="str">
        <f>IFERROR(IF(F547&gt;=VLOOKUP(A547,[2]Materiality!$I$6:$J$12,2,TRUE),IFERROR(IF(VLOOKUP("*CR",F547,1,FALSE)&gt;=0,"",VLOOKUP("*CR",F547,1,FALSE)),F547),""),"")</f>
        <v/>
      </c>
      <c r="I547" s="1938">
        <f t="shared" si="8"/>
        <v>0</v>
      </c>
    </row>
    <row r="548" spans="1:9" x14ac:dyDescent="0.25">
      <c r="A548" t="s">
        <v>3538</v>
      </c>
      <c r="B548" s="1936"/>
      <c r="C548" t="s">
        <v>2507</v>
      </c>
      <c r="D548" s="1936"/>
      <c r="E548" s="1936"/>
      <c r="F548" s="1941">
        <v>1972.14</v>
      </c>
      <c r="G548" s="1941">
        <v>3500</v>
      </c>
      <c r="H548" s="1937" t="str">
        <f>IFERROR(IF(F548&gt;=VLOOKUP(A548,[2]Materiality!$I$6:$J$12,2,TRUE),IFERROR(IF(VLOOKUP("*CR",F548,1,FALSE)&gt;=0,"",VLOOKUP("*CR",F548,1,FALSE)),F548),""),"")</f>
        <v/>
      </c>
      <c r="I548" s="1938">
        <f t="shared" si="8"/>
        <v>0</v>
      </c>
    </row>
    <row r="549" spans="1:9" x14ac:dyDescent="0.25">
      <c r="A549" t="s">
        <v>3710</v>
      </c>
      <c r="B549" s="1936"/>
      <c r="C549" t="s">
        <v>2300</v>
      </c>
      <c r="D549" s="1936"/>
      <c r="E549" s="1936"/>
      <c r="F549" s="1941">
        <v>1972.14</v>
      </c>
      <c r="G549" s="1941">
        <v>3500</v>
      </c>
      <c r="H549" s="1937" t="str">
        <f>IFERROR(IF(F549&gt;=VLOOKUP(A549,[2]Materiality!$I$6:$J$12,2,TRUE),IFERROR(IF(VLOOKUP("*CR",F549,1,FALSE)&gt;=0,"",VLOOKUP("*CR",F549,1,FALSE)),F549),""),"")</f>
        <v/>
      </c>
      <c r="I549" s="1938">
        <f t="shared" si="8"/>
        <v>0</v>
      </c>
    </row>
    <row r="550" spans="1:9" x14ac:dyDescent="0.25">
      <c r="A550" t="s">
        <v>3537</v>
      </c>
      <c r="B550" s="1936"/>
      <c r="C550" t="s">
        <v>2508</v>
      </c>
      <c r="D550" s="1936"/>
      <c r="E550" s="1936"/>
      <c r="F550" s="1941">
        <v>0</v>
      </c>
      <c r="G550" s="1941">
        <v>500</v>
      </c>
      <c r="H550" s="1937" t="str">
        <f>IFERROR(IF(F550&gt;=VLOOKUP(A550,[2]Materiality!$I$6:$J$12,2,TRUE),IFERROR(IF(VLOOKUP("*CR",F550,1,FALSE)&gt;=0,"",VLOOKUP("*CR",F550,1,FALSE)),F550),""),"")</f>
        <v/>
      </c>
      <c r="I550" s="1938">
        <f t="shared" si="8"/>
        <v>0</v>
      </c>
    </row>
    <row r="551" spans="1:9" x14ac:dyDescent="0.25">
      <c r="A551" t="s">
        <v>3711</v>
      </c>
      <c r="B551" s="1936"/>
      <c r="C551" t="s">
        <v>1157</v>
      </c>
      <c r="D551" s="1936"/>
      <c r="E551" s="1936"/>
      <c r="F551" s="1941">
        <v>0</v>
      </c>
      <c r="G551" s="1941">
        <v>500</v>
      </c>
      <c r="H551" s="1937" t="str">
        <f>IFERROR(IF(F551&gt;=VLOOKUP(A551,[2]Materiality!$I$6:$J$12,2,TRUE),IFERROR(IF(VLOOKUP("*CR",F551,1,FALSE)&gt;=0,"",VLOOKUP("*CR",F551,1,FALSE)),F551),""),"")</f>
        <v/>
      </c>
      <c r="I551" s="1938">
        <f t="shared" si="8"/>
        <v>0</v>
      </c>
    </row>
    <row r="552" spans="1:9" x14ac:dyDescent="0.25">
      <c r="A552" t="s">
        <v>3731</v>
      </c>
      <c r="B552" s="1936"/>
      <c r="C552" t="s">
        <v>2509</v>
      </c>
      <c r="D552" s="1936"/>
      <c r="E552" s="1936"/>
      <c r="F552" s="1941">
        <v>110848.36</v>
      </c>
      <c r="G552" s="1941">
        <v>113952</v>
      </c>
      <c r="H552" s="1937">
        <f>IFERROR(IF(F552&gt;=VLOOKUP(A552,[2]Materiality!$I$6:$J$12,2,TRUE),IFERROR(IF(VLOOKUP("*CR",F552,1,FALSE)&gt;=0,"",VLOOKUP("*CR",F552,1,FALSE)),F552),""),"")</f>
        <v>110848.36</v>
      </c>
      <c r="I552" s="1938">
        <f t="shared" si="8"/>
        <v>0</v>
      </c>
    </row>
    <row r="553" spans="1:9" x14ac:dyDescent="0.25">
      <c r="A553" t="s">
        <v>3536</v>
      </c>
      <c r="B553" s="1936"/>
      <c r="C553" t="s">
        <v>2510</v>
      </c>
      <c r="D553" s="1936"/>
      <c r="E553" s="1936"/>
      <c r="F553" s="1941">
        <v>92014</v>
      </c>
      <c r="G553" s="1941">
        <v>92014</v>
      </c>
      <c r="H553" s="1937" t="str">
        <f>IFERROR(IF(F553&gt;=VLOOKUP(A553,[2]Materiality!$I$6:$J$12,2,TRUE),IFERROR(IF(VLOOKUP("*CR",F553,1,FALSE)&gt;=0,"",VLOOKUP("*CR",F553,1,FALSE)),F553),""),"")</f>
        <v/>
      </c>
      <c r="I553" s="1938">
        <f t="shared" si="8"/>
        <v>0</v>
      </c>
    </row>
    <row r="554" spans="1:9" x14ac:dyDescent="0.25">
      <c r="A554" t="s">
        <v>3535</v>
      </c>
      <c r="B554" s="1936"/>
      <c r="C554" t="s">
        <v>2511</v>
      </c>
      <c r="D554" s="1936"/>
      <c r="E554" s="1936"/>
      <c r="F554" s="1941">
        <v>59000</v>
      </c>
      <c r="G554" s="1941">
        <v>59000</v>
      </c>
      <c r="H554" s="1937" t="str">
        <f>IFERROR(IF(F554&gt;=VLOOKUP(A554,[2]Materiality!$I$6:$J$12,2,TRUE),IFERROR(IF(VLOOKUP("*CR",F554,1,FALSE)&gt;=0,"",VLOOKUP("*CR",F554,1,FALSE)),F554),""),"")</f>
        <v/>
      </c>
      <c r="I554" s="1938">
        <f t="shared" si="8"/>
        <v>0</v>
      </c>
    </row>
    <row r="555" spans="1:9" x14ac:dyDescent="0.25">
      <c r="A555" t="s">
        <v>3534</v>
      </c>
      <c r="B555" s="1936"/>
      <c r="C555" t="s">
        <v>2512</v>
      </c>
      <c r="D555" s="1936"/>
      <c r="E555" s="1936"/>
      <c r="F555" s="1941">
        <v>9000</v>
      </c>
      <c r="G555" s="1941">
        <v>9000</v>
      </c>
      <c r="H555" s="1937" t="str">
        <f>IFERROR(IF(F555&gt;=VLOOKUP(A555,[2]Materiality!$I$6:$J$12,2,TRUE),IFERROR(IF(VLOOKUP("*CR",F555,1,FALSE)&gt;=0,"",VLOOKUP("*CR",F555,1,FALSE)),F555),""),"")</f>
        <v/>
      </c>
      <c r="I555" s="1938">
        <f t="shared" si="8"/>
        <v>0</v>
      </c>
    </row>
    <row r="556" spans="1:9" x14ac:dyDescent="0.25">
      <c r="A556" t="s">
        <v>3533</v>
      </c>
      <c r="B556" s="1936"/>
      <c r="C556" t="s">
        <v>2513</v>
      </c>
      <c r="D556" s="1936"/>
      <c r="E556" s="1936"/>
      <c r="F556" s="1941">
        <v>1305</v>
      </c>
      <c r="G556" s="1941">
        <v>1500</v>
      </c>
      <c r="H556" s="1937" t="str">
        <f>IFERROR(IF(F556&gt;=VLOOKUP(A556,[2]Materiality!$I$6:$J$12,2,TRUE),IFERROR(IF(VLOOKUP("*CR",F556,1,FALSE)&gt;=0,"",VLOOKUP("*CR",F556,1,FALSE)),F556),""),"")</f>
        <v/>
      </c>
      <c r="I556" s="1938">
        <f t="shared" si="8"/>
        <v>0</v>
      </c>
    </row>
    <row r="557" spans="1:9" x14ac:dyDescent="0.25">
      <c r="A557" t="s">
        <v>3532</v>
      </c>
      <c r="B557" s="1936"/>
      <c r="C557" t="s">
        <v>2514</v>
      </c>
      <c r="D557" s="1936"/>
      <c r="E557" s="1936"/>
      <c r="F557" s="1941">
        <v>34297</v>
      </c>
      <c r="G557" s="1941">
        <v>37997</v>
      </c>
      <c r="H557" s="1937" t="str">
        <f>IFERROR(IF(F557&gt;=VLOOKUP(A557,[2]Materiality!$I$6:$J$12,2,TRUE),IFERROR(IF(VLOOKUP("*CR",F557,1,FALSE)&gt;=0,"",VLOOKUP("*CR",F557,1,FALSE)),F557),""),"")</f>
        <v/>
      </c>
      <c r="I557" s="1938">
        <f t="shared" si="8"/>
        <v>0</v>
      </c>
    </row>
    <row r="558" spans="1:9" x14ac:dyDescent="0.25">
      <c r="A558" t="s">
        <v>3638</v>
      </c>
      <c r="B558" s="1936"/>
      <c r="C558" t="s">
        <v>203</v>
      </c>
      <c r="D558" s="1936"/>
      <c r="E558" s="1936"/>
      <c r="F558" s="1941">
        <v>195616</v>
      </c>
      <c r="G558" s="1941">
        <v>199511</v>
      </c>
      <c r="H558" s="1937">
        <f>IFERROR(IF(F558&gt;=VLOOKUP(A558,[2]Materiality!$I$6:$J$12,2,TRUE),IFERROR(IF(VLOOKUP("*CR",F558,1,FALSE)&gt;=0,"",VLOOKUP("*CR",F558,1,FALSE)),F558),""),"")</f>
        <v>195616</v>
      </c>
      <c r="I558" s="1938">
        <f t="shared" si="8"/>
        <v>0</v>
      </c>
    </row>
    <row r="559" spans="1:9" x14ac:dyDescent="0.25">
      <c r="A559" t="s">
        <v>3531</v>
      </c>
      <c r="B559" s="1936"/>
      <c r="C559" t="s">
        <v>2515</v>
      </c>
      <c r="D559" s="1936"/>
      <c r="E559" s="1936"/>
      <c r="F559" s="1941">
        <v>17377.310000000001</v>
      </c>
      <c r="G559" s="1941">
        <v>17368</v>
      </c>
      <c r="H559" s="1937" t="str">
        <f>IFERROR(IF(F559&gt;=VLOOKUP(A559,[2]Materiality!$I$6:$J$12,2,TRUE),IFERROR(IF(VLOOKUP("*CR",F559,1,FALSE)&gt;=0,"",VLOOKUP("*CR",F559,1,FALSE)),F559),""),"")</f>
        <v/>
      </c>
      <c r="I559" s="1938">
        <f t="shared" si="8"/>
        <v>0</v>
      </c>
    </row>
    <row r="560" spans="1:9" x14ac:dyDescent="0.25">
      <c r="A560" t="s">
        <v>3530</v>
      </c>
      <c r="B560" s="1936"/>
      <c r="C560" t="s">
        <v>2173</v>
      </c>
      <c r="D560" s="1936"/>
      <c r="E560" s="1936"/>
      <c r="F560" s="1941">
        <v>0</v>
      </c>
      <c r="G560" s="1941">
        <v>0</v>
      </c>
      <c r="H560" s="1937" t="str">
        <f>IFERROR(IF(F560&gt;=VLOOKUP(A560,[2]Materiality!$I$6:$J$12,2,TRUE),IFERROR(IF(VLOOKUP("*CR",F560,1,FALSE)&gt;=0,"",VLOOKUP("*CR",F560,1,FALSE)),F560),""),"")</f>
        <v/>
      </c>
      <c r="I560" s="1938">
        <f t="shared" si="8"/>
        <v>0</v>
      </c>
    </row>
    <row r="561" spans="1:9" x14ac:dyDescent="0.25">
      <c r="A561" t="s">
        <v>3529</v>
      </c>
      <c r="B561" s="1936"/>
      <c r="C561" t="s">
        <v>2516</v>
      </c>
      <c r="D561" s="1936"/>
      <c r="E561" s="1936"/>
      <c r="F561" s="1941">
        <v>54756.74</v>
      </c>
      <c r="G561" s="1941">
        <v>54745</v>
      </c>
      <c r="H561" s="1937" t="str">
        <f>IFERROR(IF(F561&gt;=VLOOKUP(A561,[2]Materiality!$I$6:$J$12,2,TRUE),IFERROR(IF(VLOOKUP("*CR",F561,1,FALSE)&gt;=0,"",VLOOKUP("*CR",F561,1,FALSE)),F561),""),"")</f>
        <v/>
      </c>
      <c r="I561" s="1938">
        <f t="shared" si="8"/>
        <v>0</v>
      </c>
    </row>
    <row r="562" spans="1:9" x14ac:dyDescent="0.25">
      <c r="A562" t="s">
        <v>3528</v>
      </c>
      <c r="B562" s="1936"/>
      <c r="C562" t="s">
        <v>2517</v>
      </c>
      <c r="D562" s="1936"/>
      <c r="E562" s="1936"/>
      <c r="F562" s="1941">
        <v>0</v>
      </c>
      <c r="G562" s="1941">
        <v>0</v>
      </c>
      <c r="H562" s="1937" t="str">
        <f>IFERROR(IF(F562&gt;=VLOOKUP(A562,[2]Materiality!$I$6:$J$12,2,TRUE),IFERROR(IF(VLOOKUP("*CR",F562,1,FALSE)&gt;=0,"",VLOOKUP("*CR",F562,1,FALSE)),F562),""),"")</f>
        <v/>
      </c>
      <c r="I562" s="1938">
        <f t="shared" si="8"/>
        <v>0</v>
      </c>
    </row>
    <row r="563" spans="1:9" x14ac:dyDescent="0.25">
      <c r="A563" t="s">
        <v>3527</v>
      </c>
      <c r="B563" s="1936"/>
      <c r="C563" t="s">
        <v>2518</v>
      </c>
      <c r="D563" s="1936"/>
      <c r="E563" s="1936"/>
      <c r="F563" s="1941">
        <v>831.68</v>
      </c>
      <c r="G563" s="1941">
        <v>774</v>
      </c>
      <c r="H563" s="1937" t="str">
        <f>IFERROR(IF(F563&gt;=VLOOKUP(A563,[2]Materiality!$I$6:$J$12,2,TRUE),IFERROR(IF(VLOOKUP("*CR",F563,1,FALSE)&gt;=0,"",VLOOKUP("*CR",F563,1,FALSE)),F563),""),"")</f>
        <v/>
      </c>
      <c r="I563" s="1938">
        <f t="shared" si="8"/>
        <v>0</v>
      </c>
    </row>
    <row r="564" spans="1:9" x14ac:dyDescent="0.25">
      <c r="A564" t="s">
        <v>3526</v>
      </c>
      <c r="B564" s="1936"/>
      <c r="C564" t="s">
        <v>2519</v>
      </c>
      <c r="D564" s="1936"/>
      <c r="E564" s="1936"/>
      <c r="F564" s="1941">
        <v>499.92</v>
      </c>
      <c r="G564" s="1941">
        <v>500</v>
      </c>
      <c r="H564" s="1937" t="str">
        <f>IFERROR(IF(F564&gt;=VLOOKUP(A564,[2]Materiality!$I$6:$J$12,2,TRUE),IFERROR(IF(VLOOKUP("*CR",F564,1,FALSE)&gt;=0,"",VLOOKUP("*CR",F564,1,FALSE)),F564),""),"")</f>
        <v/>
      </c>
      <c r="I564" s="1938">
        <f t="shared" si="8"/>
        <v>0</v>
      </c>
    </row>
    <row r="565" spans="1:9" x14ac:dyDescent="0.25">
      <c r="A565" t="s">
        <v>3708</v>
      </c>
      <c r="B565" s="1936"/>
      <c r="C565" t="s">
        <v>51</v>
      </c>
      <c r="D565" s="1936"/>
      <c r="E565" s="1936"/>
      <c r="F565" s="1941">
        <v>73465.649999999994</v>
      </c>
      <c r="G565" s="1941">
        <v>73387</v>
      </c>
      <c r="H565" s="1937">
        <f>IFERROR(IF(F565&gt;=VLOOKUP(A565,[2]Materiality!$I$6:$J$12,2,TRUE),IFERROR(IF(VLOOKUP("*CR",F565,1,FALSE)&gt;=0,"",VLOOKUP("*CR",F565,1,FALSE)),F565),""),"")</f>
        <v>73465.649999999994</v>
      </c>
      <c r="I565" s="1938">
        <f t="shared" si="8"/>
        <v>0</v>
      </c>
    </row>
    <row r="566" spans="1:9" x14ac:dyDescent="0.25">
      <c r="A566" t="s">
        <v>3525</v>
      </c>
      <c r="B566" s="1936"/>
      <c r="C566" t="s">
        <v>2520</v>
      </c>
      <c r="D566" s="1936"/>
      <c r="E566" s="1936"/>
      <c r="F566" s="1941">
        <v>0</v>
      </c>
      <c r="G566" s="1941">
        <v>1000</v>
      </c>
      <c r="H566" s="1937" t="str">
        <f>IFERROR(IF(F566&gt;=VLOOKUP(A566,[2]Materiality!$I$6:$J$12,2,TRUE),IFERROR(IF(VLOOKUP("*CR",F566,1,FALSE)&gt;=0,"",VLOOKUP("*CR",F566,1,FALSE)),F566),""),"")</f>
        <v/>
      </c>
      <c r="I566" s="1938">
        <f t="shared" si="8"/>
        <v>0</v>
      </c>
    </row>
    <row r="567" spans="1:9" x14ac:dyDescent="0.25">
      <c r="A567" t="s">
        <v>3524</v>
      </c>
      <c r="B567" s="1936"/>
      <c r="C567" t="s">
        <v>2521</v>
      </c>
      <c r="D567" s="1936"/>
      <c r="E567" s="1936"/>
      <c r="F567" s="1941">
        <v>2460</v>
      </c>
      <c r="G567" s="1941">
        <v>2500</v>
      </c>
      <c r="H567" s="1937" t="str">
        <f>IFERROR(IF(F567&gt;=VLOOKUP(A567,[2]Materiality!$I$6:$J$12,2,TRUE),IFERROR(IF(VLOOKUP("*CR",F567,1,FALSE)&gt;=0,"",VLOOKUP("*CR",F567,1,FALSE)),F567),""),"")</f>
        <v/>
      </c>
      <c r="I567" s="1938">
        <f t="shared" si="8"/>
        <v>0</v>
      </c>
    </row>
    <row r="568" spans="1:9" x14ac:dyDescent="0.25">
      <c r="A568" t="s">
        <v>3523</v>
      </c>
      <c r="B568" s="1936"/>
      <c r="C568" t="s">
        <v>2522</v>
      </c>
      <c r="D568" s="1936"/>
      <c r="E568" s="1936"/>
      <c r="F568" s="1941">
        <v>2516</v>
      </c>
      <c r="G568" s="1941">
        <v>2000</v>
      </c>
      <c r="H568" s="1937" t="str">
        <f>IFERROR(IF(F568&gt;=VLOOKUP(A568,[2]Materiality!$I$6:$J$12,2,TRUE),IFERROR(IF(VLOOKUP("*CR",F568,1,FALSE)&gt;=0,"",VLOOKUP("*CR",F568,1,FALSE)),F568),""),"")</f>
        <v/>
      </c>
      <c r="I568" s="1938">
        <f t="shared" si="8"/>
        <v>0</v>
      </c>
    </row>
    <row r="569" spans="1:9" x14ac:dyDescent="0.25">
      <c r="A569" t="s">
        <v>3522</v>
      </c>
      <c r="B569" s="1936"/>
      <c r="C569" t="s">
        <v>2523</v>
      </c>
      <c r="D569" s="1936"/>
      <c r="E569" s="1936"/>
      <c r="F569" s="1941">
        <v>0</v>
      </c>
      <c r="G569" s="1941">
        <v>100</v>
      </c>
      <c r="H569" s="1937" t="str">
        <f>IFERROR(IF(F569&gt;=VLOOKUP(A569,[2]Materiality!$I$6:$J$12,2,TRUE),IFERROR(IF(VLOOKUP("*CR",F569,1,FALSE)&gt;=0,"",VLOOKUP("*CR",F569,1,FALSE)),F569),""),"")</f>
        <v/>
      </c>
      <c r="I569" s="1938">
        <f t="shared" si="8"/>
        <v>0</v>
      </c>
    </row>
    <row r="570" spans="1:9" x14ac:dyDescent="0.25">
      <c r="A570" t="s">
        <v>3521</v>
      </c>
      <c r="B570" s="1936"/>
      <c r="C570" t="s">
        <v>2524</v>
      </c>
      <c r="D570" s="1936"/>
      <c r="E570" s="1936"/>
      <c r="F570" s="1941">
        <v>52746.79</v>
      </c>
      <c r="G570" s="1941">
        <v>57375</v>
      </c>
      <c r="H570" s="1937" t="str">
        <f>IFERROR(IF(F570&gt;=VLOOKUP(A570,[2]Materiality!$I$6:$J$12,2,TRUE),IFERROR(IF(VLOOKUP("*CR",F570,1,FALSE)&gt;=0,"",VLOOKUP("*CR",F570,1,FALSE)),F570),""),"")</f>
        <v/>
      </c>
      <c r="I570" s="1938">
        <f t="shared" si="8"/>
        <v>0</v>
      </c>
    </row>
    <row r="571" spans="1:9" x14ac:dyDescent="0.25">
      <c r="A571" t="s">
        <v>3520</v>
      </c>
      <c r="B571" s="1936"/>
      <c r="C571" t="s">
        <v>2525</v>
      </c>
      <c r="D571" s="1936"/>
      <c r="E571" s="1936"/>
      <c r="F571" s="1941">
        <v>606.75</v>
      </c>
      <c r="G571" s="1941">
        <v>1000</v>
      </c>
      <c r="H571" s="1937" t="str">
        <f>IFERROR(IF(F571&gt;=VLOOKUP(A571,[2]Materiality!$I$6:$J$12,2,TRUE),IFERROR(IF(VLOOKUP("*CR",F571,1,FALSE)&gt;=0,"",VLOOKUP("*CR",F571,1,FALSE)),F571),""),"")</f>
        <v/>
      </c>
      <c r="I571" s="1938">
        <f t="shared" si="8"/>
        <v>0</v>
      </c>
    </row>
    <row r="572" spans="1:9" x14ac:dyDescent="0.25">
      <c r="A572" t="s">
        <v>3520</v>
      </c>
      <c r="B572" s="1936"/>
      <c r="C572" t="s">
        <v>2526</v>
      </c>
      <c r="D572" s="1936"/>
      <c r="E572" s="1936"/>
      <c r="F572" s="1941">
        <v>5784.62</v>
      </c>
      <c r="G572" s="1941">
        <v>6000</v>
      </c>
      <c r="H572" s="1937" t="str">
        <f>IFERROR(IF(F572&gt;=VLOOKUP(A572,[2]Materiality!$I$6:$J$12,2,TRUE),IFERROR(IF(VLOOKUP("*CR",F572,1,FALSE)&gt;=0,"",VLOOKUP("*CR",F572,1,FALSE)),F572),""),"")</f>
        <v/>
      </c>
      <c r="I572" s="1938">
        <f t="shared" si="8"/>
        <v>0</v>
      </c>
    </row>
    <row r="573" spans="1:9" x14ac:dyDescent="0.25">
      <c r="A573" t="s">
        <v>3519</v>
      </c>
      <c r="B573" s="1936"/>
      <c r="C573" t="s">
        <v>2527</v>
      </c>
      <c r="D573" s="1936"/>
      <c r="E573" s="1936"/>
      <c r="F573" s="1941">
        <v>1047.05</v>
      </c>
      <c r="G573" s="1941">
        <v>1100</v>
      </c>
      <c r="H573" s="1937" t="str">
        <f>IFERROR(IF(F573&gt;=VLOOKUP(A573,[2]Materiality!$I$6:$J$12,2,TRUE),IFERROR(IF(VLOOKUP("*CR",F573,1,FALSE)&gt;=0,"",VLOOKUP("*CR",F573,1,FALSE)),F573),""),"")</f>
        <v/>
      </c>
      <c r="I573" s="1938">
        <f t="shared" si="8"/>
        <v>0</v>
      </c>
    </row>
    <row r="574" spans="1:9" x14ac:dyDescent="0.25">
      <c r="A574" t="s">
        <v>3709</v>
      </c>
      <c r="B574" s="1936"/>
      <c r="C574" t="s">
        <v>1162</v>
      </c>
      <c r="D574" s="1936"/>
      <c r="E574" s="1936"/>
      <c r="F574" s="1941">
        <v>65161.21</v>
      </c>
      <c r="G574" s="1941">
        <v>71075</v>
      </c>
      <c r="H574" s="1937">
        <f>IFERROR(IF(F574&gt;=VLOOKUP(A574,[2]Materiality!$I$6:$J$12,2,TRUE),IFERROR(IF(VLOOKUP("*CR",F574,1,FALSE)&gt;=0,"",VLOOKUP("*CR",F574,1,FALSE)),F574),""),"")</f>
        <v>65161.21</v>
      </c>
      <c r="I574" s="1938">
        <f t="shared" si="8"/>
        <v>0</v>
      </c>
    </row>
    <row r="575" spans="1:9" x14ac:dyDescent="0.25">
      <c r="A575" t="s">
        <v>3518</v>
      </c>
      <c r="B575" s="1936"/>
      <c r="C575" t="s">
        <v>2528</v>
      </c>
      <c r="D575" s="1936"/>
      <c r="E575" s="1936"/>
      <c r="F575" s="1941">
        <v>539.15</v>
      </c>
      <c r="G575" s="1941">
        <v>1500</v>
      </c>
      <c r="H575" s="1937" t="str">
        <f>IFERROR(IF(F575&gt;=VLOOKUP(A575,[2]Materiality!$I$6:$J$12,2,TRUE),IFERROR(IF(VLOOKUP("*CR",F575,1,FALSE)&gt;=0,"",VLOOKUP("*CR",F575,1,FALSE)),F575),""),"")</f>
        <v/>
      </c>
      <c r="I575" s="1938">
        <f t="shared" si="8"/>
        <v>0</v>
      </c>
    </row>
    <row r="576" spans="1:9" x14ac:dyDescent="0.25">
      <c r="A576" t="s">
        <v>3517</v>
      </c>
      <c r="B576" s="1936"/>
      <c r="C576" t="s">
        <v>2529</v>
      </c>
      <c r="D576" s="1936"/>
      <c r="E576" s="1936"/>
      <c r="F576" s="1941">
        <v>6576.5</v>
      </c>
      <c r="G576" s="1941">
        <v>1800</v>
      </c>
      <c r="H576" s="1937" t="str">
        <f>IFERROR(IF(F576&gt;=VLOOKUP(A576,[2]Materiality!$I$6:$J$12,2,TRUE),IFERROR(IF(VLOOKUP("*CR",F576,1,FALSE)&gt;=0,"",VLOOKUP("*CR",F576,1,FALSE)),F576),""),"")</f>
        <v/>
      </c>
      <c r="I576" s="1938">
        <f t="shared" si="8"/>
        <v>0</v>
      </c>
    </row>
    <row r="577" spans="1:9" x14ac:dyDescent="0.25">
      <c r="A577" t="s">
        <v>3710</v>
      </c>
      <c r="B577" s="1936"/>
      <c r="C577" t="s">
        <v>2300</v>
      </c>
      <c r="D577" s="1936"/>
      <c r="E577" s="1936"/>
      <c r="F577" s="1941">
        <v>7115.65</v>
      </c>
      <c r="G577" s="1941">
        <v>3300</v>
      </c>
      <c r="H577" s="1937" t="str">
        <f>IFERROR(IF(F577&gt;=VLOOKUP(A577,[2]Materiality!$I$6:$J$12,2,TRUE),IFERROR(IF(VLOOKUP("*CR",F577,1,FALSE)&gt;=0,"",VLOOKUP("*CR",F577,1,FALSE)),F577),""),"")</f>
        <v/>
      </c>
      <c r="I577" s="1938">
        <f t="shared" si="8"/>
        <v>0</v>
      </c>
    </row>
    <row r="578" spans="1:9" x14ac:dyDescent="0.25">
      <c r="A578" t="s">
        <v>3516</v>
      </c>
      <c r="B578" s="1936"/>
      <c r="C578" t="s">
        <v>2530</v>
      </c>
      <c r="D578" s="1936"/>
      <c r="E578" s="1936"/>
      <c r="F578" s="1941">
        <v>0</v>
      </c>
      <c r="G578" s="1941">
        <v>500</v>
      </c>
      <c r="H578" s="1937" t="str">
        <f>IFERROR(IF(F578&gt;=VLOOKUP(A578,[2]Materiality!$I$6:$J$12,2,TRUE),IFERROR(IF(VLOOKUP("*CR",F578,1,FALSE)&gt;=0,"",VLOOKUP("*CR",F578,1,FALSE)),F578),""),"")</f>
        <v/>
      </c>
      <c r="I578" s="1938">
        <f t="shared" si="8"/>
        <v>0</v>
      </c>
    </row>
    <row r="579" spans="1:9" x14ac:dyDescent="0.25">
      <c r="A579" t="s">
        <v>3711</v>
      </c>
      <c r="B579" s="1936"/>
      <c r="C579" t="s">
        <v>1157</v>
      </c>
      <c r="D579" s="1936"/>
      <c r="E579" s="1936"/>
      <c r="F579" s="1941">
        <v>0</v>
      </c>
      <c r="G579" s="1941">
        <v>500</v>
      </c>
      <c r="H579" s="1937" t="str">
        <f>IFERROR(IF(F579&gt;=VLOOKUP(A579,[2]Materiality!$I$6:$J$12,2,TRUE),IFERROR(IF(VLOOKUP("*CR",F579,1,FALSE)&gt;=0,"",VLOOKUP("*CR",F579,1,FALSE)),F579),""),"")</f>
        <v/>
      </c>
      <c r="I579" s="1938">
        <f t="shared" si="8"/>
        <v>0</v>
      </c>
    </row>
    <row r="580" spans="1:9" x14ac:dyDescent="0.25">
      <c r="A580" t="s">
        <v>3515</v>
      </c>
      <c r="B580" s="1936"/>
      <c r="C580" t="s">
        <v>2531</v>
      </c>
      <c r="D580" s="1936"/>
      <c r="E580" s="1936"/>
      <c r="F580" s="1941">
        <v>0</v>
      </c>
      <c r="G580" s="1941">
        <v>250</v>
      </c>
      <c r="H580" s="1937" t="str">
        <f>IFERROR(IF(F580&gt;=VLOOKUP(A580,[2]Materiality!$I$6:$J$12,2,TRUE),IFERROR(IF(VLOOKUP("*CR",F580,1,FALSE)&gt;=0,"",VLOOKUP("*CR",F580,1,FALSE)),F580),""),"")</f>
        <v/>
      </c>
      <c r="I580" s="1938">
        <f t="shared" ref="I580:I643" si="9">IF(F580&lt;0,F580,0)</f>
        <v>0</v>
      </c>
    </row>
    <row r="581" spans="1:9" x14ac:dyDescent="0.25">
      <c r="A581" t="s">
        <v>3714</v>
      </c>
      <c r="B581" s="1936"/>
      <c r="C581" t="s">
        <v>1158</v>
      </c>
      <c r="D581" s="1936"/>
      <c r="E581" s="1936"/>
      <c r="F581" s="1941">
        <v>0</v>
      </c>
      <c r="G581" s="1941">
        <v>250</v>
      </c>
      <c r="H581" s="1937">
        <f>IFERROR(IF(F581&gt;=VLOOKUP(A581,[2]Materiality!$I$6:$J$12,2,TRUE),IFERROR(IF(VLOOKUP("*CR",F581,1,FALSE)&gt;=0,"",VLOOKUP("*CR",F581,1,FALSE)),F581),""),"")</f>
        <v>0</v>
      </c>
      <c r="I581" s="1938">
        <f t="shared" si="9"/>
        <v>0</v>
      </c>
    </row>
    <row r="582" spans="1:9" x14ac:dyDescent="0.25">
      <c r="A582" t="s">
        <v>3732</v>
      </c>
      <c r="B582" s="1936"/>
      <c r="C582" t="s">
        <v>208</v>
      </c>
      <c r="D582" s="1936"/>
      <c r="E582" s="1936"/>
      <c r="F582" s="1941">
        <v>341358.51</v>
      </c>
      <c r="G582" s="1941">
        <v>348023</v>
      </c>
      <c r="H582" s="1937">
        <f>IFERROR(IF(F582&gt;=VLOOKUP(A582,[2]Materiality!$I$6:$J$12,2,TRUE),IFERROR(IF(VLOOKUP("*CR",F582,1,FALSE)&gt;=0,"",VLOOKUP("*CR",F582,1,FALSE)),F582),""),"")</f>
        <v>341358.51</v>
      </c>
      <c r="I582" s="1938">
        <f t="shared" si="9"/>
        <v>0</v>
      </c>
    </row>
    <row r="583" spans="1:9" x14ac:dyDescent="0.25">
      <c r="A583" t="s">
        <v>3514</v>
      </c>
      <c r="B583" s="1936"/>
      <c r="C583" t="s">
        <v>2532</v>
      </c>
      <c r="D583" s="1936"/>
      <c r="E583" s="1936"/>
      <c r="F583" s="1941">
        <v>332281.40000000002</v>
      </c>
      <c r="G583" s="1941">
        <v>332210</v>
      </c>
      <c r="H583" s="1937">
        <f>IFERROR(IF(F583&gt;=VLOOKUP(A583,[2]Materiality!$I$6:$J$12,2,TRUE),IFERROR(IF(VLOOKUP("*CR",F583,1,FALSE)&gt;=0,"",VLOOKUP("*CR",F583,1,FALSE)),F583),""),"")</f>
        <v>332281.40000000002</v>
      </c>
      <c r="I583" s="1938">
        <f t="shared" si="9"/>
        <v>0</v>
      </c>
    </row>
    <row r="584" spans="1:9" x14ac:dyDescent="0.25">
      <c r="A584" t="s">
        <v>3513</v>
      </c>
      <c r="B584" s="1936"/>
      <c r="C584" t="s">
        <v>2533</v>
      </c>
      <c r="D584" s="1936"/>
      <c r="E584" s="1936"/>
      <c r="F584" s="1941">
        <v>0</v>
      </c>
      <c r="G584" s="1941">
        <v>1500</v>
      </c>
      <c r="H584" s="1937" t="str">
        <f>IFERROR(IF(F584&gt;=VLOOKUP(A584,[2]Materiality!$I$6:$J$12,2,TRUE),IFERROR(IF(VLOOKUP("*CR",F584,1,FALSE)&gt;=0,"",VLOOKUP("*CR",F584,1,FALSE)),F584),""),"")</f>
        <v/>
      </c>
      <c r="I584" s="1938">
        <f t="shared" si="9"/>
        <v>0</v>
      </c>
    </row>
    <row r="585" spans="1:9" x14ac:dyDescent="0.25">
      <c r="A585" t="s">
        <v>3638</v>
      </c>
      <c r="B585" s="1936"/>
      <c r="C585" t="s">
        <v>203</v>
      </c>
      <c r="D585" s="1936"/>
      <c r="E585" s="1936"/>
      <c r="F585" s="1941">
        <v>332281.40000000002</v>
      </c>
      <c r="G585" s="1941">
        <v>333710</v>
      </c>
      <c r="H585" s="1937">
        <f>IFERROR(IF(F585&gt;=VLOOKUP(A585,[2]Materiality!$I$6:$J$12,2,TRUE),IFERROR(IF(VLOOKUP("*CR",F585,1,FALSE)&gt;=0,"",VLOOKUP("*CR",F585,1,FALSE)),F585),""),"")</f>
        <v>332281.40000000002</v>
      </c>
      <c r="I585" s="1938">
        <f t="shared" si="9"/>
        <v>0</v>
      </c>
    </row>
    <row r="586" spans="1:9" x14ac:dyDescent="0.25">
      <c r="A586" t="s">
        <v>3512</v>
      </c>
      <c r="B586" s="1936"/>
      <c r="C586" t="s">
        <v>2534</v>
      </c>
      <c r="D586" s="1936"/>
      <c r="E586" s="1936"/>
      <c r="F586" s="1941">
        <v>38520.400000000001</v>
      </c>
      <c r="G586" s="1941">
        <v>35229</v>
      </c>
      <c r="H586" s="1937" t="str">
        <f>IFERROR(IF(F586&gt;=VLOOKUP(A586,[2]Materiality!$I$6:$J$12,2,TRUE),IFERROR(IF(VLOOKUP("*CR",F586,1,FALSE)&gt;=0,"",VLOOKUP("*CR",F586,1,FALSE)),F586),""),"")</f>
        <v/>
      </c>
      <c r="I586" s="1938">
        <f t="shared" si="9"/>
        <v>0</v>
      </c>
    </row>
    <row r="587" spans="1:9" x14ac:dyDescent="0.25">
      <c r="A587" t="s">
        <v>3511</v>
      </c>
      <c r="B587" s="1936"/>
      <c r="C587" t="s">
        <v>2535</v>
      </c>
      <c r="D587" s="1936"/>
      <c r="E587" s="1936"/>
      <c r="F587" s="1941">
        <v>0</v>
      </c>
      <c r="G587" s="1941">
        <v>0</v>
      </c>
      <c r="H587" s="1937" t="str">
        <f>IFERROR(IF(F587&gt;=VLOOKUP(A587,[2]Materiality!$I$6:$J$12,2,TRUE),IFERROR(IF(VLOOKUP("*CR",F587,1,FALSE)&gt;=0,"",VLOOKUP("*CR",F587,1,FALSE)),F587),""),"")</f>
        <v/>
      </c>
      <c r="I587" s="1938">
        <f t="shared" si="9"/>
        <v>0</v>
      </c>
    </row>
    <row r="588" spans="1:9" x14ac:dyDescent="0.25">
      <c r="A588" t="s">
        <v>3510</v>
      </c>
      <c r="B588" s="1936"/>
      <c r="C588" t="s">
        <v>2536</v>
      </c>
      <c r="D588" s="1936"/>
      <c r="E588" s="1936"/>
      <c r="F588" s="1941">
        <v>1159</v>
      </c>
      <c r="G588" s="1941">
        <v>960</v>
      </c>
      <c r="H588" s="1937" t="str">
        <f>IFERROR(IF(F588&gt;=VLOOKUP(A588,[2]Materiality!$I$6:$J$12,2,TRUE),IFERROR(IF(VLOOKUP("*CR",F588,1,FALSE)&gt;=0,"",VLOOKUP("*CR",F588,1,FALSE)),F588),""),"")</f>
        <v/>
      </c>
      <c r="I588" s="1938">
        <f t="shared" si="9"/>
        <v>0</v>
      </c>
    </row>
    <row r="589" spans="1:9" x14ac:dyDescent="0.25">
      <c r="A589" t="s">
        <v>3509</v>
      </c>
      <c r="B589" s="1936"/>
      <c r="C589" t="s">
        <v>2537</v>
      </c>
      <c r="D589" s="1936"/>
      <c r="E589" s="1936"/>
      <c r="F589" s="1941">
        <v>45367.9</v>
      </c>
      <c r="G589" s="1941">
        <v>45368</v>
      </c>
      <c r="H589" s="1937" t="str">
        <f>IFERROR(IF(F589&gt;=VLOOKUP(A589,[2]Materiality!$I$6:$J$12,2,TRUE),IFERROR(IF(VLOOKUP("*CR",F589,1,FALSE)&gt;=0,"",VLOOKUP("*CR",F589,1,FALSE)),F589),""),"")</f>
        <v/>
      </c>
      <c r="I589" s="1938">
        <f t="shared" si="9"/>
        <v>0</v>
      </c>
    </row>
    <row r="590" spans="1:9" x14ac:dyDescent="0.25">
      <c r="A590" t="s">
        <v>3508</v>
      </c>
      <c r="B590" s="1936"/>
      <c r="C590" t="s">
        <v>2538</v>
      </c>
      <c r="D590" s="1936"/>
      <c r="E590" s="1936"/>
      <c r="F590" s="1941">
        <v>0</v>
      </c>
      <c r="G590" s="1941">
        <v>0</v>
      </c>
      <c r="H590" s="1937" t="str">
        <f>IFERROR(IF(F590&gt;=VLOOKUP(A590,[2]Materiality!$I$6:$J$12,2,TRUE),IFERROR(IF(VLOOKUP("*CR",F590,1,FALSE)&gt;=0,"",VLOOKUP("*CR",F590,1,FALSE)),F590),""),"")</f>
        <v/>
      </c>
      <c r="I590" s="1938">
        <f t="shared" si="9"/>
        <v>0</v>
      </c>
    </row>
    <row r="591" spans="1:9" x14ac:dyDescent="0.25">
      <c r="A591" t="s">
        <v>3507</v>
      </c>
      <c r="B591" s="1936"/>
      <c r="C591" t="s">
        <v>2539</v>
      </c>
      <c r="D591" s="1936"/>
      <c r="E591" s="1936"/>
      <c r="F591" s="1941">
        <v>374.64</v>
      </c>
      <c r="G591" s="1941">
        <v>340</v>
      </c>
      <c r="H591" s="1937" t="str">
        <f>IFERROR(IF(F591&gt;=VLOOKUP(A591,[2]Materiality!$I$6:$J$12,2,TRUE),IFERROR(IF(VLOOKUP("*CR",F591,1,FALSE)&gt;=0,"",VLOOKUP("*CR",F591,1,FALSE)),F591),""),"")</f>
        <v/>
      </c>
      <c r="I591" s="1938">
        <f t="shared" si="9"/>
        <v>0</v>
      </c>
    </row>
    <row r="592" spans="1:9" x14ac:dyDescent="0.25">
      <c r="A592" t="s">
        <v>3708</v>
      </c>
      <c r="B592" s="1936"/>
      <c r="C592" t="s">
        <v>51</v>
      </c>
      <c r="D592" s="1936"/>
      <c r="E592" s="1936"/>
      <c r="F592" s="1941">
        <v>85421.94</v>
      </c>
      <c r="G592" s="1941">
        <v>81897</v>
      </c>
      <c r="H592" s="1937">
        <f>IFERROR(IF(F592&gt;=VLOOKUP(A592,[2]Materiality!$I$6:$J$12,2,TRUE),IFERROR(IF(VLOOKUP("*CR",F592,1,FALSE)&gt;=0,"",VLOOKUP("*CR",F592,1,FALSE)),F592),""),"")</f>
        <v>85421.94</v>
      </c>
      <c r="I592" s="1938">
        <f t="shared" si="9"/>
        <v>0</v>
      </c>
    </row>
    <row r="593" spans="1:9" x14ac:dyDescent="0.25">
      <c r="A593" t="s">
        <v>3506</v>
      </c>
      <c r="B593" s="1936"/>
      <c r="C593" t="s">
        <v>2540</v>
      </c>
      <c r="D593" s="1936"/>
      <c r="E593" s="1936"/>
      <c r="F593" s="1941">
        <v>0</v>
      </c>
      <c r="G593" s="1941">
        <v>0</v>
      </c>
      <c r="H593" s="1937" t="str">
        <f>IFERROR(IF(F593&gt;=VLOOKUP(A593,[2]Materiality!$I$6:$J$12,2,TRUE),IFERROR(IF(VLOOKUP("*CR",F593,1,FALSE)&gt;=0,"",VLOOKUP("*CR",F593,1,FALSE)),F593),""),"")</f>
        <v/>
      </c>
      <c r="I593" s="1938">
        <f t="shared" si="9"/>
        <v>0</v>
      </c>
    </row>
    <row r="594" spans="1:9" x14ac:dyDescent="0.25">
      <c r="A594" t="s">
        <v>3710</v>
      </c>
      <c r="B594" s="1936"/>
      <c r="C594" t="s">
        <v>2300</v>
      </c>
      <c r="D594" s="1936"/>
      <c r="E594" s="1936"/>
      <c r="F594" s="1941">
        <v>0</v>
      </c>
      <c r="G594" s="1941">
        <v>0</v>
      </c>
      <c r="H594" s="1937" t="str">
        <f>IFERROR(IF(F594&gt;=VLOOKUP(A594,[2]Materiality!$I$6:$J$12,2,TRUE),IFERROR(IF(VLOOKUP("*CR",F594,1,FALSE)&gt;=0,"",VLOOKUP("*CR",F594,1,FALSE)),F594),""),"")</f>
        <v/>
      </c>
      <c r="I594" s="1938">
        <f t="shared" si="9"/>
        <v>0</v>
      </c>
    </row>
    <row r="595" spans="1:9" x14ac:dyDescent="0.25">
      <c r="A595" t="s">
        <v>3505</v>
      </c>
      <c r="B595" s="1936"/>
      <c r="C595" t="s">
        <v>2541</v>
      </c>
      <c r="D595" s="1936"/>
      <c r="E595" s="1936"/>
      <c r="F595" s="1941">
        <v>1486.75</v>
      </c>
      <c r="G595" s="1941">
        <v>1750</v>
      </c>
      <c r="H595" s="1937" t="str">
        <f>IFERROR(IF(F595&gt;=VLOOKUP(A595,[2]Materiality!$I$6:$J$12,2,TRUE),IFERROR(IF(VLOOKUP("*CR",F595,1,FALSE)&gt;=0,"",VLOOKUP("*CR",F595,1,FALSE)),F595),""),"")</f>
        <v/>
      </c>
      <c r="I595" s="1938">
        <f t="shared" si="9"/>
        <v>0</v>
      </c>
    </row>
    <row r="596" spans="1:9" x14ac:dyDescent="0.25">
      <c r="A596" t="s">
        <v>3714</v>
      </c>
      <c r="B596" s="1936"/>
      <c r="C596" t="s">
        <v>1158</v>
      </c>
      <c r="D596" s="1936"/>
      <c r="E596" s="1936"/>
      <c r="F596" s="1941">
        <v>1486.75</v>
      </c>
      <c r="G596" s="1941">
        <v>1750</v>
      </c>
      <c r="H596" s="1937">
        <f>IFERROR(IF(F596&gt;=VLOOKUP(A596,[2]Materiality!$I$6:$J$12,2,TRUE),IFERROR(IF(VLOOKUP("*CR",F596,1,FALSE)&gt;=0,"",VLOOKUP("*CR",F596,1,FALSE)),F596),""),"")</f>
        <v>1486.75</v>
      </c>
      <c r="I596" s="1938">
        <f t="shared" si="9"/>
        <v>0</v>
      </c>
    </row>
    <row r="597" spans="1:9" x14ac:dyDescent="0.25">
      <c r="A597" t="s">
        <v>3733</v>
      </c>
      <c r="B597" s="1936"/>
      <c r="C597" t="s">
        <v>2542</v>
      </c>
      <c r="D597" s="1936"/>
      <c r="E597" s="1936"/>
      <c r="F597" s="1941">
        <v>419190.09</v>
      </c>
      <c r="G597" s="1941">
        <v>417357</v>
      </c>
      <c r="H597" s="1937">
        <f>IFERROR(IF(F597&gt;=VLOOKUP(A597,[2]Materiality!$I$6:$J$12,2,TRUE),IFERROR(IF(VLOOKUP("*CR",F597,1,FALSE)&gt;=0,"",VLOOKUP("*CR",F597,1,FALSE)),F597),""),"")</f>
        <v>419190.09</v>
      </c>
      <c r="I597" s="1938">
        <f t="shared" si="9"/>
        <v>0</v>
      </c>
    </row>
    <row r="598" spans="1:9" x14ac:dyDescent="0.25">
      <c r="A598" t="s">
        <v>3504</v>
      </c>
      <c r="B598" s="1936"/>
      <c r="C598" t="s">
        <v>2543</v>
      </c>
      <c r="D598" s="1936"/>
      <c r="E598" s="1936"/>
      <c r="F598" s="1941">
        <v>0</v>
      </c>
      <c r="G598" s="1941">
        <v>0</v>
      </c>
      <c r="H598" s="1937" t="str">
        <f>IFERROR(IF(F598&gt;=VLOOKUP(A598,[2]Materiality!$I$6:$J$12,2,TRUE),IFERROR(IF(VLOOKUP("*CR",F598,1,FALSE)&gt;=0,"",VLOOKUP("*CR",F598,1,FALSE)),F598),""),"")</f>
        <v/>
      </c>
      <c r="I598" s="1938">
        <f t="shared" si="9"/>
        <v>0</v>
      </c>
    </row>
    <row r="599" spans="1:9" x14ac:dyDescent="0.25">
      <c r="A599" t="s">
        <v>3503</v>
      </c>
      <c r="B599" s="1936"/>
      <c r="C599" t="s">
        <v>2544</v>
      </c>
      <c r="D599" s="1936"/>
      <c r="E599" s="1936"/>
      <c r="F599" s="1941">
        <v>6296</v>
      </c>
      <c r="G599" s="1941">
        <v>6496</v>
      </c>
      <c r="H599" s="1937" t="str">
        <f>IFERROR(IF(F599&gt;=VLOOKUP(A599,[2]Materiality!$I$6:$J$12,2,TRUE),IFERROR(IF(VLOOKUP("*CR",F599,1,FALSE)&gt;=0,"",VLOOKUP("*CR",F599,1,FALSE)),F599),""),"")</f>
        <v/>
      </c>
      <c r="I599" s="1938">
        <f t="shared" si="9"/>
        <v>0</v>
      </c>
    </row>
    <row r="600" spans="1:9" x14ac:dyDescent="0.25">
      <c r="A600" t="s">
        <v>3638</v>
      </c>
      <c r="B600" s="1936"/>
      <c r="C600" t="s">
        <v>203</v>
      </c>
      <c r="D600" s="1936"/>
      <c r="E600" s="1936"/>
      <c r="F600" s="1941">
        <v>6296</v>
      </c>
      <c r="G600" s="1941">
        <v>6496</v>
      </c>
      <c r="H600" s="1937" t="str">
        <f>IFERROR(IF(F600&gt;=VLOOKUP(A600,[2]Materiality!$I$6:$J$12,2,TRUE),IFERROR(IF(VLOOKUP("*CR",F600,1,FALSE)&gt;=0,"",VLOOKUP("*CR",F600,1,FALSE)),F600),""),"")</f>
        <v/>
      </c>
      <c r="I600" s="1938">
        <f t="shared" si="9"/>
        <v>0</v>
      </c>
    </row>
    <row r="601" spans="1:9" x14ac:dyDescent="0.25">
      <c r="A601" t="s">
        <v>3502</v>
      </c>
      <c r="B601" s="1936"/>
      <c r="C601" t="s">
        <v>2545</v>
      </c>
      <c r="D601" s="1936"/>
      <c r="E601" s="1936"/>
      <c r="F601" s="1941">
        <v>218.55</v>
      </c>
      <c r="G601" s="1941">
        <v>241</v>
      </c>
      <c r="H601" s="1937" t="str">
        <f>IFERROR(IF(F601&gt;=VLOOKUP(A601,[2]Materiality!$I$6:$J$12,2,TRUE),IFERROR(IF(VLOOKUP("*CR",F601,1,FALSE)&gt;=0,"",VLOOKUP("*CR",F601,1,FALSE)),F601),""),"")</f>
        <v/>
      </c>
      <c r="I601" s="1938">
        <f t="shared" si="9"/>
        <v>0</v>
      </c>
    </row>
    <row r="602" spans="1:9" x14ac:dyDescent="0.25">
      <c r="A602" t="s">
        <v>3501</v>
      </c>
      <c r="B602" s="1936"/>
      <c r="C602" t="s">
        <v>2359</v>
      </c>
      <c r="D602" s="1936"/>
      <c r="E602" s="1936"/>
      <c r="F602" s="1941">
        <v>0</v>
      </c>
      <c r="G602" s="1941">
        <v>0</v>
      </c>
      <c r="H602" s="1937" t="str">
        <f>IFERROR(IF(F602&gt;=VLOOKUP(A602,[2]Materiality!$I$6:$J$12,2,TRUE),IFERROR(IF(VLOOKUP("*CR",F602,1,FALSE)&gt;=0,"",VLOOKUP("*CR",F602,1,FALSE)),F602),""),"")</f>
        <v/>
      </c>
      <c r="I602" s="1938">
        <f t="shared" si="9"/>
        <v>0</v>
      </c>
    </row>
    <row r="603" spans="1:9" x14ac:dyDescent="0.25">
      <c r="A603" t="s">
        <v>3500</v>
      </c>
      <c r="B603" s="1936"/>
      <c r="C603" t="s">
        <v>2546</v>
      </c>
      <c r="D603" s="1936"/>
      <c r="E603" s="1936"/>
      <c r="F603" s="1941">
        <v>724.78</v>
      </c>
      <c r="G603" s="1941">
        <v>656</v>
      </c>
      <c r="H603" s="1937" t="str">
        <f>IFERROR(IF(F603&gt;=VLOOKUP(A603,[2]Materiality!$I$6:$J$12,2,TRUE),IFERROR(IF(VLOOKUP("*CR",F603,1,FALSE)&gt;=0,"",VLOOKUP("*CR",F603,1,FALSE)),F603),""),"")</f>
        <v/>
      </c>
      <c r="I603" s="1938">
        <f t="shared" si="9"/>
        <v>0</v>
      </c>
    </row>
    <row r="604" spans="1:9" x14ac:dyDescent="0.25">
      <c r="A604" t="s">
        <v>3499</v>
      </c>
      <c r="B604" s="1936"/>
      <c r="C604" t="s">
        <v>2547</v>
      </c>
      <c r="D604" s="1936"/>
      <c r="E604" s="1936"/>
      <c r="F604" s="1941">
        <v>0</v>
      </c>
      <c r="G604" s="1941">
        <v>0</v>
      </c>
      <c r="H604" s="1937" t="str">
        <f>IFERROR(IF(F604&gt;=VLOOKUP(A604,[2]Materiality!$I$6:$J$12,2,TRUE),IFERROR(IF(VLOOKUP("*CR",F604,1,FALSE)&gt;=0,"",VLOOKUP("*CR",F604,1,FALSE)),F604),""),"")</f>
        <v/>
      </c>
      <c r="I604" s="1938">
        <f t="shared" si="9"/>
        <v>0</v>
      </c>
    </row>
    <row r="605" spans="1:9" x14ac:dyDescent="0.25">
      <c r="A605" t="s">
        <v>3498</v>
      </c>
      <c r="B605" s="1936"/>
      <c r="C605" t="s">
        <v>2548</v>
      </c>
      <c r="D605" s="1936"/>
      <c r="E605" s="1936"/>
      <c r="F605" s="1941">
        <v>0</v>
      </c>
      <c r="G605" s="1941">
        <v>0</v>
      </c>
      <c r="H605" s="1937" t="str">
        <f>IFERROR(IF(F605&gt;=VLOOKUP(A605,[2]Materiality!$I$6:$J$12,2,TRUE),IFERROR(IF(VLOOKUP("*CR",F605,1,FALSE)&gt;=0,"",VLOOKUP("*CR",F605,1,FALSE)),F605),""),"")</f>
        <v/>
      </c>
      <c r="I605" s="1938">
        <f t="shared" si="9"/>
        <v>0</v>
      </c>
    </row>
    <row r="606" spans="1:9" x14ac:dyDescent="0.25">
      <c r="A606" t="s">
        <v>3497</v>
      </c>
      <c r="B606" s="1936"/>
      <c r="C606" t="s">
        <v>2549</v>
      </c>
      <c r="D606" s="1936"/>
      <c r="E606" s="1936"/>
      <c r="F606" s="1941">
        <v>0</v>
      </c>
      <c r="G606" s="1941">
        <v>0</v>
      </c>
      <c r="H606" s="1937" t="str">
        <f>IFERROR(IF(F606&gt;=VLOOKUP(A606,[2]Materiality!$I$6:$J$12,2,TRUE),IFERROR(IF(VLOOKUP("*CR",F606,1,FALSE)&gt;=0,"",VLOOKUP("*CR",F606,1,FALSE)),F606),""),"")</f>
        <v/>
      </c>
      <c r="I606" s="1938">
        <f t="shared" si="9"/>
        <v>0</v>
      </c>
    </row>
    <row r="607" spans="1:9" x14ac:dyDescent="0.25">
      <c r="A607" t="s">
        <v>3496</v>
      </c>
      <c r="B607" s="1936"/>
      <c r="C607" t="s">
        <v>2550</v>
      </c>
      <c r="D607" s="1936"/>
      <c r="E607" s="1936"/>
      <c r="F607" s="1941">
        <v>2500</v>
      </c>
      <c r="G607" s="1941">
        <v>2500</v>
      </c>
      <c r="H607" s="1937" t="str">
        <f>IFERROR(IF(F607&gt;=VLOOKUP(A607,[2]Materiality!$I$6:$J$12,2,TRUE),IFERROR(IF(VLOOKUP("*CR",F607,1,FALSE)&gt;=0,"",VLOOKUP("*CR",F607,1,FALSE)),F607),""),"")</f>
        <v/>
      </c>
      <c r="I607" s="1938">
        <f t="shared" si="9"/>
        <v>0</v>
      </c>
    </row>
    <row r="608" spans="1:9" x14ac:dyDescent="0.25">
      <c r="A608" t="s">
        <v>3708</v>
      </c>
      <c r="B608" s="1936"/>
      <c r="C608" t="s">
        <v>51</v>
      </c>
      <c r="D608" s="1936"/>
      <c r="E608" s="1936"/>
      <c r="F608" s="1941">
        <v>3443.33</v>
      </c>
      <c r="G608" s="1941">
        <v>3397</v>
      </c>
      <c r="H608" s="1937" t="str">
        <f>IFERROR(IF(F608&gt;=VLOOKUP(A608,[2]Materiality!$I$6:$J$12,2,TRUE),IFERROR(IF(VLOOKUP("*CR",F608,1,FALSE)&gt;=0,"",VLOOKUP("*CR",F608,1,FALSE)),F608),""),"")</f>
        <v/>
      </c>
      <c r="I608" s="1938">
        <f t="shared" si="9"/>
        <v>0</v>
      </c>
    </row>
    <row r="609" spans="1:9" x14ac:dyDescent="0.25">
      <c r="A609" t="s">
        <v>3495</v>
      </c>
      <c r="B609" s="1936"/>
      <c r="C609" t="s">
        <v>2551</v>
      </c>
      <c r="D609" s="1936"/>
      <c r="E609" s="1936"/>
      <c r="F609" s="1941">
        <v>5231</v>
      </c>
      <c r="G609" s="1941">
        <v>5231</v>
      </c>
      <c r="H609" s="1937" t="str">
        <f>IFERROR(IF(F609&gt;=VLOOKUP(A609,[2]Materiality!$I$6:$J$12,2,TRUE),IFERROR(IF(VLOOKUP("*CR",F609,1,FALSE)&gt;=0,"",VLOOKUP("*CR",F609,1,FALSE)),F609),""),"")</f>
        <v/>
      </c>
      <c r="I609" s="1938">
        <f t="shared" si="9"/>
        <v>0</v>
      </c>
    </row>
    <row r="610" spans="1:9" x14ac:dyDescent="0.25">
      <c r="A610" t="s">
        <v>3494</v>
      </c>
      <c r="B610" s="1936"/>
      <c r="C610" t="s">
        <v>2552</v>
      </c>
      <c r="D610" s="1936"/>
      <c r="E610" s="1936"/>
      <c r="F610" s="1941">
        <v>31862.25</v>
      </c>
      <c r="G610" s="1941">
        <v>155657</v>
      </c>
      <c r="H610" s="1937" t="str">
        <f>IFERROR(IF(F610&gt;=VLOOKUP(A610,[2]Materiality!$I$6:$J$12,2,TRUE),IFERROR(IF(VLOOKUP("*CR",F610,1,FALSE)&gt;=0,"",VLOOKUP("*CR",F610,1,FALSE)),F610),""),"")</f>
        <v/>
      </c>
      <c r="I610" s="1938">
        <f t="shared" si="9"/>
        <v>0</v>
      </c>
    </row>
    <row r="611" spans="1:9" x14ac:dyDescent="0.25">
      <c r="A611" t="s">
        <v>3709</v>
      </c>
      <c r="B611" s="1936"/>
      <c r="C611" t="s">
        <v>1162</v>
      </c>
      <c r="D611" s="1936"/>
      <c r="E611" s="1936"/>
      <c r="F611" s="1941">
        <v>37093.25</v>
      </c>
      <c r="G611" s="1941">
        <v>160888</v>
      </c>
      <c r="H611" s="1937">
        <f>IFERROR(IF(F611&gt;=VLOOKUP(A611,[2]Materiality!$I$6:$J$12,2,TRUE),IFERROR(IF(VLOOKUP("*CR",F611,1,FALSE)&gt;=0,"",VLOOKUP("*CR",F611,1,FALSE)),F611),""),"")</f>
        <v>37093.25</v>
      </c>
      <c r="I611" s="1938">
        <f t="shared" si="9"/>
        <v>0</v>
      </c>
    </row>
    <row r="612" spans="1:9" x14ac:dyDescent="0.25">
      <c r="A612" t="s">
        <v>3493</v>
      </c>
      <c r="B612" s="1936"/>
      <c r="C612" t="s">
        <v>2553</v>
      </c>
      <c r="D612" s="1936"/>
      <c r="E612" s="1936"/>
      <c r="F612" s="1941">
        <v>475.45</v>
      </c>
      <c r="G612" s="1941">
        <v>799</v>
      </c>
      <c r="H612" s="1937" t="str">
        <f>IFERROR(IF(F612&gt;=VLOOKUP(A612,[2]Materiality!$I$6:$J$12,2,TRUE),IFERROR(IF(VLOOKUP("*CR",F612,1,FALSE)&gt;=0,"",VLOOKUP("*CR",F612,1,FALSE)),F612),""),"")</f>
        <v/>
      </c>
      <c r="I612" s="1938">
        <f t="shared" si="9"/>
        <v>0</v>
      </c>
    </row>
    <row r="613" spans="1:9" x14ac:dyDescent="0.25">
      <c r="A613" t="s">
        <v>3710</v>
      </c>
      <c r="B613" s="1936"/>
      <c r="C613" t="s">
        <v>2300</v>
      </c>
      <c r="D613" s="1936"/>
      <c r="E613" s="1936"/>
      <c r="F613" s="1941">
        <v>475.45</v>
      </c>
      <c r="G613" s="1941">
        <v>799</v>
      </c>
      <c r="H613" s="1937" t="str">
        <f>IFERROR(IF(F613&gt;=VLOOKUP(A613,[2]Materiality!$I$6:$J$12,2,TRUE),IFERROR(IF(VLOOKUP("*CR",F613,1,FALSE)&gt;=0,"",VLOOKUP("*CR",F613,1,FALSE)),F613),""),"")</f>
        <v/>
      </c>
      <c r="I613" s="1938">
        <f t="shared" si="9"/>
        <v>0</v>
      </c>
    </row>
    <row r="614" spans="1:9" x14ac:dyDescent="0.25">
      <c r="A614" t="s">
        <v>3492</v>
      </c>
      <c r="B614" s="1936"/>
      <c r="C614" t="s">
        <v>2554</v>
      </c>
      <c r="D614" s="1936"/>
      <c r="E614" s="1936"/>
      <c r="F614" s="1941">
        <v>0</v>
      </c>
      <c r="G614" s="1941">
        <v>0</v>
      </c>
      <c r="H614" s="1937" t="str">
        <f>IFERROR(IF(F614&gt;=VLOOKUP(A614,[2]Materiality!$I$6:$J$12,2,TRUE),IFERROR(IF(VLOOKUP("*CR",F614,1,FALSE)&gt;=0,"",VLOOKUP("*CR",F614,1,FALSE)),F614),""),"")</f>
        <v/>
      </c>
      <c r="I614" s="1938">
        <f t="shared" si="9"/>
        <v>0</v>
      </c>
    </row>
    <row r="615" spans="1:9" x14ac:dyDescent="0.25">
      <c r="A615" t="s">
        <v>3714</v>
      </c>
      <c r="B615" s="1936"/>
      <c r="C615" t="s">
        <v>1158</v>
      </c>
      <c r="D615" s="1936"/>
      <c r="E615" s="1936"/>
      <c r="F615" s="1941">
        <v>0</v>
      </c>
      <c r="G615" s="1941">
        <v>0</v>
      </c>
      <c r="H615" s="1937">
        <f>IFERROR(IF(F615&gt;=VLOOKUP(A615,[2]Materiality!$I$6:$J$12,2,TRUE),IFERROR(IF(VLOOKUP("*CR",F615,1,FALSE)&gt;=0,"",VLOOKUP("*CR",F615,1,FALSE)),F615),""),"")</f>
        <v>0</v>
      </c>
      <c r="I615" s="1938">
        <f t="shared" si="9"/>
        <v>0</v>
      </c>
    </row>
    <row r="616" spans="1:9" x14ac:dyDescent="0.25">
      <c r="A616" t="s">
        <v>3734</v>
      </c>
      <c r="B616" s="1936"/>
      <c r="C616" t="s">
        <v>2555</v>
      </c>
      <c r="D616" s="1936"/>
      <c r="E616" s="1936"/>
      <c r="F616" s="1941">
        <v>47308.03</v>
      </c>
      <c r="G616" s="1941">
        <v>171580</v>
      </c>
      <c r="H616" s="1937">
        <f>IFERROR(IF(F616&gt;=VLOOKUP(A616,[2]Materiality!$I$6:$J$12,2,TRUE),IFERROR(IF(VLOOKUP("*CR",F616,1,FALSE)&gt;=0,"",VLOOKUP("*CR",F616,1,FALSE)),F616),""),"")</f>
        <v>47308.03</v>
      </c>
      <c r="I616" s="1938">
        <f t="shared" si="9"/>
        <v>0</v>
      </c>
    </row>
    <row r="617" spans="1:9" x14ac:dyDescent="0.25">
      <c r="A617" t="s">
        <v>3491</v>
      </c>
      <c r="B617" s="1936"/>
      <c r="C617" t="s">
        <v>2556</v>
      </c>
      <c r="D617" s="1936"/>
      <c r="E617" s="1936"/>
      <c r="F617" s="1941">
        <v>0</v>
      </c>
      <c r="G617" s="1941">
        <v>1460</v>
      </c>
      <c r="H617" s="1937" t="str">
        <f>IFERROR(IF(F617&gt;=VLOOKUP(A617,[2]Materiality!$I$6:$J$12,2,TRUE),IFERROR(IF(VLOOKUP("*CR",F617,1,FALSE)&gt;=0,"",VLOOKUP("*CR",F617,1,FALSE)),F617),""),"")</f>
        <v/>
      </c>
      <c r="I617" s="1938">
        <f t="shared" si="9"/>
        <v>0</v>
      </c>
    </row>
    <row r="618" spans="1:9" x14ac:dyDescent="0.25">
      <c r="A618" t="s">
        <v>3638</v>
      </c>
      <c r="B618" s="1936"/>
      <c r="C618" t="s">
        <v>203</v>
      </c>
      <c r="D618" s="1936"/>
      <c r="E618" s="1936"/>
      <c r="F618" s="1941">
        <v>0</v>
      </c>
      <c r="G618" s="1941">
        <v>1460</v>
      </c>
      <c r="H618" s="1937" t="str">
        <f>IFERROR(IF(F618&gt;=VLOOKUP(A618,[2]Materiality!$I$6:$J$12,2,TRUE),IFERROR(IF(VLOOKUP("*CR",F618,1,FALSE)&gt;=0,"",VLOOKUP("*CR",F618,1,FALSE)),F618),""),"")</f>
        <v/>
      </c>
      <c r="I618" s="1938">
        <f t="shared" si="9"/>
        <v>0</v>
      </c>
    </row>
    <row r="619" spans="1:9" x14ac:dyDescent="0.25">
      <c r="A619" t="s">
        <v>3490</v>
      </c>
      <c r="B619" s="1936"/>
      <c r="C619" t="s">
        <v>2557</v>
      </c>
      <c r="D619" s="1936"/>
      <c r="E619" s="1936"/>
      <c r="F619" s="1941">
        <v>0</v>
      </c>
      <c r="G619" s="1941">
        <v>154</v>
      </c>
      <c r="H619" s="1937" t="str">
        <f>IFERROR(IF(F619&gt;=VLOOKUP(A619,[2]Materiality!$I$6:$J$12,2,TRUE),IFERROR(IF(VLOOKUP("*CR",F619,1,FALSE)&gt;=0,"",VLOOKUP("*CR",F619,1,FALSE)),F619),""),"")</f>
        <v/>
      </c>
      <c r="I619" s="1938">
        <f t="shared" si="9"/>
        <v>0</v>
      </c>
    </row>
    <row r="620" spans="1:9" x14ac:dyDescent="0.25">
      <c r="A620" t="s">
        <v>3489</v>
      </c>
      <c r="B620" s="1936"/>
      <c r="C620" t="s">
        <v>2558</v>
      </c>
      <c r="D620" s="1936"/>
      <c r="E620" s="1936"/>
      <c r="F620" s="1941">
        <v>0</v>
      </c>
      <c r="G620" s="1941">
        <v>0</v>
      </c>
      <c r="H620" s="1937" t="str">
        <f>IFERROR(IF(F620&gt;=VLOOKUP(A620,[2]Materiality!$I$6:$J$12,2,TRUE),IFERROR(IF(VLOOKUP("*CR",F620,1,FALSE)&gt;=0,"",VLOOKUP("*CR",F620,1,FALSE)),F620),""),"")</f>
        <v/>
      </c>
      <c r="I620" s="1938">
        <f t="shared" si="9"/>
        <v>0</v>
      </c>
    </row>
    <row r="621" spans="1:9" x14ac:dyDescent="0.25">
      <c r="A621" t="s">
        <v>3708</v>
      </c>
      <c r="B621" s="1936"/>
      <c r="C621" t="s">
        <v>51</v>
      </c>
      <c r="D621" s="1936"/>
      <c r="E621" s="1936"/>
      <c r="F621" s="1941">
        <v>0</v>
      </c>
      <c r="G621" s="1941">
        <v>154</v>
      </c>
      <c r="H621" s="1937" t="str">
        <f>IFERROR(IF(F621&gt;=VLOOKUP(A621,[2]Materiality!$I$6:$J$12,2,TRUE),IFERROR(IF(VLOOKUP("*CR",F621,1,FALSE)&gt;=0,"",VLOOKUP("*CR",F621,1,FALSE)),F621),""),"")</f>
        <v/>
      </c>
      <c r="I621" s="1938">
        <f t="shared" si="9"/>
        <v>0</v>
      </c>
    </row>
    <row r="622" spans="1:9" x14ac:dyDescent="0.25">
      <c r="A622" t="s">
        <v>3488</v>
      </c>
      <c r="B622" s="1936"/>
      <c r="C622" t="s">
        <v>2559</v>
      </c>
      <c r="D622" s="1936"/>
      <c r="E622" s="1936"/>
      <c r="F622" s="1941">
        <v>0</v>
      </c>
      <c r="G622" s="1941">
        <v>11500</v>
      </c>
      <c r="H622" s="1937" t="str">
        <f>IFERROR(IF(F622&gt;=VLOOKUP(A622,[2]Materiality!$I$6:$J$12,2,TRUE),IFERROR(IF(VLOOKUP("*CR",F622,1,FALSE)&gt;=0,"",VLOOKUP("*CR",F622,1,FALSE)),F622),""),"")</f>
        <v/>
      </c>
      <c r="I622" s="1938">
        <f t="shared" si="9"/>
        <v>0</v>
      </c>
    </row>
    <row r="623" spans="1:9" x14ac:dyDescent="0.25">
      <c r="A623" t="s">
        <v>3709</v>
      </c>
      <c r="B623" s="1936"/>
      <c r="C623" t="s">
        <v>1162</v>
      </c>
      <c r="D623" s="1936"/>
      <c r="E623" s="1936"/>
      <c r="F623" s="1941">
        <v>0</v>
      </c>
      <c r="G623" s="1941">
        <v>11500</v>
      </c>
      <c r="H623" s="1937" t="str">
        <f>IFERROR(IF(F623&gt;=VLOOKUP(A623,[2]Materiality!$I$6:$J$12,2,TRUE),IFERROR(IF(VLOOKUP("*CR",F623,1,FALSE)&gt;=0,"",VLOOKUP("*CR",F623,1,FALSE)),F623),""),"")</f>
        <v/>
      </c>
      <c r="I623" s="1938">
        <f t="shared" si="9"/>
        <v>0</v>
      </c>
    </row>
    <row r="624" spans="1:9" x14ac:dyDescent="0.25">
      <c r="A624" t="s">
        <v>3487</v>
      </c>
      <c r="B624" s="1936"/>
      <c r="C624" t="s">
        <v>2560</v>
      </c>
      <c r="D624" s="1936"/>
      <c r="E624" s="1936"/>
      <c r="F624" s="1941">
        <v>17758.919999999998</v>
      </c>
      <c r="G624" s="1941">
        <v>17759</v>
      </c>
      <c r="H624" s="1937" t="str">
        <f>IFERROR(IF(F624&gt;=VLOOKUP(A624,[2]Materiality!$I$6:$J$12,2,TRUE),IFERROR(IF(VLOOKUP("*CR",F624,1,FALSE)&gt;=0,"",VLOOKUP("*CR",F624,1,FALSE)),F624),""),"")</f>
        <v/>
      </c>
      <c r="I624" s="1938">
        <f t="shared" si="9"/>
        <v>0</v>
      </c>
    </row>
    <row r="625" spans="1:9" x14ac:dyDescent="0.25">
      <c r="A625" t="s">
        <v>3486</v>
      </c>
      <c r="B625" s="1936"/>
      <c r="C625" t="s">
        <v>2561</v>
      </c>
      <c r="D625" s="1936"/>
      <c r="E625" s="1936"/>
      <c r="F625" s="1941">
        <v>982.47</v>
      </c>
      <c r="G625" s="1941">
        <v>1124</v>
      </c>
      <c r="H625" s="1937" t="str">
        <f>IFERROR(IF(F625&gt;=VLOOKUP(A625,[2]Materiality!$I$6:$J$12,2,TRUE),IFERROR(IF(VLOOKUP("*CR",F625,1,FALSE)&gt;=0,"",VLOOKUP("*CR",F625,1,FALSE)),F625),""),"")</f>
        <v/>
      </c>
      <c r="I625" s="1938">
        <f t="shared" si="9"/>
        <v>0</v>
      </c>
    </row>
    <row r="626" spans="1:9" x14ac:dyDescent="0.25">
      <c r="A626" t="s">
        <v>3710</v>
      </c>
      <c r="B626" s="1936"/>
      <c r="C626" t="s">
        <v>2300</v>
      </c>
      <c r="D626" s="1936"/>
      <c r="E626" s="1936"/>
      <c r="F626" s="1941">
        <v>18741.39</v>
      </c>
      <c r="G626" s="1941">
        <v>18883</v>
      </c>
      <c r="H626" s="1937" t="str">
        <f>IFERROR(IF(F626&gt;=VLOOKUP(A626,[2]Materiality!$I$6:$J$12,2,TRUE),IFERROR(IF(VLOOKUP("*CR",F626,1,FALSE)&gt;=0,"",VLOOKUP("*CR",F626,1,FALSE)),F626),""),"")</f>
        <v/>
      </c>
      <c r="I626" s="1938">
        <f t="shared" si="9"/>
        <v>0</v>
      </c>
    </row>
    <row r="627" spans="1:9" x14ac:dyDescent="0.25">
      <c r="A627" t="s">
        <v>3485</v>
      </c>
      <c r="B627" s="1936"/>
      <c r="C627" t="s">
        <v>2562</v>
      </c>
      <c r="D627" s="1936"/>
      <c r="E627" s="1936"/>
      <c r="F627" s="1941">
        <v>0</v>
      </c>
      <c r="G627" s="1941">
        <v>50</v>
      </c>
      <c r="H627" s="1937" t="str">
        <f>IFERROR(IF(F627&gt;=VLOOKUP(A627,[2]Materiality!$I$6:$J$12,2,TRUE),IFERROR(IF(VLOOKUP("*CR",F627,1,FALSE)&gt;=0,"",VLOOKUP("*CR",F627,1,FALSE)),F627),""),"")</f>
        <v/>
      </c>
      <c r="I627" s="1938">
        <f t="shared" si="9"/>
        <v>0</v>
      </c>
    </row>
    <row r="628" spans="1:9" x14ac:dyDescent="0.25">
      <c r="A628" t="s">
        <v>3714</v>
      </c>
      <c r="B628" s="1936"/>
      <c r="C628" t="s">
        <v>1158</v>
      </c>
      <c r="D628" s="1936"/>
      <c r="E628" s="1936"/>
      <c r="F628" s="1941">
        <v>0</v>
      </c>
      <c r="G628" s="1941">
        <v>50</v>
      </c>
      <c r="H628" s="1937">
        <f>IFERROR(IF(F628&gt;=VLOOKUP(A628,[2]Materiality!$I$6:$J$12,2,TRUE),IFERROR(IF(VLOOKUP("*CR",F628,1,FALSE)&gt;=0,"",VLOOKUP("*CR",F628,1,FALSE)),F628),""),"")</f>
        <v>0</v>
      </c>
      <c r="I628" s="1938">
        <f t="shared" si="9"/>
        <v>0</v>
      </c>
    </row>
    <row r="629" spans="1:9" x14ac:dyDescent="0.25">
      <c r="A629" t="s">
        <v>3735</v>
      </c>
      <c r="B629" s="1936"/>
      <c r="C629" t="s">
        <v>2563</v>
      </c>
      <c r="D629" s="1936"/>
      <c r="E629" s="1936"/>
      <c r="F629" s="1941">
        <v>18741.39</v>
      </c>
      <c r="G629" s="1941">
        <v>32047</v>
      </c>
      <c r="H629" s="1937" t="str">
        <f>IFERROR(IF(F629&gt;=VLOOKUP(A629,[2]Materiality!$I$6:$J$12,2,TRUE),IFERROR(IF(VLOOKUP("*CR",F629,1,FALSE)&gt;=0,"",VLOOKUP("*CR",F629,1,FALSE)),F629),""),"")</f>
        <v/>
      </c>
      <c r="I629" s="1938">
        <f t="shared" si="9"/>
        <v>0</v>
      </c>
    </row>
    <row r="630" spans="1:9" x14ac:dyDescent="0.25">
      <c r="A630" t="s">
        <v>3484</v>
      </c>
      <c r="B630" s="1936"/>
      <c r="C630" t="s">
        <v>2564</v>
      </c>
      <c r="D630" s="1936"/>
      <c r="E630" s="1936"/>
      <c r="F630" s="1941">
        <v>5850.5</v>
      </c>
      <c r="G630" s="1941">
        <v>3500</v>
      </c>
      <c r="H630" s="1937" t="str">
        <f>IFERROR(IF(F630&gt;=VLOOKUP(A630,[2]Materiality!$I$6:$J$12,2,TRUE),IFERROR(IF(VLOOKUP("*CR",F630,1,FALSE)&gt;=0,"",VLOOKUP("*CR",F630,1,FALSE)),F630),""),"")</f>
        <v/>
      </c>
      <c r="I630" s="1938">
        <f t="shared" si="9"/>
        <v>0</v>
      </c>
    </row>
    <row r="631" spans="1:9" x14ac:dyDescent="0.25">
      <c r="A631" t="s">
        <v>3638</v>
      </c>
      <c r="B631" s="1936"/>
      <c r="C631" t="s">
        <v>203</v>
      </c>
      <c r="D631" s="1936"/>
      <c r="E631" s="1936"/>
      <c r="F631" s="1941">
        <v>5850.5</v>
      </c>
      <c r="G631" s="1941">
        <v>3500</v>
      </c>
      <c r="H631" s="1937" t="str">
        <f>IFERROR(IF(F631&gt;=VLOOKUP(A631,[2]Materiality!$I$6:$J$12,2,TRUE),IFERROR(IF(VLOOKUP("*CR",F631,1,FALSE)&gt;=0,"",VLOOKUP("*CR",F631,1,FALSE)),F631),""),"")</f>
        <v/>
      </c>
      <c r="I631" s="1938">
        <f t="shared" si="9"/>
        <v>0</v>
      </c>
    </row>
    <row r="632" spans="1:9" x14ac:dyDescent="0.25">
      <c r="A632" t="s">
        <v>3483</v>
      </c>
      <c r="B632" s="1936"/>
      <c r="C632" t="s">
        <v>2565</v>
      </c>
      <c r="D632" s="1936"/>
      <c r="E632" s="1936"/>
      <c r="F632" s="1941">
        <v>664.24</v>
      </c>
      <c r="G632" s="1941">
        <v>369</v>
      </c>
      <c r="H632" s="1937" t="str">
        <f>IFERROR(IF(F632&gt;=VLOOKUP(A632,[2]Materiality!$I$6:$J$12,2,TRUE),IFERROR(IF(VLOOKUP("*CR",F632,1,FALSE)&gt;=0,"",VLOOKUP("*CR",F632,1,FALSE)),F632),""),"")</f>
        <v/>
      </c>
      <c r="I632" s="1938">
        <f t="shared" si="9"/>
        <v>0</v>
      </c>
    </row>
    <row r="633" spans="1:9" x14ac:dyDescent="0.25">
      <c r="A633" t="s">
        <v>3482</v>
      </c>
      <c r="B633" s="1936"/>
      <c r="C633" t="s">
        <v>2566</v>
      </c>
      <c r="D633" s="1936"/>
      <c r="E633" s="1936"/>
      <c r="F633" s="1941">
        <v>0</v>
      </c>
      <c r="G633" s="1941">
        <v>0</v>
      </c>
      <c r="H633" s="1937" t="str">
        <f>IFERROR(IF(F633&gt;=VLOOKUP(A633,[2]Materiality!$I$6:$J$12,2,TRUE),IFERROR(IF(VLOOKUP("*CR",F633,1,FALSE)&gt;=0,"",VLOOKUP("*CR",F633,1,FALSE)),F633),""),"")</f>
        <v/>
      </c>
      <c r="I633" s="1938">
        <f t="shared" si="9"/>
        <v>0</v>
      </c>
    </row>
    <row r="634" spans="1:9" x14ac:dyDescent="0.25">
      <c r="A634" t="s">
        <v>3708</v>
      </c>
      <c r="B634" s="1936"/>
      <c r="C634" t="s">
        <v>51</v>
      </c>
      <c r="D634" s="1936"/>
      <c r="E634" s="1936"/>
      <c r="F634" s="1941">
        <v>664.24</v>
      </c>
      <c r="G634" s="1941">
        <v>369</v>
      </c>
      <c r="H634" s="1937" t="str">
        <f>IFERROR(IF(F634&gt;=VLOOKUP(A634,[2]Materiality!$I$6:$J$12,2,TRUE),IFERROR(IF(VLOOKUP("*CR",F634,1,FALSE)&gt;=0,"",VLOOKUP("*CR",F634,1,FALSE)),F634),""),"")</f>
        <v/>
      </c>
      <c r="I634" s="1938">
        <f t="shared" si="9"/>
        <v>0</v>
      </c>
    </row>
    <row r="635" spans="1:9" x14ac:dyDescent="0.25">
      <c r="A635" t="s">
        <v>3481</v>
      </c>
      <c r="B635" s="1936"/>
      <c r="C635" t="s">
        <v>2567</v>
      </c>
      <c r="D635" s="1936"/>
      <c r="E635" s="1936"/>
      <c r="F635" s="1941">
        <v>6142.84</v>
      </c>
      <c r="G635" s="1941">
        <v>10000</v>
      </c>
      <c r="H635" s="1937" t="str">
        <f>IFERROR(IF(F635&gt;=VLOOKUP(A635,[2]Materiality!$I$6:$J$12,2,TRUE),IFERROR(IF(VLOOKUP("*CR",F635,1,FALSE)&gt;=0,"",VLOOKUP("*CR",F635,1,FALSE)),F635),""),"")</f>
        <v/>
      </c>
      <c r="I635" s="1938">
        <f t="shared" si="9"/>
        <v>0</v>
      </c>
    </row>
    <row r="636" spans="1:9" x14ac:dyDescent="0.25">
      <c r="A636" t="s">
        <v>3480</v>
      </c>
      <c r="B636" s="1936"/>
      <c r="C636" t="s">
        <v>2568</v>
      </c>
      <c r="D636" s="1936"/>
      <c r="E636" s="1936"/>
      <c r="F636" s="1941">
        <v>0</v>
      </c>
      <c r="G636" s="1941">
        <v>0</v>
      </c>
      <c r="H636" s="1937" t="str">
        <f>IFERROR(IF(F636&gt;=VLOOKUP(A636,[2]Materiality!$I$6:$J$12,2,TRUE),IFERROR(IF(VLOOKUP("*CR",F636,1,FALSE)&gt;=0,"",VLOOKUP("*CR",F636,1,FALSE)),F636),""),"")</f>
        <v/>
      </c>
      <c r="I636" s="1938">
        <f t="shared" si="9"/>
        <v>0</v>
      </c>
    </row>
    <row r="637" spans="1:9" x14ac:dyDescent="0.25">
      <c r="A637" t="s">
        <v>3479</v>
      </c>
      <c r="B637" s="1936"/>
      <c r="C637" t="s">
        <v>2569</v>
      </c>
      <c r="D637" s="1936"/>
      <c r="E637" s="1936"/>
      <c r="F637" s="1941">
        <v>0</v>
      </c>
      <c r="G637" s="1941">
        <v>0</v>
      </c>
      <c r="H637" s="1937" t="str">
        <f>IFERROR(IF(F637&gt;=VLOOKUP(A637,[2]Materiality!$I$6:$J$12,2,TRUE),IFERROR(IF(VLOOKUP("*CR",F637,1,FALSE)&gt;=0,"",VLOOKUP("*CR",F637,1,FALSE)),F637),""),"")</f>
        <v/>
      </c>
      <c r="I637" s="1938">
        <f t="shared" si="9"/>
        <v>0</v>
      </c>
    </row>
    <row r="638" spans="1:9" x14ac:dyDescent="0.25">
      <c r="A638" t="s">
        <v>3709</v>
      </c>
      <c r="B638" s="1936"/>
      <c r="C638" t="s">
        <v>1162</v>
      </c>
      <c r="D638" s="1936"/>
      <c r="E638" s="1936"/>
      <c r="F638" s="1941">
        <v>6142.84</v>
      </c>
      <c r="G638" s="1941">
        <v>10000</v>
      </c>
      <c r="H638" s="1937" t="str">
        <f>IFERROR(IF(F638&gt;=VLOOKUP(A638,[2]Materiality!$I$6:$J$12,2,TRUE),IFERROR(IF(VLOOKUP("*CR",F638,1,FALSE)&gt;=0,"",VLOOKUP("*CR",F638,1,FALSE)),F638),""),"")</f>
        <v/>
      </c>
      <c r="I638" s="1938">
        <f t="shared" si="9"/>
        <v>0</v>
      </c>
    </row>
    <row r="639" spans="1:9" x14ac:dyDescent="0.25">
      <c r="A639" t="s">
        <v>3478</v>
      </c>
      <c r="B639" s="1936"/>
      <c r="C639" t="s">
        <v>2570</v>
      </c>
      <c r="D639" s="1936"/>
      <c r="E639" s="1936"/>
      <c r="F639" s="1941">
        <v>0</v>
      </c>
      <c r="G639" s="1941">
        <v>100</v>
      </c>
      <c r="H639" s="1937" t="str">
        <f>IFERROR(IF(F639&gt;=VLOOKUP(A639,[2]Materiality!$I$6:$J$12,2,TRUE),IFERROR(IF(VLOOKUP("*CR",F639,1,FALSE)&gt;=0,"",VLOOKUP("*CR",F639,1,FALSE)),F639),""),"")</f>
        <v/>
      </c>
      <c r="I639" s="1938">
        <f t="shared" si="9"/>
        <v>0</v>
      </c>
    </row>
    <row r="640" spans="1:9" x14ac:dyDescent="0.25">
      <c r="A640" t="s">
        <v>3710</v>
      </c>
      <c r="B640" s="1936"/>
      <c r="C640" t="s">
        <v>2300</v>
      </c>
      <c r="D640" s="1936"/>
      <c r="E640" s="1936"/>
      <c r="F640" s="1941">
        <v>0</v>
      </c>
      <c r="G640" s="1941">
        <v>100</v>
      </c>
      <c r="H640" s="1937" t="str">
        <f>IFERROR(IF(F640&gt;=VLOOKUP(A640,[2]Materiality!$I$6:$J$12,2,TRUE),IFERROR(IF(VLOOKUP("*CR",F640,1,FALSE)&gt;=0,"",VLOOKUP("*CR",F640,1,FALSE)),F640),""),"")</f>
        <v/>
      </c>
      <c r="I640" s="1938">
        <f t="shared" si="9"/>
        <v>0</v>
      </c>
    </row>
    <row r="641" spans="1:9" x14ac:dyDescent="0.25">
      <c r="A641" t="s">
        <v>3736</v>
      </c>
      <c r="B641" s="1936"/>
      <c r="C641" t="s">
        <v>2571</v>
      </c>
      <c r="D641" s="1936"/>
      <c r="E641" s="1936"/>
      <c r="F641" s="1941">
        <v>12657.58</v>
      </c>
      <c r="G641" s="1941">
        <v>13969</v>
      </c>
      <c r="H641" s="1937" t="str">
        <f>IFERROR(IF(F641&gt;=VLOOKUP(A641,[2]Materiality!$I$6:$J$12,2,TRUE),IFERROR(IF(VLOOKUP("*CR",F641,1,FALSE)&gt;=0,"",VLOOKUP("*CR",F641,1,FALSE)),F641),""),"")</f>
        <v/>
      </c>
      <c r="I641" s="1938">
        <f t="shared" si="9"/>
        <v>0</v>
      </c>
    </row>
    <row r="642" spans="1:9" x14ac:dyDescent="0.25">
      <c r="A642" t="s">
        <v>3477</v>
      </c>
      <c r="B642" s="1936"/>
      <c r="C642" t="s">
        <v>2572</v>
      </c>
      <c r="D642" s="1936"/>
      <c r="E642" s="1936"/>
      <c r="F642" s="1941">
        <v>0</v>
      </c>
      <c r="G642" s="1941">
        <v>0</v>
      </c>
      <c r="H642" s="1937" t="str">
        <f>IFERROR(IF(F642&gt;=VLOOKUP(A642,[2]Materiality!$I$6:$J$12,2,TRUE),IFERROR(IF(VLOOKUP("*CR",F642,1,FALSE)&gt;=0,"",VLOOKUP("*CR",F642,1,FALSE)),F642),""),"")</f>
        <v/>
      </c>
      <c r="I642" s="1938">
        <f t="shared" si="9"/>
        <v>0</v>
      </c>
    </row>
    <row r="643" spans="1:9" x14ac:dyDescent="0.25">
      <c r="A643" t="s">
        <v>3708</v>
      </c>
      <c r="B643" s="1936"/>
      <c r="C643" t="s">
        <v>51</v>
      </c>
      <c r="D643" s="1936"/>
      <c r="E643" s="1936"/>
      <c r="F643" s="1941">
        <v>0</v>
      </c>
      <c r="G643" s="1941">
        <v>0</v>
      </c>
      <c r="H643" s="1937" t="str">
        <f>IFERROR(IF(F643&gt;=VLOOKUP(A643,[2]Materiality!$I$6:$J$12,2,TRUE),IFERROR(IF(VLOOKUP("*CR",F643,1,FALSE)&gt;=0,"",VLOOKUP("*CR",F643,1,FALSE)),F643),""),"")</f>
        <v/>
      </c>
      <c r="I643" s="1938">
        <f t="shared" si="9"/>
        <v>0</v>
      </c>
    </row>
    <row r="644" spans="1:9" x14ac:dyDescent="0.25">
      <c r="A644" t="s">
        <v>3737</v>
      </c>
      <c r="B644" s="1936"/>
      <c r="C644" t="s">
        <v>2573</v>
      </c>
      <c r="D644" s="1936"/>
      <c r="E644" s="1936"/>
      <c r="F644" s="1941">
        <v>0</v>
      </c>
      <c r="G644" s="1941">
        <v>0</v>
      </c>
      <c r="H644" s="1937" t="str">
        <f>IFERROR(IF(F644&gt;=VLOOKUP(A644,[2]Materiality!$I$6:$J$12,2,TRUE),IFERROR(IF(VLOOKUP("*CR",F644,1,FALSE)&gt;=0,"",VLOOKUP("*CR",F644,1,FALSE)),F644),""),"")</f>
        <v/>
      </c>
      <c r="I644" s="1938">
        <f t="shared" ref="I644:I707" si="10">IF(F644&lt;0,F644,0)</f>
        <v>0</v>
      </c>
    </row>
    <row r="645" spans="1:9" x14ac:dyDescent="0.25">
      <c r="A645" t="s">
        <v>3476</v>
      </c>
      <c r="B645" s="1936"/>
      <c r="C645" t="s">
        <v>2574</v>
      </c>
      <c r="D645" s="1936"/>
      <c r="E645" s="1936"/>
      <c r="F645" s="1941">
        <v>67766.179999999993</v>
      </c>
      <c r="G645" s="1941">
        <v>67766</v>
      </c>
      <c r="H645" s="1937" t="str">
        <f>IFERROR(IF(F645&gt;=VLOOKUP(A645,[2]Materiality!$I$6:$J$12,2,TRUE),IFERROR(IF(VLOOKUP("*CR",F645,1,FALSE)&gt;=0,"",VLOOKUP("*CR",F645,1,FALSE)),F645),""),"")</f>
        <v/>
      </c>
      <c r="I645" s="1938">
        <f t="shared" si="10"/>
        <v>0</v>
      </c>
    </row>
    <row r="646" spans="1:9" x14ac:dyDescent="0.25">
      <c r="A646" t="s">
        <v>3475</v>
      </c>
      <c r="B646" s="1936"/>
      <c r="C646" t="s">
        <v>2575</v>
      </c>
      <c r="D646" s="1936"/>
      <c r="E646" s="1936"/>
      <c r="F646" s="1941">
        <v>107587.34</v>
      </c>
      <c r="G646" s="1941">
        <v>107739</v>
      </c>
      <c r="H646" s="1937" t="str">
        <f>IFERROR(IF(F646&gt;=VLOOKUP(A646,[2]Materiality!$I$6:$J$12,2,TRUE),IFERROR(IF(VLOOKUP("*CR",F646,1,FALSE)&gt;=0,"",VLOOKUP("*CR",F646,1,FALSE)),F646),""),"")</f>
        <v/>
      </c>
      <c r="I646" s="1938">
        <f t="shared" si="10"/>
        <v>0</v>
      </c>
    </row>
    <row r="647" spans="1:9" x14ac:dyDescent="0.25">
      <c r="A647" t="s">
        <v>3638</v>
      </c>
      <c r="B647" s="1936"/>
      <c r="C647" t="s">
        <v>203</v>
      </c>
      <c r="D647" s="1936"/>
      <c r="E647" s="1936"/>
      <c r="F647" s="1941">
        <v>175353.52</v>
      </c>
      <c r="G647" s="1941">
        <v>175505</v>
      </c>
      <c r="H647" s="1937">
        <f>IFERROR(IF(F647&gt;=VLOOKUP(A647,[2]Materiality!$I$6:$J$12,2,TRUE),IFERROR(IF(VLOOKUP("*CR",F647,1,FALSE)&gt;=0,"",VLOOKUP("*CR",F647,1,FALSE)),F647),""),"")</f>
        <v>175353.52</v>
      </c>
      <c r="I647" s="1938">
        <f t="shared" si="10"/>
        <v>0</v>
      </c>
    </row>
    <row r="648" spans="1:9" x14ac:dyDescent="0.25">
      <c r="A648" t="s">
        <v>3474</v>
      </c>
      <c r="B648" s="1936"/>
      <c r="C648" t="s">
        <v>2576</v>
      </c>
      <c r="D648" s="1936"/>
      <c r="E648" s="1936"/>
      <c r="F648" s="1941">
        <v>7831.95</v>
      </c>
      <c r="G648" s="1941">
        <v>7832</v>
      </c>
      <c r="H648" s="1937" t="str">
        <f>IFERROR(IF(F648&gt;=VLOOKUP(A648,[2]Materiality!$I$6:$J$12,2,TRUE),IFERROR(IF(VLOOKUP("*CR",F648,1,FALSE)&gt;=0,"",VLOOKUP("*CR",F648,1,FALSE)),F648),""),"")</f>
        <v/>
      </c>
      <c r="I648" s="1938">
        <f t="shared" si="10"/>
        <v>0</v>
      </c>
    </row>
    <row r="649" spans="1:9" x14ac:dyDescent="0.25">
      <c r="A649" t="s">
        <v>3473</v>
      </c>
      <c r="B649" s="1936"/>
      <c r="C649" t="s">
        <v>2577</v>
      </c>
      <c r="D649" s="1936"/>
      <c r="E649" s="1936"/>
      <c r="F649" s="1941">
        <v>8214.9599999999991</v>
      </c>
      <c r="G649" s="1941">
        <v>8215</v>
      </c>
      <c r="H649" s="1937" t="str">
        <f>IFERROR(IF(F649&gt;=VLOOKUP(A649,[2]Materiality!$I$6:$J$12,2,TRUE),IFERROR(IF(VLOOKUP("*CR",F649,1,FALSE)&gt;=0,"",VLOOKUP("*CR",F649,1,FALSE)),F649),""),"")</f>
        <v/>
      </c>
      <c r="I649" s="1938">
        <f t="shared" si="10"/>
        <v>0</v>
      </c>
    </row>
    <row r="650" spans="1:9" x14ac:dyDescent="0.25">
      <c r="A650" t="s">
        <v>3473</v>
      </c>
      <c r="B650" s="1936"/>
      <c r="C650" t="s">
        <v>2578</v>
      </c>
      <c r="D650" s="1936"/>
      <c r="E650" s="1936"/>
      <c r="F650" s="1941">
        <v>37152.959999999999</v>
      </c>
      <c r="G650" s="1941">
        <v>37513</v>
      </c>
      <c r="H650" s="1937" t="str">
        <f>IFERROR(IF(F650&gt;=VLOOKUP(A650,[2]Materiality!$I$6:$J$12,2,TRUE),IFERROR(IF(VLOOKUP("*CR",F650,1,FALSE)&gt;=0,"",VLOOKUP("*CR",F650,1,FALSE)),F650),""),"")</f>
        <v/>
      </c>
      <c r="I650" s="1938">
        <f t="shared" si="10"/>
        <v>0</v>
      </c>
    </row>
    <row r="651" spans="1:9" x14ac:dyDescent="0.25">
      <c r="A651" t="s">
        <v>3472</v>
      </c>
      <c r="B651" s="1936"/>
      <c r="C651" t="s">
        <v>2579</v>
      </c>
      <c r="D651" s="1936"/>
      <c r="E651" s="1936"/>
      <c r="F651" s="1941">
        <v>0</v>
      </c>
      <c r="G651" s="1941">
        <v>0</v>
      </c>
      <c r="H651" s="1937" t="str">
        <f>IFERROR(IF(F651&gt;=VLOOKUP(A651,[2]Materiality!$I$6:$J$12,2,TRUE),IFERROR(IF(VLOOKUP("*CR",F651,1,FALSE)&gt;=0,"",VLOOKUP("*CR",F651,1,FALSE)),F651),""),"")</f>
        <v/>
      </c>
      <c r="I651" s="1938">
        <f t="shared" si="10"/>
        <v>0</v>
      </c>
    </row>
    <row r="652" spans="1:9" x14ac:dyDescent="0.25">
      <c r="A652" t="s">
        <v>3471</v>
      </c>
      <c r="B652" s="1936"/>
      <c r="C652" t="s">
        <v>2580</v>
      </c>
      <c r="D652" s="1936"/>
      <c r="E652" s="1936"/>
      <c r="F652" s="1941">
        <v>56.4</v>
      </c>
      <c r="G652" s="1941">
        <v>56</v>
      </c>
      <c r="H652" s="1937" t="str">
        <f>IFERROR(IF(F652&gt;=VLOOKUP(A652,[2]Materiality!$I$6:$J$12,2,TRUE),IFERROR(IF(VLOOKUP("*CR",F652,1,FALSE)&gt;=0,"",VLOOKUP("*CR",F652,1,FALSE)),F652),""),"")</f>
        <v/>
      </c>
      <c r="I652" s="1938">
        <f t="shared" si="10"/>
        <v>0</v>
      </c>
    </row>
    <row r="653" spans="1:9" x14ac:dyDescent="0.25">
      <c r="A653" t="s">
        <v>3471</v>
      </c>
      <c r="B653" s="1936"/>
      <c r="C653" t="s">
        <v>2581</v>
      </c>
      <c r="D653" s="1936"/>
      <c r="E653" s="1936"/>
      <c r="F653" s="1941">
        <v>320.64</v>
      </c>
      <c r="G653" s="1941">
        <v>321</v>
      </c>
      <c r="H653" s="1937" t="str">
        <f>IFERROR(IF(F653&gt;=VLOOKUP(A653,[2]Materiality!$I$6:$J$12,2,TRUE),IFERROR(IF(VLOOKUP("*CR",F653,1,FALSE)&gt;=0,"",VLOOKUP("*CR",F653,1,FALSE)),F653),""),"")</f>
        <v/>
      </c>
      <c r="I653" s="1938">
        <f t="shared" si="10"/>
        <v>0</v>
      </c>
    </row>
    <row r="654" spans="1:9" x14ac:dyDescent="0.25">
      <c r="A654" t="s">
        <v>3708</v>
      </c>
      <c r="B654" s="1936"/>
      <c r="C654" t="s">
        <v>51</v>
      </c>
      <c r="D654" s="1936"/>
      <c r="E654" s="1936"/>
      <c r="F654" s="1941">
        <v>53576.91</v>
      </c>
      <c r="G654" s="1941">
        <v>53937</v>
      </c>
      <c r="H654" s="1937">
        <f>IFERROR(IF(F654&gt;=VLOOKUP(A654,[2]Materiality!$I$6:$J$12,2,TRUE),IFERROR(IF(VLOOKUP("*CR",F654,1,FALSE)&gt;=0,"",VLOOKUP("*CR",F654,1,FALSE)),F654),""),"")</f>
        <v>53576.91</v>
      </c>
      <c r="I654" s="1938">
        <f t="shared" si="10"/>
        <v>0</v>
      </c>
    </row>
    <row r="655" spans="1:9" x14ac:dyDescent="0.25">
      <c r="A655" t="s">
        <v>3470</v>
      </c>
      <c r="B655" s="1936"/>
      <c r="C655" t="s">
        <v>2582</v>
      </c>
      <c r="D655" s="1936"/>
      <c r="E655" s="1936"/>
      <c r="F655" s="1941">
        <v>69.59</v>
      </c>
      <c r="G655" s="1941">
        <v>200</v>
      </c>
      <c r="H655" s="1937" t="str">
        <f>IFERROR(IF(F655&gt;=VLOOKUP(A655,[2]Materiality!$I$6:$J$12,2,TRUE),IFERROR(IF(VLOOKUP("*CR",F655,1,FALSE)&gt;=0,"",VLOOKUP("*CR",F655,1,FALSE)),F655),""),"")</f>
        <v/>
      </c>
      <c r="I655" s="1938">
        <f t="shared" si="10"/>
        <v>0</v>
      </c>
    </row>
    <row r="656" spans="1:9" x14ac:dyDescent="0.25">
      <c r="A656" t="s">
        <v>3470</v>
      </c>
      <c r="B656" s="1936"/>
      <c r="C656" t="s">
        <v>2583</v>
      </c>
      <c r="D656" s="1936"/>
      <c r="E656" s="1936"/>
      <c r="F656" s="1941">
        <v>199.58</v>
      </c>
      <c r="G656" s="1941">
        <v>200</v>
      </c>
      <c r="H656" s="1937" t="str">
        <f>IFERROR(IF(F656&gt;=VLOOKUP(A656,[2]Materiality!$I$6:$J$12,2,TRUE),IFERROR(IF(VLOOKUP("*CR",F656,1,FALSE)&gt;=0,"",VLOOKUP("*CR",F656,1,FALSE)),F656),""),"")</f>
        <v/>
      </c>
      <c r="I656" s="1938">
        <f t="shared" si="10"/>
        <v>0</v>
      </c>
    </row>
    <row r="657" spans="1:9" x14ac:dyDescent="0.25">
      <c r="A657" t="s">
        <v>3470</v>
      </c>
      <c r="B657" s="1936"/>
      <c r="C657" t="s">
        <v>2584</v>
      </c>
      <c r="D657" s="1936"/>
      <c r="E657" s="1936"/>
      <c r="F657" s="1941">
        <v>0</v>
      </c>
      <c r="G657" s="1941">
        <v>200</v>
      </c>
      <c r="H657" s="1937" t="str">
        <f>IFERROR(IF(F657&gt;=VLOOKUP(A657,[2]Materiality!$I$6:$J$12,2,TRUE),IFERROR(IF(VLOOKUP("*CR",F657,1,FALSE)&gt;=0,"",VLOOKUP("*CR",F657,1,FALSE)),F657),""),"")</f>
        <v/>
      </c>
      <c r="I657" s="1938">
        <f t="shared" si="10"/>
        <v>0</v>
      </c>
    </row>
    <row r="658" spans="1:9" x14ac:dyDescent="0.25">
      <c r="A658" t="s">
        <v>3470</v>
      </c>
      <c r="B658" s="1936"/>
      <c r="C658" t="s">
        <v>2585</v>
      </c>
      <c r="D658" s="1936"/>
      <c r="E658" s="1936"/>
      <c r="F658" s="1941">
        <v>197.49</v>
      </c>
      <c r="G658" s="1941">
        <v>200</v>
      </c>
      <c r="H658" s="1937" t="str">
        <f>IFERROR(IF(F658&gt;=VLOOKUP(A658,[2]Materiality!$I$6:$J$12,2,TRUE),IFERROR(IF(VLOOKUP("*CR",F658,1,FALSE)&gt;=0,"",VLOOKUP("*CR",F658,1,FALSE)),F658),""),"")</f>
        <v/>
      </c>
      <c r="I658" s="1938">
        <f t="shared" si="10"/>
        <v>0</v>
      </c>
    </row>
    <row r="659" spans="1:9" x14ac:dyDescent="0.25">
      <c r="A659" t="s">
        <v>3470</v>
      </c>
      <c r="B659" s="1936"/>
      <c r="C659" t="s">
        <v>2586</v>
      </c>
      <c r="D659" s="1936"/>
      <c r="E659" s="1936"/>
      <c r="F659" s="1941">
        <v>199.44</v>
      </c>
      <c r="G659" s="1941">
        <v>200</v>
      </c>
      <c r="H659" s="1937" t="str">
        <f>IFERROR(IF(F659&gt;=VLOOKUP(A659,[2]Materiality!$I$6:$J$12,2,TRUE),IFERROR(IF(VLOOKUP("*CR",F659,1,FALSE)&gt;=0,"",VLOOKUP("*CR",F659,1,FALSE)),F659),""),"")</f>
        <v/>
      </c>
      <c r="I659" s="1938">
        <f t="shared" si="10"/>
        <v>0</v>
      </c>
    </row>
    <row r="660" spans="1:9" x14ac:dyDescent="0.25">
      <c r="A660" t="s">
        <v>3469</v>
      </c>
      <c r="B660" s="1936"/>
      <c r="C660" t="s">
        <v>2587</v>
      </c>
      <c r="D660" s="1936"/>
      <c r="E660" s="1936"/>
      <c r="F660" s="1941">
        <v>1752.5</v>
      </c>
      <c r="G660" s="1941">
        <v>2000</v>
      </c>
      <c r="H660" s="1937" t="str">
        <f>IFERROR(IF(F660&gt;=VLOOKUP(A660,[2]Materiality!$I$6:$J$12,2,TRUE),IFERROR(IF(VLOOKUP("*CR",F660,1,FALSE)&gt;=0,"",VLOOKUP("*CR",F660,1,FALSE)),F660),""),"")</f>
        <v/>
      </c>
      <c r="I660" s="1938">
        <f t="shared" si="10"/>
        <v>0</v>
      </c>
    </row>
    <row r="661" spans="1:9" x14ac:dyDescent="0.25">
      <c r="A661" t="s">
        <v>3469</v>
      </c>
      <c r="B661" s="1936"/>
      <c r="C661" t="s">
        <v>2588</v>
      </c>
      <c r="D661" s="1936"/>
      <c r="E661" s="1936"/>
      <c r="F661" s="1941">
        <v>1991.91</v>
      </c>
      <c r="G661" s="1941">
        <v>2000</v>
      </c>
      <c r="H661" s="1937" t="str">
        <f>IFERROR(IF(F661&gt;=VLOOKUP(A661,[2]Materiality!$I$6:$J$12,2,TRUE),IFERROR(IF(VLOOKUP("*CR",F661,1,FALSE)&gt;=0,"",VLOOKUP("*CR",F661,1,FALSE)),F661),""),"")</f>
        <v/>
      </c>
      <c r="I661" s="1938">
        <f t="shared" si="10"/>
        <v>0</v>
      </c>
    </row>
    <row r="662" spans="1:9" x14ac:dyDescent="0.25">
      <c r="A662" t="s">
        <v>3469</v>
      </c>
      <c r="B662" s="1936"/>
      <c r="C662" t="s">
        <v>2589</v>
      </c>
      <c r="D662" s="1936"/>
      <c r="E662" s="1936"/>
      <c r="F662" s="1941">
        <v>1973.85</v>
      </c>
      <c r="G662" s="1941">
        <v>2000</v>
      </c>
      <c r="H662" s="1937" t="str">
        <f>IFERROR(IF(F662&gt;=VLOOKUP(A662,[2]Materiality!$I$6:$J$12,2,TRUE),IFERROR(IF(VLOOKUP("*CR",F662,1,FALSE)&gt;=0,"",VLOOKUP("*CR",F662,1,FALSE)),F662),""),"")</f>
        <v/>
      </c>
      <c r="I662" s="1938">
        <f t="shared" si="10"/>
        <v>0</v>
      </c>
    </row>
    <row r="663" spans="1:9" x14ac:dyDescent="0.25">
      <c r="A663" t="s">
        <v>3469</v>
      </c>
      <c r="B663" s="1936"/>
      <c r="C663" t="s">
        <v>2590</v>
      </c>
      <c r="D663" s="1936"/>
      <c r="E663" s="1936"/>
      <c r="F663" s="1941">
        <v>1730.74</v>
      </c>
      <c r="G663" s="1941">
        <v>2000</v>
      </c>
      <c r="H663" s="1937" t="str">
        <f>IFERROR(IF(F663&gt;=VLOOKUP(A663,[2]Materiality!$I$6:$J$12,2,TRUE),IFERROR(IF(VLOOKUP("*CR",F663,1,FALSE)&gt;=0,"",VLOOKUP("*CR",F663,1,FALSE)),F663),""),"")</f>
        <v/>
      </c>
      <c r="I663" s="1938">
        <f t="shared" si="10"/>
        <v>0</v>
      </c>
    </row>
    <row r="664" spans="1:9" x14ac:dyDescent="0.25">
      <c r="A664" t="s">
        <v>3469</v>
      </c>
      <c r="B664" s="1936"/>
      <c r="C664" t="s">
        <v>2591</v>
      </c>
      <c r="D664" s="1936"/>
      <c r="E664" s="1936"/>
      <c r="F664" s="1941">
        <v>1913.3</v>
      </c>
      <c r="G664" s="1941">
        <v>2000</v>
      </c>
      <c r="H664" s="1937" t="str">
        <f>IFERROR(IF(F664&gt;=VLOOKUP(A664,[2]Materiality!$I$6:$J$12,2,TRUE),IFERROR(IF(VLOOKUP("*CR",F664,1,FALSE)&gt;=0,"",VLOOKUP("*CR",F664,1,FALSE)),F664),""),"")</f>
        <v/>
      </c>
      <c r="I664" s="1938">
        <f t="shared" si="10"/>
        <v>0</v>
      </c>
    </row>
    <row r="665" spans="1:9" x14ac:dyDescent="0.25">
      <c r="A665" t="s">
        <v>3469</v>
      </c>
      <c r="B665" s="1936"/>
      <c r="C665" t="s">
        <v>2592</v>
      </c>
      <c r="D665" s="1936"/>
      <c r="E665" s="1936"/>
      <c r="F665" s="1941">
        <v>1317.68</v>
      </c>
      <c r="G665" s="1941">
        <v>1322.12</v>
      </c>
      <c r="H665" s="1937" t="str">
        <f>IFERROR(IF(F665&gt;=VLOOKUP(A665,[2]Materiality!$I$6:$J$12,2,TRUE),IFERROR(IF(VLOOKUP("*CR",F665,1,FALSE)&gt;=0,"",VLOOKUP("*CR",F665,1,FALSE)),F665),""),"")</f>
        <v/>
      </c>
      <c r="I665" s="1938">
        <f t="shared" si="10"/>
        <v>0</v>
      </c>
    </row>
    <row r="666" spans="1:9" x14ac:dyDescent="0.25">
      <c r="A666" t="s">
        <v>3710</v>
      </c>
      <c r="B666" s="1936"/>
      <c r="C666" t="s">
        <v>2300</v>
      </c>
      <c r="D666" s="1936"/>
      <c r="E666" s="1936"/>
      <c r="F666" s="1941">
        <v>11346.08</v>
      </c>
      <c r="G666" s="1941">
        <v>12322.12</v>
      </c>
      <c r="H666" s="1937" t="str">
        <f>IFERROR(IF(F666&gt;=VLOOKUP(A666,[2]Materiality!$I$6:$J$12,2,TRUE),IFERROR(IF(VLOOKUP("*CR",F666,1,FALSE)&gt;=0,"",VLOOKUP("*CR",F666,1,FALSE)),F666),""),"")</f>
        <v/>
      </c>
      <c r="I666" s="1938">
        <f t="shared" si="10"/>
        <v>0</v>
      </c>
    </row>
    <row r="667" spans="1:9" x14ac:dyDescent="0.25">
      <c r="A667" t="s">
        <v>3738</v>
      </c>
      <c r="B667" s="1936"/>
      <c r="C667" t="s">
        <v>2593</v>
      </c>
      <c r="D667" s="1936"/>
      <c r="E667" s="1936"/>
      <c r="F667" s="1941">
        <v>240276.51</v>
      </c>
      <c r="G667" s="1941">
        <v>241764.12</v>
      </c>
      <c r="H667" s="1937">
        <f>IFERROR(IF(F667&gt;=VLOOKUP(A667,[2]Materiality!$I$6:$J$12,2,TRUE),IFERROR(IF(VLOOKUP("*CR",F667,1,FALSE)&gt;=0,"",VLOOKUP("*CR",F667,1,FALSE)),F667),""),"")</f>
        <v>240276.51</v>
      </c>
      <c r="I667" s="1938">
        <f t="shared" si="10"/>
        <v>0</v>
      </c>
    </row>
    <row r="668" spans="1:9" x14ac:dyDescent="0.25">
      <c r="A668" t="s">
        <v>3468</v>
      </c>
      <c r="B668" s="1936"/>
      <c r="C668" t="s">
        <v>2594</v>
      </c>
      <c r="D668" s="1936"/>
      <c r="E668" s="1936"/>
      <c r="F668" s="1941">
        <v>0</v>
      </c>
      <c r="G668" s="1941">
        <v>0</v>
      </c>
      <c r="H668" s="1937" t="str">
        <f>IFERROR(IF(F668&gt;=VLOOKUP(A668,[2]Materiality!$I$6:$J$12,2,TRUE),IFERROR(IF(VLOOKUP("*CR",F668,1,FALSE)&gt;=0,"",VLOOKUP("*CR",F668,1,FALSE)),F668),""),"")</f>
        <v/>
      </c>
      <c r="I668" s="1938">
        <f t="shared" si="10"/>
        <v>0</v>
      </c>
    </row>
    <row r="669" spans="1:9" x14ac:dyDescent="0.25">
      <c r="A669" t="s">
        <v>3467</v>
      </c>
      <c r="B669" s="1936"/>
      <c r="C669" t="s">
        <v>2595</v>
      </c>
      <c r="D669" s="1936"/>
      <c r="E669" s="1936"/>
      <c r="F669" s="1941">
        <v>0</v>
      </c>
      <c r="G669" s="1941">
        <v>0</v>
      </c>
      <c r="H669" s="1937" t="str">
        <f>IFERROR(IF(F669&gt;=VLOOKUP(A669,[2]Materiality!$I$6:$J$12,2,TRUE),IFERROR(IF(VLOOKUP("*CR",F669,1,FALSE)&gt;=0,"",VLOOKUP("*CR",F669,1,FALSE)),F669),""),"")</f>
        <v/>
      </c>
      <c r="I669" s="1938">
        <f t="shared" si="10"/>
        <v>0</v>
      </c>
    </row>
    <row r="670" spans="1:9" x14ac:dyDescent="0.25">
      <c r="A670" t="s">
        <v>3467</v>
      </c>
      <c r="B670" s="1936"/>
      <c r="C670" t="s">
        <v>2596</v>
      </c>
      <c r="D670" s="1936"/>
      <c r="E670" s="1936"/>
      <c r="F670" s="1941">
        <v>0</v>
      </c>
      <c r="G670" s="1941">
        <v>0</v>
      </c>
      <c r="H670" s="1937" t="str">
        <f>IFERROR(IF(F670&gt;=VLOOKUP(A670,[2]Materiality!$I$6:$J$12,2,TRUE),IFERROR(IF(VLOOKUP("*CR",F670,1,FALSE)&gt;=0,"",VLOOKUP("*CR",F670,1,FALSE)),F670),""),"")</f>
        <v/>
      </c>
      <c r="I670" s="1938">
        <f t="shared" si="10"/>
        <v>0</v>
      </c>
    </row>
    <row r="671" spans="1:9" x14ac:dyDescent="0.25">
      <c r="A671" t="s">
        <v>3467</v>
      </c>
      <c r="B671" s="1936"/>
      <c r="C671" t="s">
        <v>2597</v>
      </c>
      <c r="D671" s="1936"/>
      <c r="E671" s="1936"/>
      <c r="F671" s="1941">
        <v>0</v>
      </c>
      <c r="G671" s="1941">
        <v>0</v>
      </c>
      <c r="H671" s="1937" t="str">
        <f>IFERROR(IF(F671&gt;=VLOOKUP(A671,[2]Materiality!$I$6:$J$12,2,TRUE),IFERROR(IF(VLOOKUP("*CR",F671,1,FALSE)&gt;=0,"",VLOOKUP("*CR",F671,1,FALSE)),F671),""),"")</f>
        <v/>
      </c>
      <c r="I671" s="1938">
        <f t="shared" si="10"/>
        <v>0</v>
      </c>
    </row>
    <row r="672" spans="1:9" x14ac:dyDescent="0.25">
      <c r="A672" t="s">
        <v>3467</v>
      </c>
      <c r="B672" s="1936"/>
      <c r="C672" t="s">
        <v>2598</v>
      </c>
      <c r="D672" s="1936"/>
      <c r="E672" s="1936"/>
      <c r="F672" s="1941">
        <v>0</v>
      </c>
      <c r="G672" s="1941">
        <v>0</v>
      </c>
      <c r="H672" s="1937" t="str">
        <f>IFERROR(IF(F672&gt;=VLOOKUP(A672,[2]Materiality!$I$6:$J$12,2,TRUE),IFERROR(IF(VLOOKUP("*CR",F672,1,FALSE)&gt;=0,"",VLOOKUP("*CR",F672,1,FALSE)),F672),""),"")</f>
        <v/>
      </c>
      <c r="I672" s="1938">
        <f t="shared" si="10"/>
        <v>0</v>
      </c>
    </row>
    <row r="673" spans="1:9" x14ac:dyDescent="0.25">
      <c r="A673" t="s">
        <v>3467</v>
      </c>
      <c r="B673" s="1936"/>
      <c r="C673" t="s">
        <v>2599</v>
      </c>
      <c r="D673" s="1936"/>
      <c r="E673" s="1936"/>
      <c r="F673" s="1941">
        <v>0</v>
      </c>
      <c r="G673" s="1941">
        <v>0</v>
      </c>
      <c r="H673" s="1937" t="str">
        <f>IFERROR(IF(F673&gt;=VLOOKUP(A673,[2]Materiality!$I$6:$J$12,2,TRUE),IFERROR(IF(VLOOKUP("*CR",F673,1,FALSE)&gt;=0,"",VLOOKUP("*CR",F673,1,FALSE)),F673),""),"")</f>
        <v/>
      </c>
      <c r="I673" s="1938">
        <f t="shared" si="10"/>
        <v>0</v>
      </c>
    </row>
    <row r="674" spans="1:9" x14ac:dyDescent="0.25">
      <c r="A674" t="s">
        <v>3709</v>
      </c>
      <c r="B674" s="1936"/>
      <c r="C674" t="s">
        <v>1162</v>
      </c>
      <c r="D674" s="1936"/>
      <c r="E674" s="1936"/>
      <c r="F674" s="1941">
        <v>0</v>
      </c>
      <c r="G674" s="1941">
        <v>0</v>
      </c>
      <c r="H674" s="1937" t="str">
        <f>IFERROR(IF(F674&gt;=VLOOKUP(A674,[2]Materiality!$I$6:$J$12,2,TRUE),IFERROR(IF(VLOOKUP("*CR",F674,1,FALSE)&gt;=0,"",VLOOKUP("*CR",F674,1,FALSE)),F674),""),"")</f>
        <v/>
      </c>
      <c r="I674" s="1938">
        <f t="shared" si="10"/>
        <v>0</v>
      </c>
    </row>
    <row r="675" spans="1:9" x14ac:dyDescent="0.25">
      <c r="A675" t="s">
        <v>3466</v>
      </c>
      <c r="B675" s="1936"/>
      <c r="C675" t="s">
        <v>2600</v>
      </c>
      <c r="D675" s="1936"/>
      <c r="E675" s="1936"/>
      <c r="F675" s="1941">
        <v>35.58</v>
      </c>
      <c r="G675" s="1941">
        <v>0</v>
      </c>
      <c r="H675" s="1937" t="str">
        <f>IFERROR(IF(F675&gt;=VLOOKUP(A675,[2]Materiality!$I$6:$J$12,2,TRUE),IFERROR(IF(VLOOKUP("*CR",F675,1,FALSE)&gt;=0,"",VLOOKUP("*CR",F675,1,FALSE)),F675),""),"")</f>
        <v/>
      </c>
      <c r="I675" s="1938">
        <f t="shared" si="10"/>
        <v>0</v>
      </c>
    </row>
    <row r="676" spans="1:9" x14ac:dyDescent="0.25">
      <c r="A676" t="s">
        <v>3466</v>
      </c>
      <c r="B676" s="1936"/>
      <c r="C676" t="s">
        <v>2601</v>
      </c>
      <c r="D676" s="1936"/>
      <c r="E676" s="1936"/>
      <c r="F676" s="1941">
        <v>0</v>
      </c>
      <c r="G676" s="1941">
        <v>0</v>
      </c>
      <c r="H676" s="1937" t="str">
        <f>IFERROR(IF(F676&gt;=VLOOKUP(A676,[2]Materiality!$I$6:$J$12,2,TRUE),IFERROR(IF(VLOOKUP("*CR",F676,1,FALSE)&gt;=0,"",VLOOKUP("*CR",F676,1,FALSE)),F676),""),"")</f>
        <v/>
      </c>
      <c r="I676" s="1938">
        <f t="shared" si="10"/>
        <v>0</v>
      </c>
    </row>
    <row r="677" spans="1:9" x14ac:dyDescent="0.25">
      <c r="A677" t="s">
        <v>3466</v>
      </c>
      <c r="B677" s="1936"/>
      <c r="C677" t="s">
        <v>2602</v>
      </c>
      <c r="D677" s="1936"/>
      <c r="E677" s="1936"/>
      <c r="F677" s="1941">
        <v>0</v>
      </c>
      <c r="G677" s="1941">
        <v>0</v>
      </c>
      <c r="H677" s="1937" t="str">
        <f>IFERROR(IF(F677&gt;=VLOOKUP(A677,[2]Materiality!$I$6:$J$12,2,TRUE),IFERROR(IF(VLOOKUP("*CR",F677,1,FALSE)&gt;=0,"",VLOOKUP("*CR",F677,1,FALSE)),F677),""),"")</f>
        <v/>
      </c>
      <c r="I677" s="1938">
        <f t="shared" si="10"/>
        <v>0</v>
      </c>
    </row>
    <row r="678" spans="1:9" x14ac:dyDescent="0.25">
      <c r="A678" t="s">
        <v>3466</v>
      </c>
      <c r="B678" s="1936"/>
      <c r="C678" t="s">
        <v>2603</v>
      </c>
      <c r="D678" s="1936"/>
      <c r="E678" s="1936"/>
      <c r="F678" s="1941">
        <v>0</v>
      </c>
      <c r="G678" s="1941">
        <v>0</v>
      </c>
      <c r="H678" s="1937" t="str">
        <f>IFERROR(IF(F678&gt;=VLOOKUP(A678,[2]Materiality!$I$6:$J$12,2,TRUE),IFERROR(IF(VLOOKUP("*CR",F678,1,FALSE)&gt;=0,"",VLOOKUP("*CR",F678,1,FALSE)),F678),""),"")</f>
        <v/>
      </c>
      <c r="I678" s="1938">
        <f t="shared" si="10"/>
        <v>0</v>
      </c>
    </row>
    <row r="679" spans="1:9" x14ac:dyDescent="0.25">
      <c r="A679" t="s">
        <v>3466</v>
      </c>
      <c r="B679" s="1936"/>
      <c r="C679" t="s">
        <v>2604</v>
      </c>
      <c r="D679" s="1936"/>
      <c r="E679" s="1936"/>
      <c r="F679" s="1941">
        <v>0</v>
      </c>
      <c r="G679" s="1941">
        <v>0</v>
      </c>
      <c r="H679" s="1937" t="str">
        <f>IFERROR(IF(F679&gt;=VLOOKUP(A679,[2]Materiality!$I$6:$J$12,2,TRUE),IFERROR(IF(VLOOKUP("*CR",F679,1,FALSE)&gt;=0,"",VLOOKUP("*CR",F679,1,FALSE)),F679),""),"")</f>
        <v/>
      </c>
      <c r="I679" s="1938">
        <f t="shared" si="10"/>
        <v>0</v>
      </c>
    </row>
    <row r="680" spans="1:9" x14ac:dyDescent="0.25">
      <c r="A680" t="s">
        <v>3710</v>
      </c>
      <c r="B680" s="1936"/>
      <c r="C680" t="s">
        <v>2300</v>
      </c>
      <c r="D680" s="1936"/>
      <c r="E680" s="1936"/>
      <c r="F680" s="1941">
        <v>35.58</v>
      </c>
      <c r="G680" s="1941">
        <v>0</v>
      </c>
      <c r="H680" s="1937" t="str">
        <f>IFERROR(IF(F680&gt;=VLOOKUP(A680,[2]Materiality!$I$6:$J$12,2,TRUE),IFERROR(IF(VLOOKUP("*CR",F680,1,FALSE)&gt;=0,"",VLOOKUP("*CR",F680,1,FALSE)),F680),""),"")</f>
        <v/>
      </c>
      <c r="I680" s="1938">
        <f t="shared" si="10"/>
        <v>0</v>
      </c>
    </row>
    <row r="681" spans="1:9" x14ac:dyDescent="0.25">
      <c r="A681" t="s">
        <v>3739</v>
      </c>
      <c r="B681" s="1936"/>
      <c r="C681" t="s">
        <v>2605</v>
      </c>
      <c r="D681" s="1936"/>
      <c r="E681" s="1936"/>
      <c r="F681" s="1941">
        <v>35.58</v>
      </c>
      <c r="G681" s="1941">
        <v>0</v>
      </c>
      <c r="H681" s="1937" t="str">
        <f>IFERROR(IF(F681&gt;=VLOOKUP(A681,[2]Materiality!$I$6:$J$12,2,TRUE),IFERROR(IF(VLOOKUP("*CR",F681,1,FALSE)&gt;=0,"",VLOOKUP("*CR",F681,1,FALSE)),F681),""),"")</f>
        <v/>
      </c>
      <c r="I681" s="1938">
        <f t="shared" si="10"/>
        <v>0</v>
      </c>
    </row>
    <row r="682" spans="1:9" x14ac:dyDescent="0.25">
      <c r="A682" t="s">
        <v>3465</v>
      </c>
      <c r="B682" s="1936"/>
      <c r="C682" t="s">
        <v>2606</v>
      </c>
      <c r="D682" s="1936"/>
      <c r="E682" s="1936"/>
      <c r="F682" s="1941">
        <v>65000</v>
      </c>
      <c r="G682" s="1941">
        <v>65000</v>
      </c>
      <c r="H682" s="1937" t="str">
        <f>IFERROR(IF(F682&gt;=VLOOKUP(A682,[2]Materiality!$I$6:$J$12,2,TRUE),IFERROR(IF(VLOOKUP("*CR",F682,1,FALSE)&gt;=0,"",VLOOKUP("*CR",F682,1,FALSE)),F682),""),"")</f>
        <v/>
      </c>
      <c r="I682" s="1938">
        <f t="shared" si="10"/>
        <v>0</v>
      </c>
    </row>
    <row r="683" spans="1:9" x14ac:dyDescent="0.25">
      <c r="A683" t="s">
        <v>3464</v>
      </c>
      <c r="B683" s="1936"/>
      <c r="C683" t="s">
        <v>2212</v>
      </c>
      <c r="D683" s="1936"/>
      <c r="E683" s="1936"/>
      <c r="F683" s="1941">
        <v>0</v>
      </c>
      <c r="G683" s="1941">
        <v>0</v>
      </c>
      <c r="H683" s="1937" t="str">
        <f>IFERROR(IF(F683&gt;=VLOOKUP(A683,[2]Materiality!$I$6:$J$12,2,TRUE),IFERROR(IF(VLOOKUP("*CR",F683,1,FALSE)&gt;=0,"",VLOOKUP("*CR",F683,1,FALSE)),F683),""),"")</f>
        <v/>
      </c>
      <c r="I683" s="1938">
        <f t="shared" si="10"/>
        <v>0</v>
      </c>
    </row>
    <row r="684" spans="1:9" x14ac:dyDescent="0.25">
      <c r="A684" t="s">
        <v>3463</v>
      </c>
      <c r="B684" s="1936"/>
      <c r="C684" t="s">
        <v>2607</v>
      </c>
      <c r="D684" s="1936"/>
      <c r="E684" s="1936"/>
      <c r="F684" s="1941">
        <v>85868.43</v>
      </c>
      <c r="G684" s="1941">
        <v>85780</v>
      </c>
      <c r="H684" s="1937" t="str">
        <f>IFERROR(IF(F684&gt;=VLOOKUP(A684,[2]Materiality!$I$6:$J$12,2,TRUE),IFERROR(IF(VLOOKUP("*CR",F684,1,FALSE)&gt;=0,"",VLOOKUP("*CR",F684,1,FALSE)),F684),""),"")</f>
        <v/>
      </c>
      <c r="I684" s="1938">
        <f t="shared" si="10"/>
        <v>0</v>
      </c>
    </row>
    <row r="685" spans="1:9" x14ac:dyDescent="0.25">
      <c r="A685" t="s">
        <v>3462</v>
      </c>
      <c r="B685" s="1936"/>
      <c r="C685" t="s">
        <v>2173</v>
      </c>
      <c r="D685" s="1936"/>
      <c r="E685" s="1936"/>
      <c r="F685" s="1941">
        <v>0</v>
      </c>
      <c r="G685" s="1941">
        <v>0</v>
      </c>
      <c r="H685" s="1937" t="str">
        <f>IFERROR(IF(F685&gt;=VLOOKUP(A685,[2]Materiality!$I$6:$J$12,2,TRUE),IFERROR(IF(VLOOKUP("*CR",F685,1,FALSE)&gt;=0,"",VLOOKUP("*CR",F685,1,FALSE)),F685),""),"")</f>
        <v/>
      </c>
      <c r="I685" s="1938">
        <f t="shared" si="10"/>
        <v>0</v>
      </c>
    </row>
    <row r="686" spans="1:9" x14ac:dyDescent="0.25">
      <c r="A686" t="s">
        <v>3461</v>
      </c>
      <c r="B686" s="1936"/>
      <c r="C686" t="s">
        <v>2608</v>
      </c>
      <c r="D686" s="1936"/>
      <c r="E686" s="1936"/>
      <c r="F686" s="1941">
        <v>2450</v>
      </c>
      <c r="G686" s="1941">
        <v>5000</v>
      </c>
      <c r="H686" s="1937" t="str">
        <f>IFERROR(IF(F686&gt;=VLOOKUP(A686,[2]Materiality!$I$6:$J$12,2,TRUE),IFERROR(IF(VLOOKUP("*CR",F686,1,FALSE)&gt;=0,"",VLOOKUP("*CR",F686,1,FALSE)),F686),""),"")</f>
        <v/>
      </c>
      <c r="I686" s="1938">
        <f t="shared" si="10"/>
        <v>0</v>
      </c>
    </row>
    <row r="687" spans="1:9" x14ac:dyDescent="0.25">
      <c r="A687" t="s">
        <v>3460</v>
      </c>
      <c r="B687" s="1936"/>
      <c r="C687" t="s">
        <v>2212</v>
      </c>
      <c r="D687" s="1936"/>
      <c r="E687" s="1936"/>
      <c r="F687" s="1941">
        <v>0</v>
      </c>
      <c r="G687" s="1941">
        <v>0</v>
      </c>
      <c r="H687" s="1937" t="str">
        <f>IFERROR(IF(F687&gt;=VLOOKUP(A687,[2]Materiality!$I$6:$J$12,2,TRUE),IFERROR(IF(VLOOKUP("*CR",F687,1,FALSE)&gt;=0,"",VLOOKUP("*CR",F687,1,FALSE)),F687),""),"")</f>
        <v/>
      </c>
      <c r="I687" s="1938">
        <f t="shared" si="10"/>
        <v>0</v>
      </c>
    </row>
    <row r="688" spans="1:9" x14ac:dyDescent="0.25">
      <c r="A688" t="s">
        <v>3460</v>
      </c>
      <c r="B688" s="1936"/>
      <c r="C688" t="s">
        <v>2609</v>
      </c>
      <c r="D688" s="1936"/>
      <c r="E688" s="1936"/>
      <c r="F688" s="1941">
        <v>0</v>
      </c>
      <c r="G688" s="1941">
        <v>0</v>
      </c>
      <c r="H688" s="1937" t="str">
        <f>IFERROR(IF(F688&gt;=VLOOKUP(A688,[2]Materiality!$I$6:$J$12,2,TRUE),IFERROR(IF(VLOOKUP("*CR",F688,1,FALSE)&gt;=0,"",VLOOKUP("*CR",F688,1,FALSE)),F688),""),"")</f>
        <v/>
      </c>
      <c r="I688" s="1938">
        <f t="shared" si="10"/>
        <v>0</v>
      </c>
    </row>
    <row r="689" spans="1:9" x14ac:dyDescent="0.25">
      <c r="A689" t="s">
        <v>3460</v>
      </c>
      <c r="B689" s="1936"/>
      <c r="C689" t="s">
        <v>2212</v>
      </c>
      <c r="D689" s="1936"/>
      <c r="E689" s="1936"/>
      <c r="F689" s="1941">
        <v>0</v>
      </c>
      <c r="G689" s="1941">
        <v>0</v>
      </c>
      <c r="H689" s="1937" t="str">
        <f>IFERROR(IF(F689&gt;=VLOOKUP(A689,[2]Materiality!$I$6:$J$12,2,TRUE),IFERROR(IF(VLOOKUP("*CR",F689,1,FALSE)&gt;=0,"",VLOOKUP("*CR",F689,1,FALSE)),F689),""),"")</f>
        <v/>
      </c>
      <c r="I689" s="1938">
        <f t="shared" si="10"/>
        <v>0</v>
      </c>
    </row>
    <row r="690" spans="1:9" x14ac:dyDescent="0.25">
      <c r="A690" t="s">
        <v>3460</v>
      </c>
      <c r="B690" s="1936"/>
      <c r="C690" t="s">
        <v>2212</v>
      </c>
      <c r="D690" s="1936"/>
      <c r="E690" s="1936"/>
      <c r="F690" s="1941">
        <v>0</v>
      </c>
      <c r="G690" s="1941">
        <v>0</v>
      </c>
      <c r="H690" s="1937" t="str">
        <f>IFERROR(IF(F690&gt;=VLOOKUP(A690,[2]Materiality!$I$6:$J$12,2,TRUE),IFERROR(IF(VLOOKUP("*CR",F690,1,FALSE)&gt;=0,"",VLOOKUP("*CR",F690,1,FALSE)),F690),""),"")</f>
        <v/>
      </c>
      <c r="I690" s="1938">
        <f t="shared" si="10"/>
        <v>0</v>
      </c>
    </row>
    <row r="691" spans="1:9" x14ac:dyDescent="0.25">
      <c r="A691" t="s">
        <v>3460</v>
      </c>
      <c r="B691" s="1936"/>
      <c r="C691" t="s">
        <v>2212</v>
      </c>
      <c r="D691" s="1936"/>
      <c r="E691" s="1936"/>
      <c r="F691" s="1941">
        <v>0</v>
      </c>
      <c r="G691" s="1941">
        <v>0</v>
      </c>
      <c r="H691" s="1937" t="str">
        <f>IFERROR(IF(F691&gt;=VLOOKUP(A691,[2]Materiality!$I$6:$J$12,2,TRUE),IFERROR(IF(VLOOKUP("*CR",F691,1,FALSE)&gt;=0,"",VLOOKUP("*CR",F691,1,FALSE)),F691),""),"")</f>
        <v/>
      </c>
      <c r="I691" s="1938">
        <f t="shared" si="10"/>
        <v>0</v>
      </c>
    </row>
    <row r="692" spans="1:9" x14ac:dyDescent="0.25">
      <c r="A692" t="s">
        <v>3638</v>
      </c>
      <c r="B692" s="1936"/>
      <c r="C692" t="s">
        <v>203</v>
      </c>
      <c r="D692" s="1936"/>
      <c r="E692" s="1936"/>
      <c r="F692" s="1941">
        <v>153318.43</v>
      </c>
      <c r="G692" s="1941">
        <v>155780</v>
      </c>
      <c r="H692" s="1937">
        <f>IFERROR(IF(F692&gt;=VLOOKUP(A692,[2]Materiality!$I$6:$J$12,2,TRUE),IFERROR(IF(VLOOKUP("*CR",F692,1,FALSE)&gt;=0,"",VLOOKUP("*CR",F692,1,FALSE)),F692),""),"")</f>
        <v>153318.43</v>
      </c>
      <c r="I692" s="1938">
        <f t="shared" si="10"/>
        <v>0</v>
      </c>
    </row>
    <row r="693" spans="1:9" x14ac:dyDescent="0.25">
      <c r="A693" t="s">
        <v>3459</v>
      </c>
      <c r="B693" s="1936"/>
      <c r="C693" t="s">
        <v>2610</v>
      </c>
      <c r="D693" s="1936"/>
      <c r="E693" s="1936"/>
      <c r="F693" s="1941">
        <v>39882.839999999997</v>
      </c>
      <c r="G693" s="1941">
        <v>39883</v>
      </c>
      <c r="H693" s="1937" t="str">
        <f>IFERROR(IF(F693&gt;=VLOOKUP(A693,[2]Materiality!$I$6:$J$12,2,TRUE),IFERROR(IF(VLOOKUP("*CR",F693,1,FALSE)&gt;=0,"",VLOOKUP("*CR",F693,1,FALSE)),F693),""),"")</f>
        <v/>
      </c>
      <c r="I693" s="1938">
        <f t="shared" si="10"/>
        <v>0</v>
      </c>
    </row>
    <row r="694" spans="1:9" x14ac:dyDescent="0.25">
      <c r="A694" t="s">
        <v>3458</v>
      </c>
      <c r="B694" s="1936"/>
      <c r="C694" t="s">
        <v>2611</v>
      </c>
      <c r="D694" s="1936"/>
      <c r="E694" s="1936"/>
      <c r="F694" s="1941">
        <v>454.32</v>
      </c>
      <c r="G694" s="1941">
        <v>454</v>
      </c>
      <c r="H694" s="1937" t="str">
        <f>IFERROR(IF(F694&gt;=VLOOKUP(A694,[2]Materiality!$I$6:$J$12,2,TRUE),IFERROR(IF(VLOOKUP("*CR",F694,1,FALSE)&gt;=0,"",VLOOKUP("*CR",F694,1,FALSE)),F694),""),"")</f>
        <v/>
      </c>
      <c r="I694" s="1938">
        <f t="shared" si="10"/>
        <v>0</v>
      </c>
    </row>
    <row r="695" spans="1:9" x14ac:dyDescent="0.25">
      <c r="A695" t="s">
        <v>3708</v>
      </c>
      <c r="B695" s="1936"/>
      <c r="C695" t="s">
        <v>51</v>
      </c>
      <c r="D695" s="1936"/>
      <c r="E695" s="1936"/>
      <c r="F695" s="1941">
        <v>40337.160000000003</v>
      </c>
      <c r="G695" s="1941">
        <v>40337</v>
      </c>
      <c r="H695" s="1937">
        <f>IFERROR(IF(F695&gt;=VLOOKUP(A695,[2]Materiality!$I$6:$J$12,2,TRUE),IFERROR(IF(VLOOKUP("*CR",F695,1,FALSE)&gt;=0,"",VLOOKUP("*CR",F695,1,FALSE)),F695),""),"")</f>
        <v>40337.160000000003</v>
      </c>
      <c r="I695" s="1938">
        <f t="shared" si="10"/>
        <v>0</v>
      </c>
    </row>
    <row r="696" spans="1:9" x14ac:dyDescent="0.25">
      <c r="A696" t="s">
        <v>3457</v>
      </c>
      <c r="B696" s="1936"/>
      <c r="C696" t="s">
        <v>2612</v>
      </c>
      <c r="D696" s="1936"/>
      <c r="E696" s="1936"/>
      <c r="F696" s="1941">
        <v>64434.83</v>
      </c>
      <c r="G696" s="1941">
        <v>66465</v>
      </c>
      <c r="H696" s="1937" t="str">
        <f>IFERROR(IF(F696&gt;=VLOOKUP(A696,[2]Materiality!$I$6:$J$12,2,TRUE),IFERROR(IF(VLOOKUP("*CR",F696,1,FALSE)&gt;=0,"",VLOOKUP("*CR",F696,1,FALSE)),F696),""),"")</f>
        <v/>
      </c>
      <c r="I696" s="1938">
        <f t="shared" si="10"/>
        <v>0</v>
      </c>
    </row>
    <row r="697" spans="1:9" x14ac:dyDescent="0.25">
      <c r="A697" t="s">
        <v>3456</v>
      </c>
      <c r="B697" s="1936"/>
      <c r="C697" t="s">
        <v>2613</v>
      </c>
      <c r="D697" s="1936"/>
      <c r="E697" s="1936"/>
      <c r="F697" s="1941">
        <v>12000</v>
      </c>
      <c r="G697" s="1941">
        <v>12000</v>
      </c>
      <c r="H697" s="1937" t="str">
        <f>IFERROR(IF(F697&gt;=VLOOKUP(A697,[2]Materiality!$I$6:$J$12,2,TRUE),IFERROR(IF(VLOOKUP("*CR",F697,1,FALSE)&gt;=0,"",VLOOKUP("*CR",F697,1,FALSE)),F697),""),"")</f>
        <v/>
      </c>
      <c r="I697" s="1938">
        <f t="shared" si="10"/>
        <v>0</v>
      </c>
    </row>
    <row r="698" spans="1:9" x14ac:dyDescent="0.25">
      <c r="A698" t="s">
        <v>3455</v>
      </c>
      <c r="B698" s="1936"/>
      <c r="C698" t="s">
        <v>2614</v>
      </c>
      <c r="D698" s="1936"/>
      <c r="E698" s="1936"/>
      <c r="F698" s="1941">
        <v>808.25</v>
      </c>
      <c r="G698" s="1941">
        <v>10000</v>
      </c>
      <c r="H698" s="1937" t="str">
        <f>IFERROR(IF(F698&gt;=VLOOKUP(A698,[2]Materiality!$I$6:$J$12,2,TRUE),IFERROR(IF(VLOOKUP("*CR",F698,1,FALSE)&gt;=0,"",VLOOKUP("*CR",F698,1,FALSE)),F698),""),"")</f>
        <v/>
      </c>
      <c r="I698" s="1938">
        <f t="shared" si="10"/>
        <v>0</v>
      </c>
    </row>
    <row r="699" spans="1:9" x14ac:dyDescent="0.25">
      <c r="A699" t="s">
        <v>3454</v>
      </c>
      <c r="B699" s="1936"/>
      <c r="C699" t="s">
        <v>2615</v>
      </c>
      <c r="D699" s="1936"/>
      <c r="E699" s="1936"/>
      <c r="F699" s="1941">
        <v>39000</v>
      </c>
      <c r="G699" s="1941">
        <v>39200</v>
      </c>
      <c r="H699" s="1937" t="str">
        <f>IFERROR(IF(F699&gt;=VLOOKUP(A699,[2]Materiality!$I$6:$J$12,2,TRUE),IFERROR(IF(VLOOKUP("*CR",F699,1,FALSE)&gt;=0,"",VLOOKUP("*CR",F699,1,FALSE)),F699),""),"")</f>
        <v/>
      </c>
      <c r="I699" s="1938">
        <f t="shared" si="10"/>
        <v>0</v>
      </c>
    </row>
    <row r="700" spans="1:9" x14ac:dyDescent="0.25">
      <c r="A700" t="s">
        <v>3453</v>
      </c>
      <c r="B700" s="1936"/>
      <c r="C700" t="s">
        <v>2616</v>
      </c>
      <c r="D700" s="1936"/>
      <c r="E700" s="1936"/>
      <c r="F700" s="1941">
        <v>1557.84</v>
      </c>
      <c r="G700" s="1941">
        <v>2280</v>
      </c>
      <c r="H700" s="1937" t="str">
        <f>IFERROR(IF(F700&gt;=VLOOKUP(A700,[2]Materiality!$I$6:$J$12,2,TRUE),IFERROR(IF(VLOOKUP("*CR",F700,1,FALSE)&gt;=0,"",VLOOKUP("*CR",F700,1,FALSE)),F700),""),"")</f>
        <v/>
      </c>
      <c r="I700" s="1938">
        <f t="shared" si="10"/>
        <v>0</v>
      </c>
    </row>
    <row r="701" spans="1:9" x14ac:dyDescent="0.25">
      <c r="A701" t="s">
        <v>3452</v>
      </c>
      <c r="B701" s="1936"/>
      <c r="C701" t="s">
        <v>2617</v>
      </c>
      <c r="D701" s="1936"/>
      <c r="E701" s="1936"/>
      <c r="F701" s="1941">
        <v>111659.25</v>
      </c>
      <c r="G701" s="1941">
        <v>98000</v>
      </c>
      <c r="H701" s="1937" t="str">
        <f>IFERROR(IF(F701&gt;=VLOOKUP(A701,[2]Materiality!$I$6:$J$12,2,TRUE),IFERROR(IF(VLOOKUP("*CR",F701,1,FALSE)&gt;=0,"",VLOOKUP("*CR",F701,1,FALSE)),F701),""),"")</f>
        <v/>
      </c>
      <c r="I701" s="1938">
        <f t="shared" si="10"/>
        <v>0</v>
      </c>
    </row>
    <row r="702" spans="1:9" x14ac:dyDescent="0.25">
      <c r="A702" t="s">
        <v>3451</v>
      </c>
      <c r="B702" s="1936"/>
      <c r="C702" t="s">
        <v>2618</v>
      </c>
      <c r="D702" s="1936"/>
      <c r="E702" s="1936"/>
      <c r="F702" s="1941">
        <v>24832.32</v>
      </c>
      <c r="G702" s="1941">
        <v>25000</v>
      </c>
      <c r="H702" s="1937" t="str">
        <f>IFERROR(IF(F702&gt;=VLOOKUP(A702,[2]Materiality!$I$6:$J$12,2,TRUE),IFERROR(IF(VLOOKUP("*CR",F702,1,FALSE)&gt;=0,"",VLOOKUP("*CR",F702,1,FALSE)),F702),""),"")</f>
        <v/>
      </c>
      <c r="I702" s="1938">
        <f t="shared" si="10"/>
        <v>0</v>
      </c>
    </row>
    <row r="703" spans="1:9" x14ac:dyDescent="0.25">
      <c r="A703" t="s">
        <v>3450</v>
      </c>
      <c r="B703" s="1936"/>
      <c r="C703" t="s">
        <v>2619</v>
      </c>
      <c r="D703" s="1936"/>
      <c r="E703" s="1936"/>
      <c r="F703" s="1941">
        <v>5987.28</v>
      </c>
      <c r="G703" s="1941">
        <v>10000</v>
      </c>
      <c r="H703" s="1937" t="str">
        <f>IFERROR(IF(F703&gt;=VLOOKUP(A703,[2]Materiality!$I$6:$J$12,2,TRUE),IFERROR(IF(VLOOKUP("*CR",F703,1,FALSE)&gt;=0,"",VLOOKUP("*CR",F703,1,FALSE)),F703),""),"")</f>
        <v/>
      </c>
      <c r="I703" s="1938">
        <f t="shared" si="10"/>
        <v>0</v>
      </c>
    </row>
    <row r="704" spans="1:9" x14ac:dyDescent="0.25">
      <c r="A704" t="s">
        <v>3709</v>
      </c>
      <c r="B704" s="1936"/>
      <c r="C704" t="s">
        <v>1162</v>
      </c>
      <c r="D704" s="1936"/>
      <c r="E704" s="1936"/>
      <c r="F704" s="1941">
        <v>260279.77</v>
      </c>
      <c r="G704" s="1941">
        <v>262945</v>
      </c>
      <c r="H704" s="1937">
        <f>IFERROR(IF(F704&gt;=VLOOKUP(A704,[2]Materiality!$I$6:$J$12,2,TRUE),IFERROR(IF(VLOOKUP("*CR",F704,1,FALSE)&gt;=0,"",VLOOKUP("*CR",F704,1,FALSE)),F704),""),"")</f>
        <v>260279.77</v>
      </c>
      <c r="I704" s="1938">
        <f t="shared" si="10"/>
        <v>0</v>
      </c>
    </row>
    <row r="705" spans="1:9" x14ac:dyDescent="0.25">
      <c r="A705" t="s">
        <v>3449</v>
      </c>
      <c r="B705" s="1936"/>
      <c r="C705" t="s">
        <v>2620</v>
      </c>
      <c r="D705" s="1936"/>
      <c r="E705" s="1936"/>
      <c r="F705" s="1941">
        <v>2668.64</v>
      </c>
      <c r="G705" s="1941">
        <v>6000</v>
      </c>
      <c r="H705" s="1937" t="str">
        <f>IFERROR(IF(F705&gt;=VLOOKUP(A705,[2]Materiality!$I$6:$J$12,2,TRUE),IFERROR(IF(VLOOKUP("*CR",F705,1,FALSE)&gt;=0,"",VLOOKUP("*CR",F705,1,FALSE)),F705),""),"")</f>
        <v/>
      </c>
      <c r="I705" s="1938">
        <f t="shared" si="10"/>
        <v>0</v>
      </c>
    </row>
    <row r="706" spans="1:9" x14ac:dyDescent="0.25">
      <c r="A706" t="s">
        <v>3448</v>
      </c>
      <c r="B706" s="1936"/>
      <c r="C706" t="s">
        <v>2621</v>
      </c>
      <c r="D706" s="1936"/>
      <c r="E706" s="1936"/>
      <c r="F706" s="1941">
        <v>12471.2</v>
      </c>
      <c r="G706" s="1941">
        <v>22500</v>
      </c>
      <c r="H706" s="1937" t="str">
        <f>IFERROR(IF(F706&gt;=VLOOKUP(A706,[2]Materiality!$I$6:$J$12,2,TRUE),IFERROR(IF(VLOOKUP("*CR",F706,1,FALSE)&gt;=0,"",VLOOKUP("*CR",F706,1,FALSE)),F706),""),"")</f>
        <v/>
      </c>
      <c r="I706" s="1938">
        <f t="shared" si="10"/>
        <v>0</v>
      </c>
    </row>
    <row r="707" spans="1:9" x14ac:dyDescent="0.25">
      <c r="A707" t="s">
        <v>3448</v>
      </c>
      <c r="B707" s="1936"/>
      <c r="C707" t="s">
        <v>2622</v>
      </c>
      <c r="D707" s="1936"/>
      <c r="E707" s="1936"/>
      <c r="F707" s="1941">
        <v>152.66</v>
      </c>
      <c r="G707" s="1941">
        <v>2500</v>
      </c>
      <c r="H707" s="1937" t="str">
        <f>IFERROR(IF(F707&gt;=VLOOKUP(A707,[2]Materiality!$I$6:$J$12,2,TRUE),IFERROR(IF(VLOOKUP("*CR",F707,1,FALSE)&gt;=0,"",VLOOKUP("*CR",F707,1,FALSE)),F707),""),"")</f>
        <v/>
      </c>
      <c r="I707" s="1938">
        <f t="shared" si="10"/>
        <v>0</v>
      </c>
    </row>
    <row r="708" spans="1:9" x14ac:dyDescent="0.25">
      <c r="A708" t="s">
        <v>3710</v>
      </c>
      <c r="B708" s="1936"/>
      <c r="C708" t="s">
        <v>2300</v>
      </c>
      <c r="D708" s="1936"/>
      <c r="E708" s="1936"/>
      <c r="F708" s="1941">
        <v>15292.5</v>
      </c>
      <c r="G708" s="1941">
        <v>31000</v>
      </c>
      <c r="H708" s="1937" t="str">
        <f>IFERROR(IF(F708&gt;=VLOOKUP(A708,[2]Materiality!$I$6:$J$12,2,TRUE),IFERROR(IF(VLOOKUP("*CR",F708,1,FALSE)&gt;=0,"",VLOOKUP("*CR",F708,1,FALSE)),F708),""),"")</f>
        <v/>
      </c>
      <c r="I708" s="1938">
        <f t="shared" ref="I708:I771" si="11">IF(F708&lt;0,F708,0)</f>
        <v>0</v>
      </c>
    </row>
    <row r="709" spans="1:9" x14ac:dyDescent="0.25">
      <c r="A709" t="s">
        <v>3447</v>
      </c>
      <c r="B709" s="1936"/>
      <c r="C709" t="s">
        <v>2623</v>
      </c>
      <c r="D709" s="1936"/>
      <c r="E709" s="1936"/>
      <c r="F709" s="1941">
        <f>264587.14-137982.37</f>
        <v>126604.77000000002</v>
      </c>
      <c r="G709" s="1941">
        <v>243000</v>
      </c>
      <c r="H709" s="1937">
        <f>IFERROR(IF(F709&gt;=VLOOKUP(A709,[2]Materiality!$I$6:$J$12,2,TRUE),IFERROR(IF(VLOOKUP("*CR",F709,1,FALSE)&gt;=0,"",VLOOKUP("*CR",F709,1,FALSE)),F709),""),"")</f>
        <v>126604.77000000002</v>
      </c>
      <c r="I709" s="1938">
        <f t="shared" si="11"/>
        <v>0</v>
      </c>
    </row>
    <row r="710" spans="1:9" x14ac:dyDescent="0.25">
      <c r="A710" t="s">
        <v>3446</v>
      </c>
      <c r="B710" s="1936"/>
      <c r="C710" t="s">
        <v>2624</v>
      </c>
      <c r="D710" s="1936"/>
      <c r="E710" s="1936"/>
      <c r="F710" s="1941">
        <v>12035.45</v>
      </c>
      <c r="G710" s="1941">
        <v>12500</v>
      </c>
      <c r="H710" s="1937" t="str">
        <f>IFERROR(IF(F710&gt;=VLOOKUP(A710,[2]Materiality!$I$6:$J$12,2,TRUE),IFERROR(IF(VLOOKUP("*CR",F710,1,FALSE)&gt;=0,"",VLOOKUP("*CR",F710,1,FALSE)),F710),""),"")</f>
        <v/>
      </c>
      <c r="I710" s="1938">
        <f t="shared" si="11"/>
        <v>0</v>
      </c>
    </row>
    <row r="711" spans="1:9" x14ac:dyDescent="0.25">
      <c r="A711" t="s">
        <v>3711</v>
      </c>
      <c r="B711" s="1936"/>
      <c r="C711" t="s">
        <v>1157</v>
      </c>
      <c r="D711" s="1936"/>
      <c r="E711" s="1936"/>
      <c r="F711" s="1941">
        <v>276622.59000000003</v>
      </c>
      <c r="G711" s="1941">
        <v>255500</v>
      </c>
      <c r="H711" s="1937">
        <f>IFERROR(IF(F711&gt;=VLOOKUP(A711,[2]Materiality!$I$6:$J$12,2,TRUE),IFERROR(IF(VLOOKUP("*CR",F711,1,FALSE)&gt;=0,"",VLOOKUP("*CR",F711,1,FALSE)),F711),""),"")</f>
        <v>276622.59000000003</v>
      </c>
      <c r="I711" s="1938">
        <f t="shared" si="11"/>
        <v>0</v>
      </c>
    </row>
    <row r="712" spans="1:9" x14ac:dyDescent="0.25">
      <c r="A712" t="s">
        <v>3740</v>
      </c>
      <c r="B712" s="1936"/>
      <c r="C712" t="s">
        <v>2625</v>
      </c>
      <c r="D712" s="1936"/>
      <c r="E712" s="1936"/>
      <c r="F712" s="1941">
        <v>745850.45</v>
      </c>
      <c r="G712" s="1941">
        <v>745562</v>
      </c>
      <c r="H712" s="1937">
        <f>IFERROR(IF(F712&gt;=VLOOKUP(A712,[2]Materiality!$I$6:$J$12,2,TRUE),IFERROR(IF(VLOOKUP("*CR",F712,1,FALSE)&gt;=0,"",VLOOKUP("*CR",F712,1,FALSE)),F712),""),"")</f>
        <v>745850.45</v>
      </c>
      <c r="I712" s="1938">
        <f t="shared" si="11"/>
        <v>0</v>
      </c>
    </row>
    <row r="713" spans="1:9" x14ac:dyDescent="0.25">
      <c r="A713" t="s">
        <v>3445</v>
      </c>
      <c r="B713" s="1936"/>
      <c r="C713" t="s">
        <v>2626</v>
      </c>
      <c r="D713" s="1936"/>
      <c r="E713" s="1936"/>
      <c r="F713" s="1941">
        <v>1620</v>
      </c>
      <c r="G713" s="1941">
        <v>1620</v>
      </c>
      <c r="H713" s="1937" t="str">
        <f>IFERROR(IF(F713&gt;=VLOOKUP(A713,[2]Materiality!$I$6:$J$12,2,TRUE),IFERROR(IF(VLOOKUP("*CR",F713,1,FALSE)&gt;=0,"",VLOOKUP("*CR",F713,1,FALSE)),F713),""),"")</f>
        <v/>
      </c>
      <c r="I713" s="1938">
        <f t="shared" si="11"/>
        <v>0</v>
      </c>
    </row>
    <row r="714" spans="1:9" x14ac:dyDescent="0.25">
      <c r="A714" t="s">
        <v>3638</v>
      </c>
      <c r="B714" s="1936"/>
      <c r="C714" t="s">
        <v>203</v>
      </c>
      <c r="D714" s="1936"/>
      <c r="E714" s="1936"/>
      <c r="F714" s="1941">
        <v>1620</v>
      </c>
      <c r="G714" s="1941">
        <v>1620</v>
      </c>
      <c r="H714" s="1937" t="str">
        <f>IFERROR(IF(F714&gt;=VLOOKUP(A714,[2]Materiality!$I$6:$J$12,2,TRUE),IFERROR(IF(VLOOKUP("*CR",F714,1,FALSE)&gt;=0,"",VLOOKUP("*CR",F714,1,FALSE)),F714),""),"")</f>
        <v/>
      </c>
      <c r="I714" s="1938">
        <f t="shared" si="11"/>
        <v>0</v>
      </c>
    </row>
    <row r="715" spans="1:9" x14ac:dyDescent="0.25">
      <c r="A715" t="s">
        <v>3444</v>
      </c>
      <c r="B715" s="1936"/>
      <c r="C715" t="s">
        <v>2627</v>
      </c>
      <c r="D715" s="1936"/>
      <c r="E715" s="1936"/>
      <c r="F715" s="1941">
        <v>0</v>
      </c>
      <c r="G715" s="1941">
        <v>0</v>
      </c>
      <c r="H715" s="1937" t="str">
        <f>IFERROR(IF(F715&gt;=VLOOKUP(A715,[2]Materiality!$I$6:$J$12,2,TRUE),IFERROR(IF(VLOOKUP("*CR",F715,1,FALSE)&gt;=0,"",VLOOKUP("*CR",F715,1,FALSE)),F715),""),"")</f>
        <v/>
      </c>
      <c r="I715" s="1938">
        <f t="shared" si="11"/>
        <v>0</v>
      </c>
    </row>
    <row r="716" spans="1:9" x14ac:dyDescent="0.25">
      <c r="A716" t="s">
        <v>3443</v>
      </c>
      <c r="B716" s="1936"/>
      <c r="C716" t="s">
        <v>2628</v>
      </c>
      <c r="D716" s="1936"/>
      <c r="E716" s="1936"/>
      <c r="F716" s="1941">
        <v>12400</v>
      </c>
      <c r="G716" s="1941">
        <v>12400</v>
      </c>
      <c r="H716" s="1937" t="str">
        <f>IFERROR(IF(F716&gt;=VLOOKUP(A716,[2]Materiality!$I$6:$J$12,2,TRUE),IFERROR(IF(VLOOKUP("*CR",F716,1,FALSE)&gt;=0,"",VLOOKUP("*CR",F716,1,FALSE)),F716),""),"")</f>
        <v/>
      </c>
      <c r="I716" s="1938">
        <f t="shared" si="11"/>
        <v>0</v>
      </c>
    </row>
    <row r="717" spans="1:9" x14ac:dyDescent="0.25">
      <c r="A717" t="s">
        <v>3442</v>
      </c>
      <c r="B717" s="1936"/>
      <c r="C717" t="s">
        <v>2629</v>
      </c>
      <c r="D717" s="1936"/>
      <c r="E717" s="1936"/>
      <c r="F717" s="1941">
        <v>25232.42</v>
      </c>
      <c r="G717" s="1941">
        <v>35000</v>
      </c>
      <c r="H717" s="1937" t="str">
        <f>IFERROR(IF(F717&gt;=VLOOKUP(A717,[2]Materiality!$I$6:$J$12,2,TRUE),IFERROR(IF(VLOOKUP("*CR",F717,1,FALSE)&gt;=0,"",VLOOKUP("*CR",F717,1,FALSE)),F717),""),"")</f>
        <v/>
      </c>
      <c r="I717" s="1938">
        <f t="shared" si="11"/>
        <v>0</v>
      </c>
    </row>
    <row r="718" spans="1:9" x14ac:dyDescent="0.25">
      <c r="A718" t="s">
        <v>3441</v>
      </c>
      <c r="B718" s="1936"/>
      <c r="C718" t="s">
        <v>2630</v>
      </c>
      <c r="D718" s="1936"/>
      <c r="E718" s="1936"/>
      <c r="F718" s="1941">
        <v>5958.49</v>
      </c>
      <c r="G718" s="1941">
        <v>8500</v>
      </c>
      <c r="H718" s="1937" t="str">
        <f>IFERROR(IF(F718&gt;=VLOOKUP(A718,[2]Materiality!$I$6:$J$12,2,TRUE),IFERROR(IF(VLOOKUP("*CR",F718,1,FALSE)&gt;=0,"",VLOOKUP("*CR",F718,1,FALSE)),F718),""),"")</f>
        <v/>
      </c>
      <c r="I718" s="1938">
        <f t="shared" si="11"/>
        <v>0</v>
      </c>
    </row>
    <row r="719" spans="1:9" x14ac:dyDescent="0.25">
      <c r="A719" t="s">
        <v>3440</v>
      </c>
      <c r="B719" s="1936"/>
      <c r="C719" t="s">
        <v>2631</v>
      </c>
      <c r="D719" s="1936"/>
      <c r="E719" s="1936"/>
      <c r="F719" s="1941">
        <v>54671</v>
      </c>
      <c r="G719" s="1941">
        <v>60000</v>
      </c>
      <c r="H719" s="1937" t="str">
        <f>IFERROR(IF(F719&gt;=VLOOKUP(A719,[2]Materiality!$I$6:$J$12,2,TRUE),IFERROR(IF(VLOOKUP("*CR",F719,1,FALSE)&gt;=0,"",VLOOKUP("*CR",F719,1,FALSE)),F719),""),"")</f>
        <v/>
      </c>
      <c r="I719" s="1938">
        <f t="shared" si="11"/>
        <v>0</v>
      </c>
    </row>
    <row r="720" spans="1:9" x14ac:dyDescent="0.25">
      <c r="A720" t="s">
        <v>3439</v>
      </c>
      <c r="B720" s="1936"/>
      <c r="C720" t="s">
        <v>2632</v>
      </c>
      <c r="D720" s="1936"/>
      <c r="E720" s="1936"/>
      <c r="F720" s="1941">
        <v>15996</v>
      </c>
      <c r="G720" s="1941">
        <v>16000</v>
      </c>
      <c r="H720" s="1937" t="str">
        <f>IFERROR(IF(F720&gt;=VLOOKUP(A720,[2]Materiality!$I$6:$J$12,2,TRUE),IFERROR(IF(VLOOKUP("*CR",F720,1,FALSE)&gt;=0,"",VLOOKUP("*CR",F720,1,FALSE)),F720),""),"")</f>
        <v/>
      </c>
      <c r="I720" s="1938">
        <f t="shared" si="11"/>
        <v>0</v>
      </c>
    </row>
    <row r="721" spans="1:9" x14ac:dyDescent="0.25">
      <c r="A721" t="s">
        <v>3438</v>
      </c>
      <c r="B721" s="1936"/>
      <c r="C721" t="s">
        <v>2633</v>
      </c>
      <c r="D721" s="1936"/>
      <c r="E721" s="1936"/>
      <c r="F721" s="1941">
        <v>0</v>
      </c>
      <c r="G721" s="1941">
        <v>0</v>
      </c>
      <c r="H721" s="1937" t="str">
        <f>IFERROR(IF(F721&gt;=VLOOKUP(A721,[2]Materiality!$I$6:$J$12,2,TRUE),IFERROR(IF(VLOOKUP("*CR",F721,1,FALSE)&gt;=0,"",VLOOKUP("*CR",F721,1,FALSE)),F721),""),"")</f>
        <v/>
      </c>
      <c r="I721" s="1938">
        <f t="shared" si="11"/>
        <v>0</v>
      </c>
    </row>
    <row r="722" spans="1:9" x14ac:dyDescent="0.25">
      <c r="A722" t="s">
        <v>3437</v>
      </c>
      <c r="B722" s="1936"/>
      <c r="C722" t="s">
        <v>2634</v>
      </c>
      <c r="D722" s="1936"/>
      <c r="E722" s="1936"/>
      <c r="F722" s="1941">
        <v>133777.07999999999</v>
      </c>
      <c r="G722" s="1941">
        <v>160000</v>
      </c>
      <c r="H722" s="1937">
        <f>IFERROR(IF(F722&gt;=VLOOKUP(A722,[2]Materiality!$I$6:$J$12,2,TRUE),IFERROR(IF(VLOOKUP("*CR",F722,1,FALSE)&gt;=0,"",VLOOKUP("*CR",F722,1,FALSE)),F722),""),"")</f>
        <v>133777.07999999999</v>
      </c>
      <c r="I722" s="1938">
        <f t="shared" si="11"/>
        <v>0</v>
      </c>
    </row>
    <row r="723" spans="1:9" x14ac:dyDescent="0.25">
      <c r="A723" t="s">
        <v>3709</v>
      </c>
      <c r="B723" s="1936"/>
      <c r="C723" t="s">
        <v>1162</v>
      </c>
      <c r="D723" s="1936"/>
      <c r="E723" s="1936"/>
      <c r="F723" s="1941">
        <v>248034.99</v>
      </c>
      <c r="G723" s="1941">
        <v>291900</v>
      </c>
      <c r="H723" s="1937">
        <f>IFERROR(IF(F723&gt;=VLOOKUP(A723,[2]Materiality!$I$6:$J$12,2,TRUE),IFERROR(IF(VLOOKUP("*CR",F723,1,FALSE)&gt;=0,"",VLOOKUP("*CR",F723,1,FALSE)),F723),""),"")</f>
        <v>248034.99</v>
      </c>
      <c r="I723" s="1938">
        <f t="shared" si="11"/>
        <v>0</v>
      </c>
    </row>
    <row r="724" spans="1:9" x14ac:dyDescent="0.25">
      <c r="A724" t="s">
        <v>3436</v>
      </c>
      <c r="B724" s="1936"/>
      <c r="C724" t="s">
        <v>2635</v>
      </c>
      <c r="D724" s="1936"/>
      <c r="E724" s="1936"/>
      <c r="F724" s="1941">
        <v>1033.8599999999999</v>
      </c>
      <c r="G724" s="1941">
        <v>2500</v>
      </c>
      <c r="H724" s="1937" t="str">
        <f>IFERROR(IF(F724&gt;=VLOOKUP(A724,[2]Materiality!$I$6:$J$12,2,TRUE),IFERROR(IF(VLOOKUP("*CR",F724,1,FALSE)&gt;=0,"",VLOOKUP("*CR",F724,1,FALSE)),F724),""),"")</f>
        <v/>
      </c>
      <c r="I724" s="1938">
        <f t="shared" si="11"/>
        <v>0</v>
      </c>
    </row>
    <row r="725" spans="1:9" x14ac:dyDescent="0.25">
      <c r="A725" t="s">
        <v>3710</v>
      </c>
      <c r="B725" s="1936"/>
      <c r="C725" t="s">
        <v>2300</v>
      </c>
      <c r="D725" s="1936"/>
      <c r="E725" s="1936"/>
      <c r="F725" s="1941">
        <v>1033.8599999999999</v>
      </c>
      <c r="G725" s="1941">
        <v>2500</v>
      </c>
      <c r="H725" s="1937" t="str">
        <f>IFERROR(IF(F725&gt;=VLOOKUP(A725,[2]Materiality!$I$6:$J$12,2,TRUE),IFERROR(IF(VLOOKUP("*CR",F725,1,FALSE)&gt;=0,"",VLOOKUP("*CR",F725,1,FALSE)),F725),""),"")</f>
        <v/>
      </c>
      <c r="I725" s="1938">
        <f t="shared" si="11"/>
        <v>0</v>
      </c>
    </row>
    <row r="726" spans="1:9" x14ac:dyDescent="0.25">
      <c r="A726" t="s">
        <v>3435</v>
      </c>
      <c r="B726" s="1936"/>
      <c r="C726" t="s">
        <v>2636</v>
      </c>
      <c r="D726" s="1936"/>
      <c r="E726" s="1936"/>
      <c r="F726" s="1941">
        <v>12933.75</v>
      </c>
      <c r="G726" s="1941">
        <v>15000</v>
      </c>
      <c r="H726" s="1937" t="str">
        <f>IFERROR(IF(F726&gt;=VLOOKUP(A726,[2]Materiality!$I$6:$J$12,2,TRUE),IFERROR(IF(VLOOKUP("*CR",F726,1,FALSE)&gt;=0,"",VLOOKUP("*CR",F726,1,FALSE)),F726),""),"")</f>
        <v/>
      </c>
      <c r="I726" s="1938">
        <f t="shared" si="11"/>
        <v>0</v>
      </c>
    </row>
    <row r="727" spans="1:9" x14ac:dyDescent="0.25">
      <c r="A727" t="s">
        <v>3714</v>
      </c>
      <c r="B727" s="1936"/>
      <c r="C727" t="s">
        <v>1158</v>
      </c>
      <c r="D727" s="1936"/>
      <c r="E727" s="1936"/>
      <c r="F727" s="1941">
        <v>12933.75</v>
      </c>
      <c r="G727" s="1941">
        <v>15000</v>
      </c>
      <c r="H727" s="1937">
        <f>IFERROR(IF(F727&gt;=VLOOKUP(A727,[2]Materiality!$I$6:$J$12,2,TRUE),IFERROR(IF(VLOOKUP("*CR",F727,1,FALSE)&gt;=0,"",VLOOKUP("*CR",F727,1,FALSE)),F727),""),"")</f>
        <v>12933.75</v>
      </c>
      <c r="I727" s="1938">
        <f t="shared" si="11"/>
        <v>0</v>
      </c>
    </row>
    <row r="728" spans="1:9" x14ac:dyDescent="0.25">
      <c r="A728" t="s">
        <v>3741</v>
      </c>
      <c r="B728" s="1936"/>
      <c r="C728" t="s">
        <v>871</v>
      </c>
      <c r="D728" s="1936"/>
      <c r="E728" s="1936"/>
      <c r="F728" s="1941">
        <v>263622.59999999998</v>
      </c>
      <c r="G728" s="1941">
        <v>311020</v>
      </c>
      <c r="H728" s="1937">
        <f>IFERROR(IF(F728&gt;=VLOOKUP(A728,[2]Materiality!$I$6:$J$12,2,TRUE),IFERROR(IF(VLOOKUP("*CR",F728,1,FALSE)&gt;=0,"",VLOOKUP("*CR",F728,1,FALSE)),F728),""),"")</f>
        <v>263622.59999999998</v>
      </c>
      <c r="I728" s="1938">
        <f t="shared" si="11"/>
        <v>0</v>
      </c>
    </row>
    <row r="729" spans="1:9" x14ac:dyDescent="0.25">
      <c r="A729" t="s">
        <v>3434</v>
      </c>
      <c r="B729" s="1936"/>
      <c r="C729" t="s">
        <v>2637</v>
      </c>
      <c r="D729" s="1936"/>
      <c r="E729" s="1936"/>
      <c r="F729" s="1941">
        <v>125825.82</v>
      </c>
      <c r="G729" s="1941">
        <v>125826</v>
      </c>
      <c r="H729" s="1937">
        <f>IFERROR(IF(F729&gt;=VLOOKUP(A729,[2]Materiality!$I$6:$J$12,2,TRUE),IFERROR(IF(VLOOKUP("*CR",F729,1,FALSE)&gt;=0,"",VLOOKUP("*CR",F729,1,FALSE)),F729),""),"")</f>
        <v>125825.82</v>
      </c>
      <c r="I729" s="1938">
        <f t="shared" si="11"/>
        <v>0</v>
      </c>
    </row>
    <row r="730" spans="1:9" x14ac:dyDescent="0.25">
      <c r="A730" t="s">
        <v>3433</v>
      </c>
      <c r="B730" s="1936"/>
      <c r="C730" t="s">
        <v>2638</v>
      </c>
      <c r="D730" s="1936"/>
      <c r="E730" s="1936"/>
      <c r="F730" s="1941">
        <v>43902.84</v>
      </c>
      <c r="G730" s="1941">
        <v>43902</v>
      </c>
      <c r="H730" s="1937" t="str">
        <f>IFERROR(IF(F730&gt;=VLOOKUP(A730,[2]Materiality!$I$6:$J$12,2,TRUE),IFERROR(IF(VLOOKUP("*CR",F730,1,FALSE)&gt;=0,"",VLOOKUP("*CR",F730,1,FALSE)),F730),""),"")</f>
        <v/>
      </c>
      <c r="I730" s="1938">
        <f t="shared" si="11"/>
        <v>0</v>
      </c>
    </row>
    <row r="731" spans="1:9" x14ac:dyDescent="0.25">
      <c r="A731" t="s">
        <v>3432</v>
      </c>
      <c r="B731" s="1936"/>
      <c r="C731" t="s">
        <v>2639</v>
      </c>
      <c r="D731" s="1936"/>
      <c r="E731" s="1936"/>
      <c r="F731" s="1941">
        <v>42656</v>
      </c>
      <c r="G731" s="1941">
        <v>42656</v>
      </c>
      <c r="H731" s="1937" t="str">
        <f>IFERROR(IF(F731&gt;=VLOOKUP(A731,[2]Materiality!$I$6:$J$12,2,TRUE),IFERROR(IF(VLOOKUP("*CR",F731,1,FALSE)&gt;=0,"",VLOOKUP("*CR",F731,1,FALSE)),F731),""),"")</f>
        <v/>
      </c>
      <c r="I731" s="1938">
        <f t="shared" si="11"/>
        <v>0</v>
      </c>
    </row>
    <row r="732" spans="1:9" x14ac:dyDescent="0.25">
      <c r="A732" t="s">
        <v>3638</v>
      </c>
      <c r="B732" s="1936"/>
      <c r="C732" t="s">
        <v>203</v>
      </c>
      <c r="D732" s="1936"/>
      <c r="E732" s="1936"/>
      <c r="F732" s="1941">
        <v>212384.66</v>
      </c>
      <c r="G732" s="1941">
        <v>212384</v>
      </c>
      <c r="H732" s="1937">
        <f>IFERROR(IF(F732&gt;=VLOOKUP(A732,[2]Materiality!$I$6:$J$12,2,TRUE),IFERROR(IF(VLOOKUP("*CR",F732,1,FALSE)&gt;=0,"",VLOOKUP("*CR",F732,1,FALSE)),F732),""),"")</f>
        <v>212384.66</v>
      </c>
      <c r="I732" s="1938">
        <f t="shared" si="11"/>
        <v>0</v>
      </c>
    </row>
    <row r="733" spans="1:9" x14ac:dyDescent="0.25">
      <c r="A733" t="s">
        <v>3431</v>
      </c>
      <c r="B733" s="1936"/>
      <c r="C733" t="s">
        <v>2640</v>
      </c>
      <c r="D733" s="1936"/>
      <c r="E733" s="1936"/>
      <c r="F733" s="1941">
        <v>15992.94</v>
      </c>
      <c r="G733" s="1941">
        <v>16000</v>
      </c>
      <c r="H733" s="1937" t="str">
        <f>IFERROR(IF(F733&gt;=VLOOKUP(A733,[2]Materiality!$I$6:$J$12,2,TRUE),IFERROR(IF(VLOOKUP("*CR",F733,1,FALSE)&gt;=0,"",VLOOKUP("*CR",F733,1,FALSE)),F733),""),"")</f>
        <v/>
      </c>
      <c r="I733" s="1938">
        <f t="shared" si="11"/>
        <v>0</v>
      </c>
    </row>
    <row r="734" spans="1:9" x14ac:dyDescent="0.25">
      <c r="A734" t="s">
        <v>3430</v>
      </c>
      <c r="B734" s="1936"/>
      <c r="C734" t="s">
        <v>2641</v>
      </c>
      <c r="D734" s="1936"/>
      <c r="E734" s="1936"/>
      <c r="F734" s="1941">
        <v>39694.44</v>
      </c>
      <c r="G734" s="1941">
        <v>39695</v>
      </c>
      <c r="H734" s="1937" t="str">
        <f>IFERROR(IF(F734&gt;=VLOOKUP(A734,[2]Materiality!$I$6:$J$12,2,TRUE),IFERROR(IF(VLOOKUP("*CR",F734,1,FALSE)&gt;=0,"",VLOOKUP("*CR",F734,1,FALSE)),F734),""),"")</f>
        <v/>
      </c>
      <c r="I734" s="1938">
        <f t="shared" si="11"/>
        <v>0</v>
      </c>
    </row>
    <row r="735" spans="1:9" x14ac:dyDescent="0.25">
      <c r="A735" t="s">
        <v>3430</v>
      </c>
      <c r="B735" s="1936"/>
      <c r="C735" t="s">
        <v>2642</v>
      </c>
      <c r="D735" s="1936"/>
      <c r="E735" s="1936"/>
      <c r="F735" s="1941">
        <v>0</v>
      </c>
      <c r="G735" s="1941">
        <v>0</v>
      </c>
      <c r="H735" s="1937" t="str">
        <f>IFERROR(IF(F735&gt;=VLOOKUP(A735,[2]Materiality!$I$6:$J$12,2,TRUE),IFERROR(IF(VLOOKUP("*CR",F735,1,FALSE)&gt;=0,"",VLOOKUP("*CR",F735,1,FALSE)),F735),""),"")</f>
        <v/>
      </c>
      <c r="I735" s="1938">
        <f t="shared" si="11"/>
        <v>0</v>
      </c>
    </row>
    <row r="736" spans="1:9" x14ac:dyDescent="0.25">
      <c r="A736" t="s">
        <v>3429</v>
      </c>
      <c r="B736" s="1936"/>
      <c r="C736" t="s">
        <v>2643</v>
      </c>
      <c r="D736" s="1936"/>
      <c r="E736" s="1936"/>
      <c r="F736" s="1941">
        <v>0</v>
      </c>
      <c r="G736" s="1941">
        <v>0</v>
      </c>
      <c r="H736" s="1937" t="str">
        <f>IFERROR(IF(F736&gt;=VLOOKUP(A736,[2]Materiality!$I$6:$J$12,2,TRUE),IFERROR(IF(VLOOKUP("*CR",F736,1,FALSE)&gt;=0,"",VLOOKUP("*CR",F736,1,FALSE)),F736),""),"")</f>
        <v/>
      </c>
      <c r="I736" s="1938">
        <f t="shared" si="11"/>
        <v>0</v>
      </c>
    </row>
    <row r="737" spans="1:9" x14ac:dyDescent="0.25">
      <c r="A737" t="s">
        <v>3428</v>
      </c>
      <c r="B737" s="1936"/>
      <c r="C737" t="s">
        <v>2644</v>
      </c>
      <c r="D737" s="1936"/>
      <c r="E737" s="1936"/>
      <c r="F737" s="1941">
        <v>1430.88</v>
      </c>
      <c r="G737" s="1941">
        <v>1431</v>
      </c>
      <c r="H737" s="1937" t="str">
        <f>IFERROR(IF(F737&gt;=VLOOKUP(A737,[2]Materiality!$I$6:$J$12,2,TRUE),IFERROR(IF(VLOOKUP("*CR",F737,1,FALSE)&gt;=0,"",VLOOKUP("*CR",F737,1,FALSE)),F737),""),"")</f>
        <v/>
      </c>
      <c r="I737" s="1938">
        <f t="shared" si="11"/>
        <v>0</v>
      </c>
    </row>
    <row r="738" spans="1:9" x14ac:dyDescent="0.25">
      <c r="A738" t="s">
        <v>3428</v>
      </c>
      <c r="B738" s="1936"/>
      <c r="C738" t="s">
        <v>2645</v>
      </c>
      <c r="D738" s="1936"/>
      <c r="E738" s="1936"/>
      <c r="F738" s="1941">
        <v>0</v>
      </c>
      <c r="G738" s="1941">
        <v>0</v>
      </c>
      <c r="H738" s="1937" t="str">
        <f>IFERROR(IF(F738&gt;=VLOOKUP(A738,[2]Materiality!$I$6:$J$12,2,TRUE),IFERROR(IF(VLOOKUP("*CR",F738,1,FALSE)&gt;=0,"",VLOOKUP("*CR",F738,1,FALSE)),F738),""),"")</f>
        <v/>
      </c>
      <c r="I738" s="1938">
        <f t="shared" si="11"/>
        <v>0</v>
      </c>
    </row>
    <row r="739" spans="1:9" x14ac:dyDescent="0.25">
      <c r="A739" t="s">
        <v>3427</v>
      </c>
      <c r="B739" s="1936"/>
      <c r="C739" t="s">
        <v>2646</v>
      </c>
      <c r="D739" s="1936"/>
      <c r="E739" s="1936"/>
      <c r="F739" s="1941">
        <v>499.92</v>
      </c>
      <c r="G739" s="1941">
        <v>500</v>
      </c>
      <c r="H739" s="1937" t="str">
        <f>IFERROR(IF(F739&gt;=VLOOKUP(A739,[2]Materiality!$I$6:$J$12,2,TRUE),IFERROR(IF(VLOOKUP("*CR",F739,1,FALSE)&gt;=0,"",VLOOKUP("*CR",F739,1,FALSE)),F739),""),"")</f>
        <v/>
      </c>
      <c r="I739" s="1938">
        <f t="shared" si="11"/>
        <v>0</v>
      </c>
    </row>
    <row r="740" spans="1:9" x14ac:dyDescent="0.25">
      <c r="A740" t="s">
        <v>3708</v>
      </c>
      <c r="B740" s="1936"/>
      <c r="C740" t="s">
        <v>51</v>
      </c>
      <c r="D740" s="1936"/>
      <c r="E740" s="1936"/>
      <c r="F740" s="1941">
        <v>57618.18</v>
      </c>
      <c r="G740" s="1941">
        <v>57626</v>
      </c>
      <c r="H740" s="1937">
        <f>IFERROR(IF(F740&gt;=VLOOKUP(A740,[2]Materiality!$I$6:$J$12,2,TRUE),IFERROR(IF(VLOOKUP("*CR",F740,1,FALSE)&gt;=0,"",VLOOKUP("*CR",F740,1,FALSE)),F740),""),"")</f>
        <v>57618.18</v>
      </c>
      <c r="I740" s="1938">
        <f t="shared" si="11"/>
        <v>0</v>
      </c>
    </row>
    <row r="741" spans="1:9" x14ac:dyDescent="0.25">
      <c r="A741" t="s">
        <v>3426</v>
      </c>
      <c r="B741" s="1936"/>
      <c r="C741" t="s">
        <v>2647</v>
      </c>
      <c r="D741" s="1936"/>
      <c r="E741" s="1936"/>
      <c r="F741" s="1941">
        <v>218.9</v>
      </c>
      <c r="G741" s="1941">
        <v>250</v>
      </c>
      <c r="H741" s="1937" t="str">
        <f>IFERROR(IF(F741&gt;=VLOOKUP(A741,[2]Materiality!$I$6:$J$12,2,TRUE),IFERROR(IF(VLOOKUP("*CR",F741,1,FALSE)&gt;=0,"",VLOOKUP("*CR",F741,1,FALSE)),F741),""),"")</f>
        <v/>
      </c>
      <c r="I741" s="1938">
        <f t="shared" si="11"/>
        <v>0</v>
      </c>
    </row>
    <row r="742" spans="1:9" x14ac:dyDescent="0.25">
      <c r="A742" t="s">
        <v>3425</v>
      </c>
      <c r="B742" s="1936"/>
      <c r="C742" t="s">
        <v>2648</v>
      </c>
      <c r="D742" s="1936"/>
      <c r="E742" s="1936"/>
      <c r="F742" s="1941">
        <v>1028.4000000000001</v>
      </c>
      <c r="G742" s="1941">
        <v>895</v>
      </c>
      <c r="H742" s="1937" t="str">
        <f>IFERROR(IF(F742&gt;=VLOOKUP(A742,[2]Materiality!$I$6:$J$12,2,TRUE),IFERROR(IF(VLOOKUP("*CR",F742,1,FALSE)&gt;=0,"",VLOOKUP("*CR",F742,1,FALSE)),F742),""),"")</f>
        <v/>
      </c>
      <c r="I742" s="1938">
        <f t="shared" si="11"/>
        <v>0</v>
      </c>
    </row>
    <row r="743" spans="1:9" x14ac:dyDescent="0.25">
      <c r="A743" t="s">
        <v>3424</v>
      </c>
      <c r="B743" s="1936"/>
      <c r="C743" t="s">
        <v>2649</v>
      </c>
      <c r="D743" s="1936"/>
      <c r="E743" s="1936"/>
      <c r="F743" s="1941">
        <v>2500</v>
      </c>
      <c r="G743" s="1941">
        <v>2500</v>
      </c>
      <c r="H743" s="1937" t="str">
        <f>IFERROR(IF(F743&gt;=VLOOKUP(A743,[2]Materiality!$I$6:$J$12,2,TRUE),IFERROR(IF(VLOOKUP("*CR",F743,1,FALSE)&gt;=0,"",VLOOKUP("*CR",F743,1,FALSE)),F743),""),"")</f>
        <v/>
      </c>
      <c r="I743" s="1938">
        <f t="shared" si="11"/>
        <v>0</v>
      </c>
    </row>
    <row r="744" spans="1:9" x14ac:dyDescent="0.25">
      <c r="A744" t="s">
        <v>3423</v>
      </c>
      <c r="B744" s="1936"/>
      <c r="C744" t="s">
        <v>2650</v>
      </c>
      <c r="D744" s="1936"/>
      <c r="E744" s="1936"/>
      <c r="F744" s="1941">
        <v>2169.89</v>
      </c>
      <c r="G744" s="1941">
        <v>3000</v>
      </c>
      <c r="H744" s="1937" t="str">
        <f>IFERROR(IF(F744&gt;=VLOOKUP(A744,[2]Materiality!$I$6:$J$12,2,TRUE),IFERROR(IF(VLOOKUP("*CR",F744,1,FALSE)&gt;=0,"",VLOOKUP("*CR",F744,1,FALSE)),F744),""),"")</f>
        <v/>
      </c>
      <c r="I744" s="1938">
        <f t="shared" si="11"/>
        <v>0</v>
      </c>
    </row>
    <row r="745" spans="1:9" x14ac:dyDescent="0.25">
      <c r="A745" t="s">
        <v>3422</v>
      </c>
      <c r="B745" s="1936"/>
      <c r="C745" t="s">
        <v>2651</v>
      </c>
      <c r="D745" s="1936"/>
      <c r="E745" s="1936"/>
      <c r="F745" s="1941">
        <v>2172.73</v>
      </c>
      <c r="G745" s="1941">
        <v>3000</v>
      </c>
      <c r="H745" s="1937" t="str">
        <f>IFERROR(IF(F745&gt;=VLOOKUP(A745,[2]Materiality!$I$6:$J$12,2,TRUE),IFERROR(IF(VLOOKUP("*CR",F745,1,FALSE)&gt;=0,"",VLOOKUP("*CR",F745,1,FALSE)),F745),""),"")</f>
        <v/>
      </c>
      <c r="I745" s="1938">
        <f t="shared" si="11"/>
        <v>0</v>
      </c>
    </row>
    <row r="746" spans="1:9" x14ac:dyDescent="0.25">
      <c r="A746" t="s">
        <v>3421</v>
      </c>
      <c r="B746" s="1936"/>
      <c r="C746" t="s">
        <v>2652</v>
      </c>
      <c r="D746" s="1936"/>
      <c r="E746" s="1936"/>
      <c r="F746" s="1941">
        <v>3665.18</v>
      </c>
      <c r="G746" s="1941">
        <v>4000</v>
      </c>
      <c r="H746" s="1937" t="str">
        <f>IFERROR(IF(F746&gt;=VLOOKUP(A746,[2]Materiality!$I$6:$J$12,2,TRUE),IFERROR(IF(VLOOKUP("*CR",F746,1,FALSE)&gt;=0,"",VLOOKUP("*CR",F746,1,FALSE)),F746),""),"")</f>
        <v/>
      </c>
      <c r="I746" s="1938">
        <f t="shared" si="11"/>
        <v>0</v>
      </c>
    </row>
    <row r="747" spans="1:9" x14ac:dyDescent="0.25">
      <c r="A747" t="s">
        <v>3420</v>
      </c>
      <c r="B747" s="1936"/>
      <c r="C747" t="s">
        <v>2653</v>
      </c>
      <c r="D747" s="1936"/>
      <c r="E747" s="1936"/>
      <c r="F747" s="1941">
        <v>5332.73</v>
      </c>
      <c r="G747" s="1941">
        <v>5000</v>
      </c>
      <c r="H747" s="1937" t="str">
        <f>IFERROR(IF(F747&gt;=VLOOKUP(A747,[2]Materiality!$I$6:$J$12,2,TRUE),IFERROR(IF(VLOOKUP("*CR",F747,1,FALSE)&gt;=0,"",VLOOKUP("*CR",F747,1,FALSE)),F747),""),"")</f>
        <v/>
      </c>
      <c r="I747" s="1938">
        <f t="shared" si="11"/>
        <v>0</v>
      </c>
    </row>
    <row r="748" spans="1:9" x14ac:dyDescent="0.25">
      <c r="A748" t="s">
        <v>3709</v>
      </c>
      <c r="B748" s="1936"/>
      <c r="C748" t="s">
        <v>1162</v>
      </c>
      <c r="D748" s="1936"/>
      <c r="E748" s="1936"/>
      <c r="F748" s="1941">
        <v>17087.830000000002</v>
      </c>
      <c r="G748" s="1941">
        <v>18645</v>
      </c>
      <c r="H748" s="1937" t="str">
        <f>IFERROR(IF(F748&gt;=VLOOKUP(A748,[2]Materiality!$I$6:$J$12,2,TRUE),IFERROR(IF(VLOOKUP("*CR",F748,1,FALSE)&gt;=0,"",VLOOKUP("*CR",F748,1,FALSE)),F748),""),"")</f>
        <v/>
      </c>
      <c r="I748" s="1938">
        <f t="shared" si="11"/>
        <v>0</v>
      </c>
    </row>
    <row r="749" spans="1:9" x14ac:dyDescent="0.25">
      <c r="A749" t="s">
        <v>3419</v>
      </c>
      <c r="B749" s="1936"/>
      <c r="C749" t="s">
        <v>2654</v>
      </c>
      <c r="D749" s="1936"/>
      <c r="E749" s="1936"/>
      <c r="F749" s="1941">
        <v>1406.39</v>
      </c>
      <c r="G749" s="1941">
        <v>2500</v>
      </c>
      <c r="H749" s="1937" t="str">
        <f>IFERROR(IF(F749&gt;=VLOOKUP(A749,[2]Materiality!$I$6:$J$12,2,TRUE),IFERROR(IF(VLOOKUP("*CR",F749,1,FALSE)&gt;=0,"",VLOOKUP("*CR",F749,1,FALSE)),F749),""),"")</f>
        <v/>
      </c>
      <c r="I749" s="1938">
        <f t="shared" si="11"/>
        <v>0</v>
      </c>
    </row>
    <row r="750" spans="1:9" x14ac:dyDescent="0.25">
      <c r="A750" t="s">
        <v>3418</v>
      </c>
      <c r="B750" s="1936"/>
      <c r="C750" t="s">
        <v>2655</v>
      </c>
      <c r="D750" s="1936"/>
      <c r="E750" s="1936"/>
      <c r="F750" s="1941">
        <v>629.5</v>
      </c>
      <c r="G750" s="1941">
        <v>750</v>
      </c>
      <c r="H750" s="1937" t="str">
        <f>IFERROR(IF(F750&gt;=VLOOKUP(A750,[2]Materiality!$I$6:$J$12,2,TRUE),IFERROR(IF(VLOOKUP("*CR",F750,1,FALSE)&gt;=0,"",VLOOKUP("*CR",F750,1,FALSE)),F750),""),"")</f>
        <v/>
      </c>
      <c r="I750" s="1938">
        <f t="shared" si="11"/>
        <v>0</v>
      </c>
    </row>
    <row r="751" spans="1:9" x14ac:dyDescent="0.25">
      <c r="A751" t="s">
        <v>3710</v>
      </c>
      <c r="B751" s="1936"/>
      <c r="C751" t="s">
        <v>2300</v>
      </c>
      <c r="D751" s="1936"/>
      <c r="E751" s="1936"/>
      <c r="F751" s="1941">
        <v>2035.89</v>
      </c>
      <c r="G751" s="1941">
        <v>3250</v>
      </c>
      <c r="H751" s="1937" t="str">
        <f>IFERROR(IF(F751&gt;=VLOOKUP(A751,[2]Materiality!$I$6:$J$12,2,TRUE),IFERROR(IF(VLOOKUP("*CR",F751,1,FALSE)&gt;=0,"",VLOOKUP("*CR",F751,1,FALSE)),F751),""),"")</f>
        <v/>
      </c>
      <c r="I751" s="1938">
        <f t="shared" si="11"/>
        <v>0</v>
      </c>
    </row>
    <row r="752" spans="1:9" x14ac:dyDescent="0.25">
      <c r="A752" t="s">
        <v>3417</v>
      </c>
      <c r="B752" s="1936"/>
      <c r="C752" t="s">
        <v>2656</v>
      </c>
      <c r="D752" s="1936"/>
      <c r="E752" s="1936"/>
      <c r="F752" s="1941">
        <v>0</v>
      </c>
      <c r="G752" s="1941">
        <v>500</v>
      </c>
      <c r="H752" s="1937" t="str">
        <f>IFERROR(IF(F752&gt;=VLOOKUP(A752,[2]Materiality!$I$6:$J$12,2,TRUE),IFERROR(IF(VLOOKUP("*CR",F752,1,FALSE)&gt;=0,"",VLOOKUP("*CR",F752,1,FALSE)),F752),""),"")</f>
        <v/>
      </c>
      <c r="I752" s="1938">
        <f t="shared" si="11"/>
        <v>0</v>
      </c>
    </row>
    <row r="753" spans="1:9" x14ac:dyDescent="0.25">
      <c r="A753" t="s">
        <v>3711</v>
      </c>
      <c r="B753" s="1936"/>
      <c r="C753" t="s">
        <v>1157</v>
      </c>
      <c r="D753" s="1936"/>
      <c r="E753" s="1936"/>
      <c r="F753" s="1941">
        <v>0</v>
      </c>
      <c r="G753" s="1941">
        <v>500</v>
      </c>
      <c r="H753" s="1937" t="str">
        <f>IFERROR(IF(F753&gt;=VLOOKUP(A753,[2]Materiality!$I$6:$J$12,2,TRUE),IFERROR(IF(VLOOKUP("*CR",F753,1,FALSE)&gt;=0,"",VLOOKUP("*CR",F753,1,FALSE)),F753),""),"")</f>
        <v/>
      </c>
      <c r="I753" s="1938">
        <f t="shared" si="11"/>
        <v>0</v>
      </c>
    </row>
    <row r="754" spans="1:9" x14ac:dyDescent="0.25">
      <c r="A754" t="s">
        <v>3742</v>
      </c>
      <c r="B754" s="1936"/>
      <c r="C754" t="s">
        <v>2657</v>
      </c>
      <c r="D754" s="1936"/>
      <c r="E754" s="1936"/>
      <c r="F754" s="1941">
        <v>289126.56</v>
      </c>
      <c r="G754" s="1941">
        <v>292405</v>
      </c>
      <c r="H754" s="1937">
        <f>IFERROR(IF(F754&gt;=VLOOKUP(A754,[2]Materiality!$I$6:$J$12,2,TRUE),IFERROR(IF(VLOOKUP("*CR",F754,1,FALSE)&gt;=0,"",VLOOKUP("*CR",F754,1,FALSE)),F754),""),"")</f>
        <v>289126.56</v>
      </c>
      <c r="I754" s="1938">
        <f t="shared" si="11"/>
        <v>0</v>
      </c>
    </row>
    <row r="755" spans="1:9" x14ac:dyDescent="0.25">
      <c r="A755" t="s">
        <v>3416</v>
      </c>
      <c r="B755" s="1936"/>
      <c r="C755" t="s">
        <v>2658</v>
      </c>
      <c r="D755" s="1936"/>
      <c r="E755" s="1936"/>
      <c r="F755" s="1941">
        <v>68109.600000000006</v>
      </c>
      <c r="G755" s="1941">
        <v>68110</v>
      </c>
      <c r="H755" s="1937" t="str">
        <f>IFERROR(IF(F755&gt;=VLOOKUP(A755,[2]Materiality!$I$6:$J$12,2,TRUE),IFERROR(IF(VLOOKUP("*CR",F755,1,FALSE)&gt;=0,"",VLOOKUP("*CR",F755,1,FALSE)),F755),""),"")</f>
        <v/>
      </c>
      <c r="I755" s="1938">
        <f t="shared" si="11"/>
        <v>0</v>
      </c>
    </row>
    <row r="756" spans="1:9" x14ac:dyDescent="0.25">
      <c r="A756" t="s">
        <v>3416</v>
      </c>
      <c r="B756" s="1936"/>
      <c r="C756" t="s">
        <v>2659</v>
      </c>
      <c r="D756" s="1936"/>
      <c r="E756" s="1936"/>
      <c r="F756" s="1941">
        <v>65456.08</v>
      </c>
      <c r="G756" s="1941">
        <v>65456</v>
      </c>
      <c r="H756" s="1937" t="str">
        <f>IFERROR(IF(F756&gt;=VLOOKUP(A756,[2]Materiality!$I$6:$J$12,2,TRUE),IFERROR(IF(VLOOKUP("*CR",F756,1,FALSE)&gt;=0,"",VLOOKUP("*CR",F756,1,FALSE)),F756),""),"")</f>
        <v/>
      </c>
      <c r="I756" s="1938">
        <f t="shared" si="11"/>
        <v>0</v>
      </c>
    </row>
    <row r="757" spans="1:9" x14ac:dyDescent="0.25">
      <c r="A757" t="s">
        <v>3416</v>
      </c>
      <c r="B757" s="1936"/>
      <c r="C757" t="s">
        <v>2660</v>
      </c>
      <c r="D757" s="1936"/>
      <c r="E757" s="1936"/>
      <c r="F757" s="1941">
        <v>71580</v>
      </c>
      <c r="G757" s="1941">
        <v>71580</v>
      </c>
      <c r="H757" s="1937" t="str">
        <f>IFERROR(IF(F757&gt;=VLOOKUP(A757,[2]Materiality!$I$6:$J$12,2,TRUE),IFERROR(IF(VLOOKUP("*CR",F757,1,FALSE)&gt;=0,"",VLOOKUP("*CR",F757,1,FALSE)),F757),""),"")</f>
        <v/>
      </c>
      <c r="I757" s="1938">
        <f t="shared" si="11"/>
        <v>0</v>
      </c>
    </row>
    <row r="758" spans="1:9" x14ac:dyDescent="0.25">
      <c r="A758" t="s">
        <v>3416</v>
      </c>
      <c r="B758" s="1936"/>
      <c r="C758" t="s">
        <v>2661</v>
      </c>
      <c r="D758" s="1936"/>
      <c r="E758" s="1936"/>
      <c r="F758" s="1941">
        <v>66674.399999999994</v>
      </c>
      <c r="G758" s="1941">
        <v>66674</v>
      </c>
      <c r="H758" s="1937" t="str">
        <f>IFERROR(IF(F758&gt;=VLOOKUP(A758,[2]Materiality!$I$6:$J$12,2,TRUE),IFERROR(IF(VLOOKUP("*CR",F758,1,FALSE)&gt;=0,"",VLOOKUP("*CR",F758,1,FALSE)),F758),""),"")</f>
        <v/>
      </c>
      <c r="I758" s="1938">
        <f t="shared" si="11"/>
        <v>0</v>
      </c>
    </row>
    <row r="759" spans="1:9" x14ac:dyDescent="0.25">
      <c r="A759" t="s">
        <v>3416</v>
      </c>
      <c r="B759" s="1936"/>
      <c r="C759" t="s">
        <v>2662</v>
      </c>
      <c r="D759" s="1936"/>
      <c r="E759" s="1936"/>
      <c r="F759" s="1941">
        <v>63859.199999999997</v>
      </c>
      <c r="G759" s="1941">
        <v>63859</v>
      </c>
      <c r="H759" s="1937" t="str">
        <f>IFERROR(IF(F759&gt;=VLOOKUP(A759,[2]Materiality!$I$6:$J$12,2,TRUE),IFERROR(IF(VLOOKUP("*CR",F759,1,FALSE)&gt;=0,"",VLOOKUP("*CR",F759,1,FALSE)),F759),""),"")</f>
        <v/>
      </c>
      <c r="I759" s="1938">
        <f t="shared" si="11"/>
        <v>0</v>
      </c>
    </row>
    <row r="760" spans="1:9" x14ac:dyDescent="0.25">
      <c r="A760" t="s">
        <v>3415</v>
      </c>
      <c r="B760" s="1936"/>
      <c r="C760" t="s">
        <v>2663</v>
      </c>
      <c r="D760" s="1936"/>
      <c r="E760" s="1936"/>
      <c r="F760" s="1941">
        <v>37954.39</v>
      </c>
      <c r="G760" s="1941">
        <v>37955</v>
      </c>
      <c r="H760" s="1937" t="str">
        <f>IFERROR(IF(F760&gt;=VLOOKUP(A760,[2]Materiality!$I$6:$J$12,2,TRUE),IFERROR(IF(VLOOKUP("*CR",F760,1,FALSE)&gt;=0,"",VLOOKUP("*CR",F760,1,FALSE)),F760),""),"")</f>
        <v/>
      </c>
      <c r="I760" s="1938">
        <f t="shared" si="11"/>
        <v>0</v>
      </c>
    </row>
    <row r="761" spans="1:9" x14ac:dyDescent="0.25">
      <c r="A761" t="s">
        <v>3415</v>
      </c>
      <c r="B761" s="1936"/>
      <c r="C761" t="s">
        <v>2664</v>
      </c>
      <c r="D761" s="1936"/>
      <c r="E761" s="1936"/>
      <c r="F761" s="1941">
        <v>28445.13</v>
      </c>
      <c r="G761" s="1941">
        <v>28445</v>
      </c>
      <c r="H761" s="1937" t="str">
        <f>IFERROR(IF(F761&gt;=VLOOKUP(A761,[2]Materiality!$I$6:$J$12,2,TRUE),IFERROR(IF(VLOOKUP("*CR",F761,1,FALSE)&gt;=0,"",VLOOKUP("*CR",F761,1,FALSE)),F761),""),"")</f>
        <v/>
      </c>
      <c r="I761" s="1938">
        <f t="shared" si="11"/>
        <v>0</v>
      </c>
    </row>
    <row r="762" spans="1:9" x14ac:dyDescent="0.25">
      <c r="A762" t="s">
        <v>3415</v>
      </c>
      <c r="B762" s="1936"/>
      <c r="C762" t="s">
        <v>2665</v>
      </c>
      <c r="D762" s="1936"/>
      <c r="E762" s="1936"/>
      <c r="F762" s="1941">
        <v>38054.39</v>
      </c>
      <c r="G762" s="1941">
        <v>38055</v>
      </c>
      <c r="H762" s="1937" t="str">
        <f>IFERROR(IF(F762&gt;=VLOOKUP(A762,[2]Materiality!$I$6:$J$12,2,TRUE),IFERROR(IF(VLOOKUP("*CR",F762,1,FALSE)&gt;=0,"",VLOOKUP("*CR",F762,1,FALSE)),F762),""),"")</f>
        <v/>
      </c>
      <c r="I762" s="1938">
        <f t="shared" si="11"/>
        <v>0</v>
      </c>
    </row>
    <row r="763" spans="1:9" x14ac:dyDescent="0.25">
      <c r="A763" t="s">
        <v>3415</v>
      </c>
      <c r="B763" s="1936"/>
      <c r="C763" t="s">
        <v>2666</v>
      </c>
      <c r="D763" s="1936"/>
      <c r="E763" s="1936"/>
      <c r="F763" s="1941">
        <v>37954.39</v>
      </c>
      <c r="G763" s="1941">
        <v>37955</v>
      </c>
      <c r="H763" s="1937" t="str">
        <f>IFERROR(IF(F763&gt;=VLOOKUP(A763,[2]Materiality!$I$6:$J$12,2,TRUE),IFERROR(IF(VLOOKUP("*CR",F763,1,FALSE)&gt;=0,"",VLOOKUP("*CR",F763,1,FALSE)),F763),""),"")</f>
        <v/>
      </c>
      <c r="I763" s="1938">
        <f t="shared" si="11"/>
        <v>0</v>
      </c>
    </row>
    <row r="764" spans="1:9" x14ac:dyDescent="0.25">
      <c r="A764" t="s">
        <v>3415</v>
      </c>
      <c r="B764" s="1936"/>
      <c r="C764" t="s">
        <v>2667</v>
      </c>
      <c r="D764" s="1936"/>
      <c r="E764" s="1936"/>
      <c r="F764" s="1941">
        <v>37954.39</v>
      </c>
      <c r="G764" s="1941">
        <v>37955</v>
      </c>
      <c r="H764" s="1937" t="str">
        <f>IFERROR(IF(F764&gt;=VLOOKUP(A764,[2]Materiality!$I$6:$J$12,2,TRUE),IFERROR(IF(VLOOKUP("*CR",F764,1,FALSE)&gt;=0,"",VLOOKUP("*CR",F764,1,FALSE)),F764),""),"")</f>
        <v/>
      </c>
      <c r="I764" s="1938">
        <f t="shared" si="11"/>
        <v>0</v>
      </c>
    </row>
    <row r="765" spans="1:9" x14ac:dyDescent="0.25">
      <c r="A765" t="s">
        <v>3414</v>
      </c>
      <c r="B765" s="1936"/>
      <c r="C765" t="s">
        <v>2668</v>
      </c>
      <c r="D765" s="1936"/>
      <c r="E765" s="1936"/>
      <c r="F765" s="1941">
        <v>115021.25</v>
      </c>
      <c r="G765" s="1941">
        <v>115835</v>
      </c>
      <c r="H765" s="1937" t="str">
        <f>IFERROR(IF(F765&gt;=VLOOKUP(A765,[2]Materiality!$I$6:$J$12,2,TRUE),IFERROR(IF(VLOOKUP("*CR",F765,1,FALSE)&gt;=0,"",VLOOKUP("*CR",F765,1,FALSE)),F765),""),"")</f>
        <v/>
      </c>
      <c r="I765" s="1938">
        <f t="shared" si="11"/>
        <v>0</v>
      </c>
    </row>
    <row r="766" spans="1:9" x14ac:dyDescent="0.25">
      <c r="A766" t="s">
        <v>3413</v>
      </c>
      <c r="B766" s="1936"/>
      <c r="C766" t="s">
        <v>2669</v>
      </c>
      <c r="D766" s="1936"/>
      <c r="E766" s="1936"/>
      <c r="F766" s="1941">
        <v>2548.84</v>
      </c>
      <c r="G766" s="1941">
        <v>4500</v>
      </c>
      <c r="H766" s="1937" t="str">
        <f>IFERROR(IF(F766&gt;=VLOOKUP(A766,[2]Materiality!$I$6:$J$12,2,TRUE),IFERROR(IF(VLOOKUP("*CR",F766,1,FALSE)&gt;=0,"",VLOOKUP("*CR",F766,1,FALSE)),F766),""),"")</f>
        <v/>
      </c>
      <c r="I766" s="1938">
        <f t="shared" si="11"/>
        <v>0</v>
      </c>
    </row>
    <row r="767" spans="1:9" x14ac:dyDescent="0.25">
      <c r="A767" t="s">
        <v>3638</v>
      </c>
      <c r="B767" s="1936"/>
      <c r="C767" t="s">
        <v>203</v>
      </c>
      <c r="D767" s="1936"/>
      <c r="E767" s="1936"/>
      <c r="F767" s="1941">
        <v>633612.06000000006</v>
      </c>
      <c r="G767" s="1941">
        <v>636379</v>
      </c>
      <c r="H767" s="1937">
        <f>IFERROR(IF(F767&gt;=VLOOKUP(A767,[2]Materiality!$I$6:$J$12,2,TRUE),IFERROR(IF(VLOOKUP("*CR",F767,1,FALSE)&gt;=0,"",VLOOKUP("*CR",F767,1,FALSE)),F767),""),"")</f>
        <v>633612.06000000006</v>
      </c>
      <c r="I767" s="1938">
        <f t="shared" si="11"/>
        <v>0</v>
      </c>
    </row>
    <row r="768" spans="1:9" x14ac:dyDescent="0.25">
      <c r="A768" t="s">
        <v>3412</v>
      </c>
      <c r="B768" s="1936"/>
      <c r="C768" t="s">
        <v>2670</v>
      </c>
      <c r="D768" s="1936"/>
      <c r="E768" s="1936"/>
      <c r="F768" s="1941">
        <v>9786</v>
      </c>
      <c r="G768" s="1941">
        <v>9786</v>
      </c>
      <c r="H768" s="1937" t="str">
        <f>IFERROR(IF(F768&gt;=VLOOKUP(A768,[2]Materiality!$I$6:$J$12,2,TRUE),IFERROR(IF(VLOOKUP("*CR",F768,1,FALSE)&gt;=0,"",VLOOKUP("*CR",F768,1,FALSE)),F768),""),"")</f>
        <v/>
      </c>
      <c r="I768" s="1938">
        <f t="shared" si="11"/>
        <v>0</v>
      </c>
    </row>
    <row r="769" spans="1:9" x14ac:dyDescent="0.25">
      <c r="A769" t="s">
        <v>3412</v>
      </c>
      <c r="B769" s="1936"/>
      <c r="C769" t="s">
        <v>2671</v>
      </c>
      <c r="D769" s="1936"/>
      <c r="E769" s="1936"/>
      <c r="F769" s="1941">
        <v>9404.8799999999992</v>
      </c>
      <c r="G769" s="1941">
        <v>9405</v>
      </c>
      <c r="H769" s="1937" t="str">
        <f>IFERROR(IF(F769&gt;=VLOOKUP(A769,[2]Materiality!$I$6:$J$12,2,TRUE),IFERROR(IF(VLOOKUP("*CR",F769,1,FALSE)&gt;=0,"",VLOOKUP("*CR",F769,1,FALSE)),F769),""),"")</f>
        <v/>
      </c>
      <c r="I769" s="1938">
        <f t="shared" si="11"/>
        <v>0</v>
      </c>
    </row>
    <row r="770" spans="1:9" x14ac:dyDescent="0.25">
      <c r="A770" t="s">
        <v>3412</v>
      </c>
      <c r="B770" s="1936"/>
      <c r="C770" t="s">
        <v>2672</v>
      </c>
      <c r="D770" s="1936"/>
      <c r="E770" s="1936"/>
      <c r="F770" s="1941">
        <v>10284.6</v>
      </c>
      <c r="G770" s="1941">
        <v>10285</v>
      </c>
      <c r="H770" s="1937" t="str">
        <f>IFERROR(IF(F770&gt;=VLOOKUP(A770,[2]Materiality!$I$6:$J$12,2,TRUE),IFERROR(IF(VLOOKUP("*CR",F770,1,FALSE)&gt;=0,"",VLOOKUP("*CR",F770,1,FALSE)),F770),""),"")</f>
        <v/>
      </c>
      <c r="I770" s="1938">
        <f t="shared" si="11"/>
        <v>0</v>
      </c>
    </row>
    <row r="771" spans="1:9" x14ac:dyDescent="0.25">
      <c r="A771" t="s">
        <v>3412</v>
      </c>
      <c r="B771" s="1936"/>
      <c r="C771" t="s">
        <v>2673</v>
      </c>
      <c r="D771" s="1936"/>
      <c r="E771" s="1936"/>
      <c r="F771" s="1941">
        <v>9579.84</v>
      </c>
      <c r="G771" s="1941">
        <v>9580</v>
      </c>
      <c r="H771" s="1937" t="str">
        <f>IFERROR(IF(F771&gt;=VLOOKUP(A771,[2]Materiality!$I$6:$J$12,2,TRUE),IFERROR(IF(VLOOKUP("*CR",F771,1,FALSE)&gt;=0,"",VLOOKUP("*CR",F771,1,FALSE)),F771),""),"")</f>
        <v/>
      </c>
      <c r="I771" s="1938">
        <f t="shared" si="11"/>
        <v>0</v>
      </c>
    </row>
    <row r="772" spans="1:9" x14ac:dyDescent="0.25">
      <c r="A772" t="s">
        <v>3412</v>
      </c>
      <c r="B772" s="1936"/>
      <c r="C772" t="s">
        <v>2674</v>
      </c>
      <c r="D772" s="1936"/>
      <c r="E772" s="1936"/>
      <c r="F772" s="1941">
        <v>9175.2000000000007</v>
      </c>
      <c r="G772" s="1941">
        <v>9175</v>
      </c>
      <c r="H772" s="1937" t="str">
        <f>IFERROR(IF(F772&gt;=VLOOKUP(A772,[2]Materiality!$I$6:$J$12,2,TRUE),IFERROR(IF(VLOOKUP("*CR",F772,1,FALSE)&gt;=0,"",VLOOKUP("*CR",F772,1,FALSE)),F772),""),"")</f>
        <v/>
      </c>
      <c r="I772" s="1938">
        <f t="shared" ref="I772:I835" si="12">IF(F772&lt;0,F772,0)</f>
        <v>0</v>
      </c>
    </row>
    <row r="773" spans="1:9" x14ac:dyDescent="0.25">
      <c r="A773" t="s">
        <v>3411</v>
      </c>
      <c r="B773" s="1936"/>
      <c r="C773" t="s">
        <v>2675</v>
      </c>
      <c r="D773" s="1936"/>
      <c r="E773" s="1936"/>
      <c r="F773" s="1941">
        <v>0</v>
      </c>
      <c r="G773" s="1941">
        <v>0</v>
      </c>
      <c r="H773" s="1937" t="str">
        <f>IFERROR(IF(F773&gt;=VLOOKUP(A773,[2]Materiality!$I$6:$J$12,2,TRUE),IFERROR(IF(VLOOKUP("*CR",F773,1,FALSE)&gt;=0,"",VLOOKUP("*CR",F773,1,FALSE)),F773),""),"")</f>
        <v/>
      </c>
      <c r="I773" s="1938">
        <f t="shared" si="12"/>
        <v>0</v>
      </c>
    </row>
    <row r="774" spans="1:9" x14ac:dyDescent="0.25">
      <c r="A774" t="s">
        <v>3410</v>
      </c>
      <c r="B774" s="1936"/>
      <c r="C774" t="s">
        <v>2676</v>
      </c>
      <c r="D774" s="1936"/>
      <c r="E774" s="1936"/>
      <c r="F774" s="1941">
        <v>31479.759999999998</v>
      </c>
      <c r="G774" s="1941">
        <v>31480</v>
      </c>
      <c r="H774" s="1937" t="str">
        <f>IFERROR(IF(F774&gt;=VLOOKUP(A774,[2]Materiality!$I$6:$J$12,2,TRUE),IFERROR(IF(VLOOKUP("*CR",F774,1,FALSE)&gt;=0,"",VLOOKUP("*CR",F774,1,FALSE)),F774),""),"")</f>
        <v/>
      </c>
      <c r="I774" s="1938">
        <f t="shared" si="12"/>
        <v>0</v>
      </c>
    </row>
    <row r="775" spans="1:9" x14ac:dyDescent="0.25">
      <c r="A775" t="s">
        <v>3410</v>
      </c>
      <c r="B775" s="1936"/>
      <c r="C775" t="s">
        <v>2677</v>
      </c>
      <c r="D775" s="1936"/>
      <c r="E775" s="1936"/>
      <c r="F775" s="1941">
        <v>30110.6</v>
      </c>
      <c r="G775" s="1941">
        <v>31480</v>
      </c>
      <c r="H775" s="1937" t="str">
        <f>IFERROR(IF(F775&gt;=VLOOKUP(A775,[2]Materiality!$I$6:$J$12,2,TRUE),IFERROR(IF(VLOOKUP("*CR",F775,1,FALSE)&gt;=0,"",VLOOKUP("*CR",F775,1,FALSE)),F775),""),"")</f>
        <v/>
      </c>
      <c r="I775" s="1938">
        <f t="shared" si="12"/>
        <v>0</v>
      </c>
    </row>
    <row r="776" spans="1:9" x14ac:dyDescent="0.25">
      <c r="A776" t="s">
        <v>3410</v>
      </c>
      <c r="B776" s="1936"/>
      <c r="C776" t="s">
        <v>2678</v>
      </c>
      <c r="D776" s="1936"/>
      <c r="E776" s="1936"/>
      <c r="F776" s="1941">
        <v>31479.759999999998</v>
      </c>
      <c r="G776" s="1941">
        <v>31480</v>
      </c>
      <c r="H776" s="1937" t="str">
        <f>IFERROR(IF(F776&gt;=VLOOKUP(A776,[2]Materiality!$I$6:$J$12,2,TRUE),IFERROR(IF(VLOOKUP("*CR",F776,1,FALSE)&gt;=0,"",VLOOKUP("*CR",F776,1,FALSE)),F776),""),"")</f>
        <v/>
      </c>
      <c r="I776" s="1938">
        <f t="shared" si="12"/>
        <v>0</v>
      </c>
    </row>
    <row r="777" spans="1:9" x14ac:dyDescent="0.25">
      <c r="A777" t="s">
        <v>3410</v>
      </c>
      <c r="B777" s="1936"/>
      <c r="C777" t="s">
        <v>2679</v>
      </c>
      <c r="D777" s="1936"/>
      <c r="E777" s="1936"/>
      <c r="F777" s="1941">
        <v>31479.759999999998</v>
      </c>
      <c r="G777" s="1941">
        <v>31480</v>
      </c>
      <c r="H777" s="1937" t="str">
        <f>IFERROR(IF(F777&gt;=VLOOKUP(A777,[2]Materiality!$I$6:$J$12,2,TRUE),IFERROR(IF(VLOOKUP("*CR",F777,1,FALSE)&gt;=0,"",VLOOKUP("*CR",F777,1,FALSE)),F777),""),"")</f>
        <v/>
      </c>
      <c r="I777" s="1938">
        <f t="shared" si="12"/>
        <v>0</v>
      </c>
    </row>
    <row r="778" spans="1:9" x14ac:dyDescent="0.25">
      <c r="A778" t="s">
        <v>3410</v>
      </c>
      <c r="B778" s="1936"/>
      <c r="C778" t="s">
        <v>2680</v>
      </c>
      <c r="D778" s="1936"/>
      <c r="E778" s="1936"/>
      <c r="F778" s="1941">
        <v>31479.759999999998</v>
      </c>
      <c r="G778" s="1941">
        <v>31480</v>
      </c>
      <c r="H778" s="1937" t="str">
        <f>IFERROR(IF(F778&gt;=VLOOKUP(A778,[2]Materiality!$I$6:$J$12,2,TRUE),IFERROR(IF(VLOOKUP("*CR",F778,1,FALSE)&gt;=0,"",VLOOKUP("*CR",F778,1,FALSE)),F778),""),"")</f>
        <v/>
      </c>
      <c r="I778" s="1938">
        <f t="shared" si="12"/>
        <v>0</v>
      </c>
    </row>
    <row r="779" spans="1:9" x14ac:dyDescent="0.25">
      <c r="A779" t="s">
        <v>3410</v>
      </c>
      <c r="B779" s="1936"/>
      <c r="C779" t="s">
        <v>2681</v>
      </c>
      <c r="D779" s="1936"/>
      <c r="E779" s="1936"/>
      <c r="F779" s="1941">
        <v>41074.800000000003</v>
      </c>
      <c r="G779" s="1941">
        <v>41075</v>
      </c>
      <c r="H779" s="1937" t="str">
        <f>IFERROR(IF(F779&gt;=VLOOKUP(A779,[2]Materiality!$I$6:$J$12,2,TRUE),IFERROR(IF(VLOOKUP("*CR",F779,1,FALSE)&gt;=0,"",VLOOKUP("*CR",F779,1,FALSE)),F779),""),"")</f>
        <v/>
      </c>
      <c r="I779" s="1938">
        <f t="shared" si="12"/>
        <v>0</v>
      </c>
    </row>
    <row r="780" spans="1:9" x14ac:dyDescent="0.25">
      <c r="A780" t="s">
        <v>3409</v>
      </c>
      <c r="B780" s="1936"/>
      <c r="C780" t="s">
        <v>2682</v>
      </c>
      <c r="D780" s="1936"/>
      <c r="E780" s="1936"/>
      <c r="F780" s="1941">
        <v>0</v>
      </c>
      <c r="G780" s="1941">
        <v>0</v>
      </c>
      <c r="H780" s="1937" t="str">
        <f>IFERROR(IF(F780&gt;=VLOOKUP(A780,[2]Materiality!$I$6:$J$12,2,TRUE),IFERROR(IF(VLOOKUP("*CR",F780,1,FALSE)&gt;=0,"",VLOOKUP("*CR",F780,1,FALSE)),F780),""),"")</f>
        <v/>
      </c>
      <c r="I780" s="1938">
        <f t="shared" si="12"/>
        <v>0</v>
      </c>
    </row>
    <row r="781" spans="1:9" x14ac:dyDescent="0.25">
      <c r="A781" t="s">
        <v>3409</v>
      </c>
      <c r="B781" s="1936"/>
      <c r="C781" t="s">
        <v>2683</v>
      </c>
      <c r="D781" s="1936"/>
      <c r="E781" s="1936"/>
      <c r="F781" s="1941">
        <v>0</v>
      </c>
      <c r="G781" s="1941">
        <v>0</v>
      </c>
      <c r="H781" s="1937" t="str">
        <f>IFERROR(IF(F781&gt;=VLOOKUP(A781,[2]Materiality!$I$6:$J$12,2,TRUE),IFERROR(IF(VLOOKUP("*CR",F781,1,FALSE)&gt;=0,"",VLOOKUP("*CR",F781,1,FALSE)),F781),""),"")</f>
        <v/>
      </c>
      <c r="I781" s="1938">
        <f t="shared" si="12"/>
        <v>0</v>
      </c>
    </row>
    <row r="782" spans="1:9" x14ac:dyDescent="0.25">
      <c r="A782" t="s">
        <v>3409</v>
      </c>
      <c r="B782" s="1936"/>
      <c r="C782" t="s">
        <v>2684</v>
      </c>
      <c r="D782" s="1936"/>
      <c r="E782" s="1936"/>
      <c r="F782" s="1941">
        <v>0</v>
      </c>
      <c r="G782" s="1941">
        <v>0</v>
      </c>
      <c r="H782" s="1937" t="str">
        <f>IFERROR(IF(F782&gt;=VLOOKUP(A782,[2]Materiality!$I$6:$J$12,2,TRUE),IFERROR(IF(VLOOKUP("*CR",F782,1,FALSE)&gt;=0,"",VLOOKUP("*CR",F782,1,FALSE)),F782),""),"")</f>
        <v/>
      </c>
      <c r="I782" s="1938">
        <f t="shared" si="12"/>
        <v>0</v>
      </c>
    </row>
    <row r="783" spans="1:9" x14ac:dyDescent="0.25">
      <c r="A783" t="s">
        <v>3409</v>
      </c>
      <c r="B783" s="1936"/>
      <c r="C783" t="s">
        <v>2685</v>
      </c>
      <c r="D783" s="1936"/>
      <c r="E783" s="1936"/>
      <c r="F783" s="1941">
        <v>0</v>
      </c>
      <c r="G783" s="1941">
        <v>0</v>
      </c>
      <c r="H783" s="1937" t="str">
        <f>IFERROR(IF(F783&gt;=VLOOKUP(A783,[2]Materiality!$I$6:$J$12,2,TRUE),IFERROR(IF(VLOOKUP("*CR",F783,1,FALSE)&gt;=0,"",VLOOKUP("*CR",F783,1,FALSE)),F783),""),"")</f>
        <v/>
      </c>
      <c r="I783" s="1938">
        <f t="shared" si="12"/>
        <v>0</v>
      </c>
    </row>
    <row r="784" spans="1:9" x14ac:dyDescent="0.25">
      <c r="A784" t="s">
        <v>3409</v>
      </c>
      <c r="B784" s="1936"/>
      <c r="C784" t="s">
        <v>2686</v>
      </c>
      <c r="D784" s="1936"/>
      <c r="E784" s="1936"/>
      <c r="F784" s="1941">
        <v>0</v>
      </c>
      <c r="G784" s="1941">
        <v>0</v>
      </c>
      <c r="H784" s="1937" t="str">
        <f>IFERROR(IF(F784&gt;=VLOOKUP(A784,[2]Materiality!$I$6:$J$12,2,TRUE),IFERROR(IF(VLOOKUP("*CR",F784,1,FALSE)&gt;=0,"",VLOOKUP("*CR",F784,1,FALSE)),F784),""),"")</f>
        <v/>
      </c>
      <c r="I784" s="1938">
        <f t="shared" si="12"/>
        <v>0</v>
      </c>
    </row>
    <row r="785" spans="1:9" x14ac:dyDescent="0.25">
      <c r="A785" t="s">
        <v>3408</v>
      </c>
      <c r="B785" s="1936"/>
      <c r="C785" t="s">
        <v>2687</v>
      </c>
      <c r="D785" s="1936"/>
      <c r="E785" s="1936"/>
      <c r="F785" s="1941">
        <v>584.88</v>
      </c>
      <c r="G785" s="1941">
        <v>585</v>
      </c>
      <c r="H785" s="1937" t="str">
        <f>IFERROR(IF(F785&gt;=VLOOKUP(A785,[2]Materiality!$I$6:$J$12,2,TRUE),IFERROR(IF(VLOOKUP("*CR",F785,1,FALSE)&gt;=0,"",VLOOKUP("*CR",F785,1,FALSE)),F785),""),"")</f>
        <v/>
      </c>
      <c r="I785" s="1938">
        <f t="shared" si="12"/>
        <v>0</v>
      </c>
    </row>
    <row r="786" spans="1:9" x14ac:dyDescent="0.25">
      <c r="A786" t="s">
        <v>3408</v>
      </c>
      <c r="B786" s="1936"/>
      <c r="C786" t="s">
        <v>2688</v>
      </c>
      <c r="D786" s="1936"/>
      <c r="E786" s="1936"/>
      <c r="F786" s="1941">
        <v>576.67999999999995</v>
      </c>
      <c r="G786" s="1941">
        <v>585</v>
      </c>
      <c r="H786" s="1937" t="str">
        <f>IFERROR(IF(F786&gt;=VLOOKUP(A786,[2]Materiality!$I$6:$J$12,2,TRUE),IFERROR(IF(VLOOKUP("*CR",F786,1,FALSE)&gt;=0,"",VLOOKUP("*CR",F786,1,FALSE)),F786),""),"")</f>
        <v/>
      </c>
      <c r="I786" s="1938">
        <f t="shared" si="12"/>
        <v>0</v>
      </c>
    </row>
    <row r="787" spans="1:9" x14ac:dyDescent="0.25">
      <c r="A787" t="s">
        <v>3408</v>
      </c>
      <c r="B787" s="1936"/>
      <c r="C787" t="s">
        <v>2689</v>
      </c>
      <c r="D787" s="1936"/>
      <c r="E787" s="1936"/>
      <c r="F787" s="1941">
        <v>584.88</v>
      </c>
      <c r="G787" s="1941">
        <v>585</v>
      </c>
      <c r="H787" s="1937" t="str">
        <f>IFERROR(IF(F787&gt;=VLOOKUP(A787,[2]Materiality!$I$6:$J$12,2,TRUE),IFERROR(IF(VLOOKUP("*CR",F787,1,FALSE)&gt;=0,"",VLOOKUP("*CR",F787,1,FALSE)),F787),""),"")</f>
        <v/>
      </c>
      <c r="I787" s="1938">
        <f t="shared" si="12"/>
        <v>0</v>
      </c>
    </row>
    <row r="788" spans="1:9" x14ac:dyDescent="0.25">
      <c r="A788" t="s">
        <v>3408</v>
      </c>
      <c r="B788" s="1936"/>
      <c r="C788" t="s">
        <v>2690</v>
      </c>
      <c r="D788" s="1936"/>
      <c r="E788" s="1936"/>
      <c r="F788" s="1941">
        <v>583.28</v>
      </c>
      <c r="G788" s="1941">
        <v>585</v>
      </c>
      <c r="H788" s="1937" t="str">
        <f>IFERROR(IF(F788&gt;=VLOOKUP(A788,[2]Materiality!$I$6:$J$12,2,TRUE),IFERROR(IF(VLOOKUP("*CR",F788,1,FALSE)&gt;=0,"",VLOOKUP("*CR",F788,1,FALSE)),F788),""),"")</f>
        <v/>
      </c>
      <c r="I788" s="1938">
        <f t="shared" si="12"/>
        <v>0</v>
      </c>
    </row>
    <row r="789" spans="1:9" x14ac:dyDescent="0.25">
      <c r="A789" t="s">
        <v>3408</v>
      </c>
      <c r="B789" s="1936"/>
      <c r="C789" t="s">
        <v>2691</v>
      </c>
      <c r="D789" s="1936"/>
      <c r="E789" s="1936"/>
      <c r="F789" s="1941">
        <v>584.88</v>
      </c>
      <c r="G789" s="1941">
        <v>585</v>
      </c>
      <c r="H789" s="1937" t="str">
        <f>IFERROR(IF(F789&gt;=VLOOKUP(A789,[2]Materiality!$I$6:$J$12,2,TRUE),IFERROR(IF(VLOOKUP("*CR",F789,1,FALSE)&gt;=0,"",VLOOKUP("*CR",F789,1,FALSE)),F789),""),"")</f>
        <v/>
      </c>
      <c r="I789" s="1938">
        <f t="shared" si="12"/>
        <v>0</v>
      </c>
    </row>
    <row r="790" spans="1:9" x14ac:dyDescent="0.25">
      <c r="A790" t="s">
        <v>3408</v>
      </c>
      <c r="B790" s="1936"/>
      <c r="C790" t="s">
        <v>2692</v>
      </c>
      <c r="D790" s="1936"/>
      <c r="E790" s="1936"/>
      <c r="F790" s="1941">
        <v>283.60000000000002</v>
      </c>
      <c r="G790" s="1941">
        <v>294</v>
      </c>
      <c r="H790" s="1937" t="str">
        <f>IFERROR(IF(F790&gt;=VLOOKUP(A790,[2]Materiality!$I$6:$J$12,2,TRUE),IFERROR(IF(VLOOKUP("*CR",F790,1,FALSE)&gt;=0,"",VLOOKUP("*CR",F790,1,FALSE)),F790),""),"")</f>
        <v/>
      </c>
      <c r="I790" s="1938">
        <f t="shared" si="12"/>
        <v>0</v>
      </c>
    </row>
    <row r="791" spans="1:9" x14ac:dyDescent="0.25">
      <c r="A791" t="s">
        <v>3407</v>
      </c>
      <c r="B791" s="1936"/>
      <c r="C791" t="s">
        <v>2693</v>
      </c>
      <c r="D791" s="1936"/>
      <c r="E791" s="1936"/>
      <c r="F791" s="1941">
        <v>499.92</v>
      </c>
      <c r="G791" s="1941">
        <v>500</v>
      </c>
      <c r="H791" s="1937" t="str">
        <f>IFERROR(IF(F791&gt;=VLOOKUP(A791,[2]Materiality!$I$6:$J$12,2,TRUE),IFERROR(IF(VLOOKUP("*CR",F791,1,FALSE)&gt;=0,"",VLOOKUP("*CR",F791,1,FALSE)),F791),""),"")</f>
        <v/>
      </c>
      <c r="I791" s="1938">
        <f t="shared" si="12"/>
        <v>0</v>
      </c>
    </row>
    <row r="792" spans="1:9" x14ac:dyDescent="0.25">
      <c r="A792" t="s">
        <v>3407</v>
      </c>
      <c r="B792" s="1936"/>
      <c r="C792" t="s">
        <v>2694</v>
      </c>
      <c r="D792" s="1936"/>
      <c r="E792" s="1936"/>
      <c r="F792" s="1941">
        <v>499.92</v>
      </c>
      <c r="G792" s="1941">
        <v>500</v>
      </c>
      <c r="H792" s="1937" t="str">
        <f>IFERROR(IF(F792&gt;=VLOOKUP(A792,[2]Materiality!$I$6:$J$12,2,TRUE),IFERROR(IF(VLOOKUP("*CR",F792,1,FALSE)&gt;=0,"",VLOOKUP("*CR",F792,1,FALSE)),F792),""),"")</f>
        <v/>
      </c>
      <c r="I792" s="1938">
        <f t="shared" si="12"/>
        <v>0</v>
      </c>
    </row>
    <row r="793" spans="1:9" x14ac:dyDescent="0.25">
      <c r="A793" t="s">
        <v>3407</v>
      </c>
      <c r="B793" s="1936"/>
      <c r="C793" t="s">
        <v>2695</v>
      </c>
      <c r="D793" s="1936"/>
      <c r="E793" s="1936"/>
      <c r="F793" s="1941">
        <v>499.92</v>
      </c>
      <c r="G793" s="1941">
        <v>500</v>
      </c>
      <c r="H793" s="1937" t="str">
        <f>IFERROR(IF(F793&gt;=VLOOKUP(A793,[2]Materiality!$I$6:$J$12,2,TRUE),IFERROR(IF(VLOOKUP("*CR",F793,1,FALSE)&gt;=0,"",VLOOKUP("*CR",F793,1,FALSE)),F793),""),"")</f>
        <v/>
      </c>
      <c r="I793" s="1938">
        <f t="shared" si="12"/>
        <v>0</v>
      </c>
    </row>
    <row r="794" spans="1:9" x14ac:dyDescent="0.25">
      <c r="A794" t="s">
        <v>3407</v>
      </c>
      <c r="B794" s="1936"/>
      <c r="C794" t="s">
        <v>2696</v>
      </c>
      <c r="D794" s="1936"/>
      <c r="E794" s="1936"/>
      <c r="F794" s="1941">
        <v>499.92</v>
      </c>
      <c r="G794" s="1941">
        <v>500</v>
      </c>
      <c r="H794" s="1937" t="str">
        <f>IFERROR(IF(F794&gt;=VLOOKUP(A794,[2]Materiality!$I$6:$J$12,2,TRUE),IFERROR(IF(VLOOKUP("*CR",F794,1,FALSE)&gt;=0,"",VLOOKUP("*CR",F794,1,FALSE)),F794),""),"")</f>
        <v/>
      </c>
      <c r="I794" s="1938">
        <f t="shared" si="12"/>
        <v>0</v>
      </c>
    </row>
    <row r="795" spans="1:9" x14ac:dyDescent="0.25">
      <c r="A795" t="s">
        <v>3407</v>
      </c>
      <c r="B795" s="1936"/>
      <c r="C795" t="s">
        <v>2697</v>
      </c>
      <c r="D795" s="1936"/>
      <c r="E795" s="1936"/>
      <c r="F795" s="1941">
        <v>499.92</v>
      </c>
      <c r="G795" s="1941">
        <v>500</v>
      </c>
      <c r="H795" s="1937" t="str">
        <f>IFERROR(IF(F795&gt;=VLOOKUP(A795,[2]Materiality!$I$6:$J$12,2,TRUE),IFERROR(IF(VLOOKUP("*CR",F795,1,FALSE)&gt;=0,"",VLOOKUP("*CR",F795,1,FALSE)),F795),""),"")</f>
        <v/>
      </c>
      <c r="I795" s="1938">
        <f t="shared" si="12"/>
        <v>0</v>
      </c>
    </row>
    <row r="796" spans="1:9" x14ac:dyDescent="0.25">
      <c r="A796" t="s">
        <v>3708</v>
      </c>
      <c r="B796" s="1936"/>
      <c r="C796" t="s">
        <v>51</v>
      </c>
      <c r="D796" s="1936"/>
      <c r="E796" s="1936"/>
      <c r="F796" s="1941">
        <v>251032.76</v>
      </c>
      <c r="G796" s="1941">
        <v>252425</v>
      </c>
      <c r="H796" s="1937">
        <f>IFERROR(IF(F796&gt;=VLOOKUP(A796,[2]Materiality!$I$6:$J$12,2,TRUE),IFERROR(IF(VLOOKUP("*CR",F796,1,FALSE)&gt;=0,"",VLOOKUP("*CR",F796,1,FALSE)),F796),""),"")</f>
        <v>251032.76</v>
      </c>
      <c r="I796" s="1938">
        <f t="shared" si="12"/>
        <v>0</v>
      </c>
    </row>
    <row r="797" spans="1:9" x14ac:dyDescent="0.25">
      <c r="A797" t="s">
        <v>3406</v>
      </c>
      <c r="B797" s="1936"/>
      <c r="C797" t="s">
        <v>2698</v>
      </c>
      <c r="D797" s="1936"/>
      <c r="E797" s="1936"/>
      <c r="F797" s="1941">
        <v>0</v>
      </c>
      <c r="G797" s="1941">
        <v>250</v>
      </c>
      <c r="H797" s="1937" t="str">
        <f>IFERROR(IF(F797&gt;=VLOOKUP(A797,[2]Materiality!$I$6:$J$12,2,TRUE),IFERROR(IF(VLOOKUP("*CR",F797,1,FALSE)&gt;=0,"",VLOOKUP("*CR",F797,1,FALSE)),F797),""),"")</f>
        <v/>
      </c>
      <c r="I797" s="1938">
        <f t="shared" si="12"/>
        <v>0</v>
      </c>
    </row>
    <row r="798" spans="1:9" x14ac:dyDescent="0.25">
      <c r="A798" t="s">
        <v>3406</v>
      </c>
      <c r="B798" s="1936"/>
      <c r="C798" t="s">
        <v>2699</v>
      </c>
      <c r="D798" s="1936"/>
      <c r="E798" s="1936"/>
      <c r="F798" s="1941">
        <v>0</v>
      </c>
      <c r="G798" s="1941">
        <v>250</v>
      </c>
      <c r="H798" s="1937" t="str">
        <f>IFERROR(IF(F798&gt;=VLOOKUP(A798,[2]Materiality!$I$6:$J$12,2,TRUE),IFERROR(IF(VLOOKUP("*CR",F798,1,FALSE)&gt;=0,"",VLOOKUP("*CR",F798,1,FALSE)),F798),""),"")</f>
        <v/>
      </c>
      <c r="I798" s="1938">
        <f t="shared" si="12"/>
        <v>0</v>
      </c>
    </row>
    <row r="799" spans="1:9" x14ac:dyDescent="0.25">
      <c r="A799" t="s">
        <v>3406</v>
      </c>
      <c r="B799" s="1936"/>
      <c r="C799" t="s">
        <v>2700</v>
      </c>
      <c r="D799" s="1936"/>
      <c r="E799" s="1936"/>
      <c r="F799" s="1941">
        <v>0</v>
      </c>
      <c r="G799" s="1941">
        <v>250</v>
      </c>
      <c r="H799" s="1937" t="str">
        <f>IFERROR(IF(F799&gt;=VLOOKUP(A799,[2]Materiality!$I$6:$J$12,2,TRUE),IFERROR(IF(VLOOKUP("*CR",F799,1,FALSE)&gt;=0,"",VLOOKUP("*CR",F799,1,FALSE)),F799),""),"")</f>
        <v/>
      </c>
      <c r="I799" s="1938">
        <f t="shared" si="12"/>
        <v>0</v>
      </c>
    </row>
    <row r="800" spans="1:9" x14ac:dyDescent="0.25">
      <c r="A800" t="s">
        <v>3406</v>
      </c>
      <c r="B800" s="1936"/>
      <c r="C800" t="s">
        <v>2701</v>
      </c>
      <c r="D800" s="1936"/>
      <c r="E800" s="1936"/>
      <c r="F800" s="1941">
        <v>0</v>
      </c>
      <c r="G800" s="1941">
        <v>250</v>
      </c>
      <c r="H800" s="1937" t="str">
        <f>IFERROR(IF(F800&gt;=VLOOKUP(A800,[2]Materiality!$I$6:$J$12,2,TRUE),IFERROR(IF(VLOOKUP("*CR",F800,1,FALSE)&gt;=0,"",VLOOKUP("*CR",F800,1,FALSE)),F800),""),"")</f>
        <v/>
      </c>
      <c r="I800" s="1938">
        <f t="shared" si="12"/>
        <v>0</v>
      </c>
    </row>
    <row r="801" spans="1:9" x14ac:dyDescent="0.25">
      <c r="A801" t="s">
        <v>3406</v>
      </c>
      <c r="B801" s="1936"/>
      <c r="C801" t="s">
        <v>2702</v>
      </c>
      <c r="D801" s="1936"/>
      <c r="E801" s="1936"/>
      <c r="F801" s="1941">
        <v>0</v>
      </c>
      <c r="G801" s="1941">
        <v>250</v>
      </c>
      <c r="H801" s="1937" t="str">
        <f>IFERROR(IF(F801&gt;=VLOOKUP(A801,[2]Materiality!$I$6:$J$12,2,TRUE),IFERROR(IF(VLOOKUP("*CR",F801,1,FALSE)&gt;=0,"",VLOOKUP("*CR",F801,1,FALSE)),F801),""),"")</f>
        <v/>
      </c>
      <c r="I801" s="1938">
        <f t="shared" si="12"/>
        <v>0</v>
      </c>
    </row>
    <row r="802" spans="1:9" x14ac:dyDescent="0.25">
      <c r="A802" t="s">
        <v>3405</v>
      </c>
      <c r="B802" s="1936"/>
      <c r="C802" t="s">
        <v>2212</v>
      </c>
      <c r="D802" s="1936"/>
      <c r="E802" s="1936"/>
      <c r="F802" s="1941">
        <v>0</v>
      </c>
      <c r="G802" s="1941">
        <v>0</v>
      </c>
      <c r="H802" s="1937" t="str">
        <f>IFERROR(IF(F802&gt;=VLOOKUP(A802,[2]Materiality!$I$6:$J$12,2,TRUE),IFERROR(IF(VLOOKUP("*CR",F802,1,FALSE)&gt;=0,"",VLOOKUP("*CR",F802,1,FALSE)),F802),""),"")</f>
        <v/>
      </c>
      <c r="I802" s="1938">
        <f t="shared" si="12"/>
        <v>0</v>
      </c>
    </row>
    <row r="803" spans="1:9" x14ac:dyDescent="0.25">
      <c r="A803" t="s">
        <v>3405</v>
      </c>
      <c r="B803" s="1936"/>
      <c r="C803" t="s">
        <v>2468</v>
      </c>
      <c r="D803" s="1936"/>
      <c r="E803" s="1936"/>
      <c r="F803" s="1941">
        <v>0</v>
      </c>
      <c r="G803" s="1941">
        <v>0</v>
      </c>
      <c r="H803" s="1937" t="str">
        <f>IFERROR(IF(F803&gt;=VLOOKUP(A803,[2]Materiality!$I$6:$J$12,2,TRUE),IFERROR(IF(VLOOKUP("*CR",F803,1,FALSE)&gt;=0,"",VLOOKUP("*CR",F803,1,FALSE)),F803),""),"")</f>
        <v/>
      </c>
      <c r="I803" s="1938">
        <f t="shared" si="12"/>
        <v>0</v>
      </c>
    </row>
    <row r="804" spans="1:9" x14ac:dyDescent="0.25">
      <c r="A804" t="s">
        <v>3405</v>
      </c>
      <c r="B804" s="1936"/>
      <c r="C804" t="s">
        <v>2212</v>
      </c>
      <c r="D804" s="1936"/>
      <c r="E804" s="1936"/>
      <c r="F804" s="1941">
        <v>0</v>
      </c>
      <c r="G804" s="1941">
        <v>0</v>
      </c>
      <c r="H804" s="1937" t="str">
        <f>IFERROR(IF(F804&gt;=VLOOKUP(A804,[2]Materiality!$I$6:$J$12,2,TRUE),IFERROR(IF(VLOOKUP("*CR",F804,1,FALSE)&gt;=0,"",VLOOKUP("*CR",F804,1,FALSE)),F804),""),"")</f>
        <v/>
      </c>
      <c r="I804" s="1938">
        <f t="shared" si="12"/>
        <v>0</v>
      </c>
    </row>
    <row r="805" spans="1:9" x14ac:dyDescent="0.25">
      <c r="A805" t="s">
        <v>3405</v>
      </c>
      <c r="B805" s="1936"/>
      <c r="C805" t="s">
        <v>2212</v>
      </c>
      <c r="D805" s="1936"/>
      <c r="E805" s="1936"/>
      <c r="F805" s="1941">
        <v>0</v>
      </c>
      <c r="G805" s="1941">
        <v>0</v>
      </c>
      <c r="H805" s="1937" t="str">
        <f>IFERROR(IF(F805&gt;=VLOOKUP(A805,[2]Materiality!$I$6:$J$12,2,TRUE),IFERROR(IF(VLOOKUP("*CR",F805,1,FALSE)&gt;=0,"",VLOOKUP("*CR",F805,1,FALSE)),F805),""),"")</f>
        <v/>
      </c>
      <c r="I805" s="1938">
        <f t="shared" si="12"/>
        <v>0</v>
      </c>
    </row>
    <row r="806" spans="1:9" x14ac:dyDescent="0.25">
      <c r="A806" t="s">
        <v>3405</v>
      </c>
      <c r="B806" s="1936"/>
      <c r="C806" t="s">
        <v>2703</v>
      </c>
      <c r="D806" s="1936"/>
      <c r="E806" s="1936"/>
      <c r="F806" s="1941">
        <v>0</v>
      </c>
      <c r="G806" s="1941">
        <v>0</v>
      </c>
      <c r="H806" s="1937" t="str">
        <f>IFERROR(IF(F806&gt;=VLOOKUP(A806,[2]Materiality!$I$6:$J$12,2,TRUE),IFERROR(IF(VLOOKUP("*CR",F806,1,FALSE)&gt;=0,"",VLOOKUP("*CR",F806,1,FALSE)),F806),""),"")</f>
        <v/>
      </c>
      <c r="I806" s="1938">
        <f t="shared" si="12"/>
        <v>0</v>
      </c>
    </row>
    <row r="807" spans="1:9" x14ac:dyDescent="0.25">
      <c r="A807" t="s">
        <v>3404</v>
      </c>
      <c r="B807" s="1936"/>
      <c r="C807" t="s">
        <v>2704</v>
      </c>
      <c r="D807" s="1936"/>
      <c r="E807" s="1936"/>
      <c r="F807" s="1941">
        <v>1570.6</v>
      </c>
      <c r="G807" s="1941">
        <v>1565</v>
      </c>
      <c r="H807" s="1937" t="str">
        <f>IFERROR(IF(F807&gt;=VLOOKUP(A807,[2]Materiality!$I$6:$J$12,2,TRUE),IFERROR(IF(VLOOKUP("*CR",F807,1,FALSE)&gt;=0,"",VLOOKUP("*CR",F807,1,FALSE)),F807),""),"")</f>
        <v/>
      </c>
      <c r="I807" s="1938">
        <f t="shared" si="12"/>
        <v>0</v>
      </c>
    </row>
    <row r="808" spans="1:9" x14ac:dyDescent="0.25">
      <c r="A808" t="s">
        <v>3404</v>
      </c>
      <c r="B808" s="1936"/>
      <c r="C808" t="s">
        <v>2705</v>
      </c>
      <c r="D808" s="1936"/>
      <c r="E808" s="1936"/>
      <c r="F808" s="1941">
        <v>899.55</v>
      </c>
      <c r="G808" s="1941">
        <v>1000</v>
      </c>
      <c r="H808" s="1937" t="str">
        <f>IFERROR(IF(F808&gt;=VLOOKUP(A808,[2]Materiality!$I$6:$J$12,2,TRUE),IFERROR(IF(VLOOKUP("*CR",F808,1,FALSE)&gt;=0,"",VLOOKUP("*CR",F808,1,FALSE)),F808),""),"")</f>
        <v/>
      </c>
      <c r="I808" s="1938">
        <f t="shared" si="12"/>
        <v>0</v>
      </c>
    </row>
    <row r="809" spans="1:9" x14ac:dyDescent="0.25">
      <c r="A809" t="s">
        <v>3404</v>
      </c>
      <c r="B809" s="1936"/>
      <c r="C809" t="s">
        <v>2706</v>
      </c>
      <c r="D809" s="1936"/>
      <c r="E809" s="1936"/>
      <c r="F809" s="1941">
        <v>1424.1</v>
      </c>
      <c r="G809" s="1941">
        <v>1425</v>
      </c>
      <c r="H809" s="1937" t="str">
        <f>IFERROR(IF(F809&gt;=VLOOKUP(A809,[2]Materiality!$I$6:$J$12,2,TRUE),IFERROR(IF(VLOOKUP("*CR",F809,1,FALSE)&gt;=0,"",VLOOKUP("*CR",F809,1,FALSE)),F809),""),"")</f>
        <v/>
      </c>
      <c r="I809" s="1938">
        <f t="shared" si="12"/>
        <v>0</v>
      </c>
    </row>
    <row r="810" spans="1:9" x14ac:dyDescent="0.25">
      <c r="A810" t="s">
        <v>3404</v>
      </c>
      <c r="B810" s="1936"/>
      <c r="C810" t="s">
        <v>2707</v>
      </c>
      <c r="D810" s="1936"/>
      <c r="E810" s="1936"/>
      <c r="F810" s="1941">
        <v>927.05</v>
      </c>
      <c r="G810" s="1941">
        <v>1000</v>
      </c>
      <c r="H810" s="1937" t="str">
        <f>IFERROR(IF(F810&gt;=VLOOKUP(A810,[2]Materiality!$I$6:$J$12,2,TRUE),IFERROR(IF(VLOOKUP("*CR",F810,1,FALSE)&gt;=0,"",VLOOKUP("*CR",F810,1,FALSE)),F810),""),"")</f>
        <v/>
      </c>
      <c r="I810" s="1938">
        <f t="shared" si="12"/>
        <v>0</v>
      </c>
    </row>
    <row r="811" spans="1:9" x14ac:dyDescent="0.25">
      <c r="A811" t="s">
        <v>3404</v>
      </c>
      <c r="B811" s="1936"/>
      <c r="C811" t="s">
        <v>2708</v>
      </c>
      <c r="D811" s="1936"/>
      <c r="E811" s="1936"/>
      <c r="F811" s="1941">
        <v>1570.55</v>
      </c>
      <c r="G811" s="1941">
        <v>1565</v>
      </c>
      <c r="H811" s="1937" t="str">
        <f>IFERROR(IF(F811&gt;=VLOOKUP(A811,[2]Materiality!$I$6:$J$12,2,TRUE),IFERROR(IF(VLOOKUP("*CR",F811,1,FALSE)&gt;=0,"",VLOOKUP("*CR",F811,1,FALSE)),F811),""),"")</f>
        <v/>
      </c>
      <c r="I811" s="1938">
        <f t="shared" si="12"/>
        <v>0</v>
      </c>
    </row>
    <row r="812" spans="1:9" x14ac:dyDescent="0.25">
      <c r="A812" t="s">
        <v>3403</v>
      </c>
      <c r="B812" s="1936"/>
      <c r="C812" t="s">
        <v>2709</v>
      </c>
      <c r="D812" s="1936"/>
      <c r="E812" s="1936"/>
      <c r="F812" s="1941">
        <v>1000</v>
      </c>
      <c r="G812" s="1941">
        <v>2000</v>
      </c>
      <c r="H812" s="1937" t="str">
        <f>IFERROR(IF(F812&gt;=VLOOKUP(A812,[2]Materiality!$I$6:$J$12,2,TRUE),IFERROR(IF(VLOOKUP("*CR",F812,1,FALSE)&gt;=0,"",VLOOKUP("*CR",F812,1,FALSE)),F812),""),"")</f>
        <v/>
      </c>
      <c r="I812" s="1938">
        <f t="shared" si="12"/>
        <v>0</v>
      </c>
    </row>
    <row r="813" spans="1:9" x14ac:dyDescent="0.25">
      <c r="A813" t="s">
        <v>3403</v>
      </c>
      <c r="B813" s="1936"/>
      <c r="C813" t="s">
        <v>2710</v>
      </c>
      <c r="D813" s="1936"/>
      <c r="E813" s="1936"/>
      <c r="F813" s="1941">
        <v>1000</v>
      </c>
      <c r="G813" s="1941">
        <v>2000</v>
      </c>
      <c r="H813" s="1937" t="str">
        <f>IFERROR(IF(F813&gt;=VLOOKUP(A813,[2]Materiality!$I$6:$J$12,2,TRUE),IFERROR(IF(VLOOKUP("*CR",F813,1,FALSE)&gt;=0,"",VLOOKUP("*CR",F813,1,FALSE)),F813),""),"")</f>
        <v/>
      </c>
      <c r="I813" s="1938">
        <f t="shared" si="12"/>
        <v>0</v>
      </c>
    </row>
    <row r="814" spans="1:9" x14ac:dyDescent="0.25">
      <c r="A814" t="s">
        <v>3403</v>
      </c>
      <c r="B814" s="1936"/>
      <c r="C814" t="s">
        <v>2711</v>
      </c>
      <c r="D814" s="1936"/>
      <c r="E814" s="1936"/>
      <c r="F814" s="1941">
        <v>1000</v>
      </c>
      <c r="G814" s="1941">
        <v>2000</v>
      </c>
      <c r="H814" s="1937" t="str">
        <f>IFERROR(IF(F814&gt;=VLOOKUP(A814,[2]Materiality!$I$6:$J$12,2,TRUE),IFERROR(IF(VLOOKUP("*CR",F814,1,FALSE)&gt;=0,"",VLOOKUP("*CR",F814,1,FALSE)),F814),""),"")</f>
        <v/>
      </c>
      <c r="I814" s="1938">
        <f t="shared" si="12"/>
        <v>0</v>
      </c>
    </row>
    <row r="815" spans="1:9" x14ac:dyDescent="0.25">
      <c r="A815" t="s">
        <v>3403</v>
      </c>
      <c r="B815" s="1936"/>
      <c r="C815" t="s">
        <v>2712</v>
      </c>
      <c r="D815" s="1936"/>
      <c r="E815" s="1936"/>
      <c r="F815" s="1941">
        <v>1000</v>
      </c>
      <c r="G815" s="1941">
        <v>2000</v>
      </c>
      <c r="H815" s="1937" t="str">
        <f>IFERROR(IF(F815&gt;=VLOOKUP(A815,[2]Materiality!$I$6:$J$12,2,TRUE),IFERROR(IF(VLOOKUP("*CR",F815,1,FALSE)&gt;=0,"",VLOOKUP("*CR",F815,1,FALSE)),F815),""),"")</f>
        <v/>
      </c>
      <c r="I815" s="1938">
        <f t="shared" si="12"/>
        <v>0</v>
      </c>
    </row>
    <row r="816" spans="1:9" x14ac:dyDescent="0.25">
      <c r="A816" t="s">
        <v>3403</v>
      </c>
      <c r="B816" s="1936"/>
      <c r="C816" t="s">
        <v>2713</v>
      </c>
      <c r="D816" s="1936"/>
      <c r="E816" s="1936"/>
      <c r="F816" s="1941">
        <v>1000</v>
      </c>
      <c r="G816" s="1941">
        <v>2000</v>
      </c>
      <c r="H816" s="1937" t="str">
        <f>IFERROR(IF(F816&gt;=VLOOKUP(A816,[2]Materiality!$I$6:$J$12,2,TRUE),IFERROR(IF(VLOOKUP("*CR",F816,1,FALSE)&gt;=0,"",VLOOKUP("*CR",F816,1,FALSE)),F816),""),"")</f>
        <v/>
      </c>
      <c r="I816" s="1938">
        <f t="shared" si="12"/>
        <v>0</v>
      </c>
    </row>
    <row r="817" spans="1:9" x14ac:dyDescent="0.25">
      <c r="A817" t="s">
        <v>3709</v>
      </c>
      <c r="B817" s="1936"/>
      <c r="C817" t="s">
        <v>1162</v>
      </c>
      <c r="D817" s="1936"/>
      <c r="E817" s="1936"/>
      <c r="F817" s="1941">
        <v>11391.85</v>
      </c>
      <c r="G817" s="1941">
        <v>17805</v>
      </c>
      <c r="H817" s="1937" t="str">
        <f>IFERROR(IF(F817&gt;=VLOOKUP(A817,[2]Materiality!$I$6:$J$12,2,TRUE),IFERROR(IF(VLOOKUP("*CR",F817,1,FALSE)&gt;=0,"",VLOOKUP("*CR",F817,1,FALSE)),F817),""),"")</f>
        <v/>
      </c>
      <c r="I817" s="1938">
        <f t="shared" si="12"/>
        <v>0</v>
      </c>
    </row>
    <row r="818" spans="1:9" x14ac:dyDescent="0.25">
      <c r="A818" t="s">
        <v>3402</v>
      </c>
      <c r="B818" s="1936"/>
      <c r="C818" t="s">
        <v>2714</v>
      </c>
      <c r="D818" s="1936"/>
      <c r="E818" s="1936"/>
      <c r="F818" s="1941">
        <v>97.69</v>
      </c>
      <c r="G818" s="1941">
        <v>700</v>
      </c>
      <c r="H818" s="1937" t="str">
        <f>IFERROR(IF(F818&gt;=VLOOKUP(A818,[2]Materiality!$I$6:$J$12,2,TRUE),IFERROR(IF(VLOOKUP("*CR",F818,1,FALSE)&gt;=0,"",VLOOKUP("*CR",F818,1,FALSE)),F818),""),"")</f>
        <v/>
      </c>
      <c r="I818" s="1938">
        <f t="shared" si="12"/>
        <v>0</v>
      </c>
    </row>
    <row r="819" spans="1:9" x14ac:dyDescent="0.25">
      <c r="A819" t="s">
        <v>3402</v>
      </c>
      <c r="B819" s="1936"/>
      <c r="C819" t="s">
        <v>2715</v>
      </c>
      <c r="D819" s="1936"/>
      <c r="E819" s="1936"/>
      <c r="F819" s="1941">
        <v>430.09</v>
      </c>
      <c r="G819" s="1941">
        <v>700</v>
      </c>
      <c r="H819" s="1937" t="str">
        <f>IFERROR(IF(F819&gt;=VLOOKUP(A819,[2]Materiality!$I$6:$J$12,2,TRUE),IFERROR(IF(VLOOKUP("*CR",F819,1,FALSE)&gt;=0,"",VLOOKUP("*CR",F819,1,FALSE)),F819),""),"")</f>
        <v/>
      </c>
      <c r="I819" s="1938">
        <f t="shared" si="12"/>
        <v>0</v>
      </c>
    </row>
    <row r="820" spans="1:9" x14ac:dyDescent="0.25">
      <c r="A820" t="s">
        <v>3402</v>
      </c>
      <c r="B820" s="1936"/>
      <c r="C820" t="s">
        <v>2716</v>
      </c>
      <c r="D820" s="1936"/>
      <c r="E820" s="1936"/>
      <c r="F820" s="1941">
        <v>537.84</v>
      </c>
      <c r="G820" s="1941">
        <v>700</v>
      </c>
      <c r="H820" s="1937" t="str">
        <f>IFERROR(IF(F820&gt;=VLOOKUP(A820,[2]Materiality!$I$6:$J$12,2,TRUE),IFERROR(IF(VLOOKUP("*CR",F820,1,FALSE)&gt;=0,"",VLOOKUP("*CR",F820,1,FALSE)),F820),""),"")</f>
        <v/>
      </c>
      <c r="I820" s="1938">
        <f t="shared" si="12"/>
        <v>0</v>
      </c>
    </row>
    <row r="821" spans="1:9" x14ac:dyDescent="0.25">
      <c r="A821" t="s">
        <v>3402</v>
      </c>
      <c r="B821" s="1936"/>
      <c r="C821" t="s">
        <v>2717</v>
      </c>
      <c r="D821" s="1936"/>
      <c r="E821" s="1936"/>
      <c r="F821" s="1941">
        <v>149.91999999999999</v>
      </c>
      <c r="G821" s="1941">
        <v>700</v>
      </c>
      <c r="H821" s="1937" t="str">
        <f>IFERROR(IF(F821&gt;=VLOOKUP(A821,[2]Materiality!$I$6:$J$12,2,TRUE),IFERROR(IF(VLOOKUP("*CR",F821,1,FALSE)&gt;=0,"",VLOOKUP("*CR",F821,1,FALSE)),F821),""),"")</f>
        <v/>
      </c>
      <c r="I821" s="1938">
        <f t="shared" si="12"/>
        <v>0</v>
      </c>
    </row>
    <row r="822" spans="1:9" x14ac:dyDescent="0.25">
      <c r="A822" t="s">
        <v>3402</v>
      </c>
      <c r="B822" s="1936"/>
      <c r="C822" t="s">
        <v>2718</v>
      </c>
      <c r="D822" s="1936"/>
      <c r="E822" s="1936"/>
      <c r="F822" s="1941">
        <v>0</v>
      </c>
      <c r="G822" s="1941">
        <v>700</v>
      </c>
      <c r="H822" s="1937" t="str">
        <f>IFERROR(IF(F822&gt;=VLOOKUP(A822,[2]Materiality!$I$6:$J$12,2,TRUE),IFERROR(IF(VLOOKUP("*CR",F822,1,FALSE)&gt;=0,"",VLOOKUP("*CR",F822,1,FALSE)),F822),""),"")</f>
        <v/>
      </c>
      <c r="I822" s="1938">
        <f t="shared" si="12"/>
        <v>0</v>
      </c>
    </row>
    <row r="823" spans="1:9" x14ac:dyDescent="0.25">
      <c r="A823" t="s">
        <v>3710</v>
      </c>
      <c r="B823" s="1936"/>
      <c r="C823" t="s">
        <v>2300</v>
      </c>
      <c r="D823" s="1936"/>
      <c r="E823" s="1936"/>
      <c r="F823" s="1941">
        <v>1215.54</v>
      </c>
      <c r="G823" s="1941">
        <v>3500</v>
      </c>
      <c r="H823" s="1937" t="str">
        <f>IFERROR(IF(F823&gt;=VLOOKUP(A823,[2]Materiality!$I$6:$J$12,2,TRUE),IFERROR(IF(VLOOKUP("*CR",F823,1,FALSE)&gt;=0,"",VLOOKUP("*CR",F823,1,FALSE)),F823),""),"")</f>
        <v/>
      </c>
      <c r="I823" s="1938">
        <f t="shared" si="12"/>
        <v>0</v>
      </c>
    </row>
    <row r="824" spans="1:9" x14ac:dyDescent="0.25">
      <c r="A824" t="s">
        <v>3401</v>
      </c>
      <c r="B824" s="1936"/>
      <c r="C824" t="s">
        <v>2719</v>
      </c>
      <c r="D824" s="1936"/>
      <c r="E824" s="1936"/>
      <c r="F824" s="1941">
        <v>0</v>
      </c>
      <c r="G824" s="1941">
        <v>1000</v>
      </c>
      <c r="H824" s="1937" t="str">
        <f>IFERROR(IF(F824&gt;=VLOOKUP(A824,[2]Materiality!$I$6:$J$12,2,TRUE),IFERROR(IF(VLOOKUP("*CR",F824,1,FALSE)&gt;=0,"",VLOOKUP("*CR",F824,1,FALSE)),F824),""),"")</f>
        <v/>
      </c>
      <c r="I824" s="1938">
        <f t="shared" si="12"/>
        <v>0</v>
      </c>
    </row>
    <row r="825" spans="1:9" x14ac:dyDescent="0.25">
      <c r="A825" t="s">
        <v>3711</v>
      </c>
      <c r="B825" s="1936"/>
      <c r="C825" t="s">
        <v>1157</v>
      </c>
      <c r="D825" s="1936"/>
      <c r="E825" s="1936"/>
      <c r="F825" s="1941">
        <v>0</v>
      </c>
      <c r="G825" s="1941">
        <v>1000</v>
      </c>
      <c r="H825" s="1937" t="str">
        <f>IFERROR(IF(F825&gt;=VLOOKUP(A825,[2]Materiality!$I$6:$J$12,2,TRUE),IFERROR(IF(VLOOKUP("*CR",F825,1,FALSE)&gt;=0,"",VLOOKUP("*CR",F825,1,FALSE)),F825),""),"")</f>
        <v/>
      </c>
      <c r="I825" s="1938">
        <f t="shared" si="12"/>
        <v>0</v>
      </c>
    </row>
    <row r="826" spans="1:9" x14ac:dyDescent="0.25">
      <c r="A826" t="s">
        <v>3400</v>
      </c>
      <c r="B826" s="1936"/>
      <c r="C826" t="s">
        <v>2720</v>
      </c>
      <c r="D826" s="1936"/>
      <c r="E826" s="1936"/>
      <c r="F826" s="1941">
        <v>3591.3</v>
      </c>
      <c r="G826" s="1941">
        <v>4500</v>
      </c>
      <c r="H826" s="1937" t="str">
        <f>IFERROR(IF(F826&gt;=VLOOKUP(A826,[2]Materiality!$I$6:$J$12,2,TRUE),IFERROR(IF(VLOOKUP("*CR",F826,1,FALSE)&gt;=0,"",VLOOKUP("*CR",F826,1,FALSE)),F826),""),"")</f>
        <v/>
      </c>
      <c r="I826" s="1938">
        <f t="shared" si="12"/>
        <v>0</v>
      </c>
    </row>
    <row r="827" spans="1:9" x14ac:dyDescent="0.25">
      <c r="A827" t="s">
        <v>3714</v>
      </c>
      <c r="B827" s="1936"/>
      <c r="C827" t="s">
        <v>1158</v>
      </c>
      <c r="D827" s="1936"/>
      <c r="E827" s="1936"/>
      <c r="F827" s="1941">
        <v>3591.3</v>
      </c>
      <c r="G827" s="1941">
        <v>4500</v>
      </c>
      <c r="H827" s="1937">
        <f>IFERROR(IF(F827&gt;=VLOOKUP(A827,[2]Materiality!$I$6:$J$12,2,TRUE),IFERROR(IF(VLOOKUP("*CR",F827,1,FALSE)&gt;=0,"",VLOOKUP("*CR",F827,1,FALSE)),F827),""),"")</f>
        <v>3591.3</v>
      </c>
      <c r="I827" s="1938">
        <f t="shared" si="12"/>
        <v>0</v>
      </c>
    </row>
    <row r="828" spans="1:9" x14ac:dyDescent="0.25">
      <c r="A828" t="s">
        <v>3743</v>
      </c>
      <c r="B828" s="1936"/>
      <c r="C828" t="s">
        <v>2721</v>
      </c>
      <c r="D828" s="1936"/>
      <c r="E828" s="1936"/>
      <c r="F828" s="1941">
        <v>900843.51</v>
      </c>
      <c r="G828" s="1941">
        <v>915609</v>
      </c>
      <c r="H828" s="1937">
        <f>IFERROR(IF(F828&gt;=VLOOKUP(A828,[2]Materiality!$I$6:$J$12,2,TRUE),IFERROR(IF(VLOOKUP("*CR",F828,1,FALSE)&gt;=0,"",VLOOKUP("*CR",F828,1,FALSE)),F828),""),"")</f>
        <v>900843.51</v>
      </c>
      <c r="I828" s="1938">
        <f t="shared" si="12"/>
        <v>0</v>
      </c>
    </row>
    <row r="829" spans="1:9" x14ac:dyDescent="0.25">
      <c r="A829" t="s">
        <v>3399</v>
      </c>
      <c r="B829" s="1936"/>
      <c r="C829" t="s">
        <v>2722</v>
      </c>
      <c r="D829" s="1936"/>
      <c r="E829" s="1936"/>
      <c r="F829" s="1941">
        <v>63875.72</v>
      </c>
      <c r="G829" s="1941">
        <v>63876</v>
      </c>
      <c r="H829" s="1937" t="str">
        <f>IFERROR(IF(F829&gt;=VLOOKUP(A829,[2]Materiality!$I$6:$J$12,2,TRUE),IFERROR(IF(VLOOKUP("*CR",F829,1,FALSE)&gt;=0,"",VLOOKUP("*CR",F829,1,FALSE)),F829),""),"")</f>
        <v/>
      </c>
      <c r="I829" s="1938">
        <f t="shared" si="12"/>
        <v>0</v>
      </c>
    </row>
    <row r="830" spans="1:9" x14ac:dyDescent="0.25">
      <c r="A830" t="s">
        <v>3398</v>
      </c>
      <c r="B830" s="1936"/>
      <c r="C830" t="s">
        <v>2723</v>
      </c>
      <c r="D830" s="1936"/>
      <c r="E830" s="1936"/>
      <c r="F830" s="1941">
        <v>33930</v>
      </c>
      <c r="G830" s="1941">
        <v>33930</v>
      </c>
      <c r="H830" s="1937" t="str">
        <f>IFERROR(IF(F830&gt;=VLOOKUP(A830,[2]Materiality!$I$6:$J$12,2,TRUE),IFERROR(IF(VLOOKUP("*CR",F830,1,FALSE)&gt;=0,"",VLOOKUP("*CR",F830,1,FALSE)),F830),""),"")</f>
        <v/>
      </c>
      <c r="I830" s="1938">
        <f t="shared" si="12"/>
        <v>0</v>
      </c>
    </row>
    <row r="831" spans="1:9" x14ac:dyDescent="0.25">
      <c r="A831" t="s">
        <v>3397</v>
      </c>
      <c r="B831" s="1936"/>
      <c r="C831" t="s">
        <v>2212</v>
      </c>
      <c r="D831" s="1936"/>
      <c r="E831" s="1936"/>
      <c r="F831" s="1941">
        <v>0</v>
      </c>
      <c r="G831" s="1941">
        <v>0</v>
      </c>
      <c r="H831" s="1937" t="str">
        <f>IFERROR(IF(F831&gt;=VLOOKUP(A831,[2]Materiality!$I$6:$J$12,2,TRUE),IFERROR(IF(VLOOKUP("*CR",F831,1,FALSE)&gt;=0,"",VLOOKUP("*CR",F831,1,FALSE)),F831),""),"")</f>
        <v/>
      </c>
      <c r="I831" s="1938">
        <f t="shared" si="12"/>
        <v>0</v>
      </c>
    </row>
    <row r="832" spans="1:9" x14ac:dyDescent="0.25">
      <c r="A832" t="s">
        <v>3638</v>
      </c>
      <c r="B832" s="1936"/>
      <c r="C832" t="s">
        <v>203</v>
      </c>
      <c r="D832" s="1936"/>
      <c r="E832" s="1936"/>
      <c r="F832" s="1941">
        <v>97805.72</v>
      </c>
      <c r="G832" s="1941">
        <v>97806</v>
      </c>
      <c r="H832" s="1937" t="str">
        <f>IFERROR(IF(F832&gt;=VLOOKUP(A832,[2]Materiality!$I$6:$J$12,2,TRUE),IFERROR(IF(VLOOKUP("*CR",F832,1,FALSE)&gt;=0,"",VLOOKUP("*CR",F832,1,FALSE)),F832),""),"")</f>
        <v/>
      </c>
      <c r="I832" s="1938">
        <f t="shared" si="12"/>
        <v>0</v>
      </c>
    </row>
    <row r="833" spans="1:9" x14ac:dyDescent="0.25">
      <c r="A833" t="s">
        <v>3396</v>
      </c>
      <c r="B833" s="1936"/>
      <c r="C833" t="s">
        <v>2724</v>
      </c>
      <c r="D833" s="1936"/>
      <c r="E833" s="1936"/>
      <c r="F833" s="1941">
        <v>31479.759999999998</v>
      </c>
      <c r="G833" s="1941">
        <v>31480</v>
      </c>
      <c r="H833" s="1937" t="str">
        <f>IFERROR(IF(F833&gt;=VLOOKUP(A833,[2]Materiality!$I$6:$J$12,2,TRUE),IFERROR(IF(VLOOKUP("*CR",F833,1,FALSE)&gt;=0,"",VLOOKUP("*CR",F833,1,FALSE)),F833),""),"")</f>
        <v/>
      </c>
      <c r="I833" s="1938">
        <f t="shared" si="12"/>
        <v>0</v>
      </c>
    </row>
    <row r="834" spans="1:9" x14ac:dyDescent="0.25">
      <c r="A834" t="s">
        <v>3395</v>
      </c>
      <c r="B834" s="1936"/>
      <c r="C834" t="s">
        <v>2725</v>
      </c>
      <c r="D834" s="1936"/>
      <c r="E834" s="1936"/>
      <c r="F834" s="1941">
        <v>0</v>
      </c>
      <c r="G834" s="1941">
        <v>0</v>
      </c>
      <c r="H834" s="1937" t="str">
        <f>IFERROR(IF(F834&gt;=VLOOKUP(A834,[2]Materiality!$I$6:$J$12,2,TRUE),IFERROR(IF(VLOOKUP("*CR",F834,1,FALSE)&gt;=0,"",VLOOKUP("*CR",F834,1,FALSE)),F834),""),"")</f>
        <v/>
      </c>
      <c r="I834" s="1938">
        <f t="shared" si="12"/>
        <v>0</v>
      </c>
    </row>
    <row r="835" spans="1:9" x14ac:dyDescent="0.25">
      <c r="A835" t="s">
        <v>3394</v>
      </c>
      <c r="B835" s="1936"/>
      <c r="C835" t="s">
        <v>2726</v>
      </c>
      <c r="D835" s="1936"/>
      <c r="E835" s="1936"/>
      <c r="F835" s="1941">
        <v>584.88</v>
      </c>
      <c r="G835" s="1941">
        <v>601</v>
      </c>
      <c r="H835" s="1937" t="str">
        <f>IFERROR(IF(F835&gt;=VLOOKUP(A835,[2]Materiality!$I$6:$J$12,2,TRUE),IFERROR(IF(VLOOKUP("*CR",F835,1,FALSE)&gt;=0,"",VLOOKUP("*CR",F835,1,FALSE)),F835),""),"")</f>
        <v/>
      </c>
      <c r="I835" s="1938">
        <f t="shared" si="12"/>
        <v>0</v>
      </c>
    </row>
    <row r="836" spans="1:9" x14ac:dyDescent="0.25">
      <c r="A836" t="s">
        <v>3708</v>
      </c>
      <c r="B836" s="1936"/>
      <c r="C836" t="s">
        <v>51</v>
      </c>
      <c r="D836" s="1936"/>
      <c r="E836" s="1936"/>
      <c r="F836" s="1941">
        <v>32064.639999999999</v>
      </c>
      <c r="G836" s="1941">
        <v>32081</v>
      </c>
      <c r="H836" s="1937">
        <f>IFERROR(IF(F836&gt;=VLOOKUP(A836,[2]Materiality!$I$6:$J$12,2,TRUE),IFERROR(IF(VLOOKUP("*CR",F836,1,FALSE)&gt;=0,"",VLOOKUP("*CR",F836,1,FALSE)),F836),""),"")</f>
        <v>32064.639999999999</v>
      </c>
      <c r="I836" s="1938">
        <f t="shared" ref="I836:I899" si="13">IF(F836&lt;0,F836,0)</f>
        <v>0</v>
      </c>
    </row>
    <row r="837" spans="1:9" x14ac:dyDescent="0.25">
      <c r="A837" t="s">
        <v>3393</v>
      </c>
      <c r="B837" s="1936"/>
      <c r="C837" t="s">
        <v>2727</v>
      </c>
      <c r="D837" s="1936"/>
      <c r="E837" s="1936"/>
      <c r="F837" s="1941">
        <v>1500</v>
      </c>
      <c r="G837" s="1941">
        <v>1500</v>
      </c>
      <c r="H837" s="1937" t="str">
        <f>IFERROR(IF(F837&gt;=VLOOKUP(A837,[2]Materiality!$I$6:$J$12,2,TRUE),IFERROR(IF(VLOOKUP("*CR",F837,1,FALSE)&gt;=0,"",VLOOKUP("*CR",F837,1,FALSE)),F837),""),"")</f>
        <v/>
      </c>
      <c r="I837" s="1938">
        <f t="shared" si="13"/>
        <v>0</v>
      </c>
    </row>
    <row r="838" spans="1:9" x14ac:dyDescent="0.25">
      <c r="A838" t="s">
        <v>3392</v>
      </c>
      <c r="B838" s="1936"/>
      <c r="C838" t="s">
        <v>2728</v>
      </c>
      <c r="D838" s="1936"/>
      <c r="E838" s="1936"/>
      <c r="F838" s="1941">
        <v>12500</v>
      </c>
      <c r="G838" s="1941">
        <v>12500</v>
      </c>
      <c r="H838" s="1937" t="str">
        <f>IFERROR(IF(F838&gt;=VLOOKUP(A838,[2]Materiality!$I$6:$J$12,2,TRUE),IFERROR(IF(VLOOKUP("*CR",F838,1,FALSE)&gt;=0,"",VLOOKUP("*CR",F838,1,FALSE)),F838),""),"")</f>
        <v/>
      </c>
      <c r="I838" s="1938">
        <f t="shared" si="13"/>
        <v>0</v>
      </c>
    </row>
    <row r="839" spans="1:9" x14ac:dyDescent="0.25">
      <c r="A839" t="s">
        <v>3391</v>
      </c>
      <c r="B839" s="1936"/>
      <c r="C839" t="s">
        <v>2729</v>
      </c>
      <c r="D839" s="1936"/>
      <c r="E839" s="1936"/>
      <c r="F839" s="1941">
        <v>5753.06</v>
      </c>
      <c r="G839" s="1941">
        <v>5200</v>
      </c>
      <c r="H839" s="1937" t="str">
        <f>IFERROR(IF(F839&gt;=VLOOKUP(A839,[2]Materiality!$I$6:$J$12,2,TRUE),IFERROR(IF(VLOOKUP("*CR",F839,1,FALSE)&gt;=0,"",VLOOKUP("*CR",F839,1,FALSE)),F839),""),"")</f>
        <v/>
      </c>
      <c r="I839" s="1938">
        <f t="shared" si="13"/>
        <v>0</v>
      </c>
    </row>
    <row r="840" spans="1:9" x14ac:dyDescent="0.25">
      <c r="A840" t="s">
        <v>3390</v>
      </c>
      <c r="B840" s="1936"/>
      <c r="C840" t="s">
        <v>2730</v>
      </c>
      <c r="D840" s="1936"/>
      <c r="E840" s="1936"/>
      <c r="F840" s="1941">
        <v>3200</v>
      </c>
      <c r="G840" s="1941">
        <v>3200</v>
      </c>
      <c r="H840" s="1937" t="str">
        <f>IFERROR(IF(F840&gt;=VLOOKUP(A840,[2]Materiality!$I$6:$J$12,2,TRUE),IFERROR(IF(VLOOKUP("*CR",F840,1,FALSE)&gt;=0,"",VLOOKUP("*CR",F840,1,FALSE)),F840),""),"")</f>
        <v/>
      </c>
      <c r="I840" s="1938">
        <f t="shared" si="13"/>
        <v>0</v>
      </c>
    </row>
    <row r="841" spans="1:9" x14ac:dyDescent="0.25">
      <c r="A841" t="s">
        <v>3389</v>
      </c>
      <c r="B841" s="1936"/>
      <c r="C841" t="s">
        <v>2731</v>
      </c>
      <c r="D841" s="1936"/>
      <c r="E841" s="1936"/>
      <c r="F841" s="1941">
        <v>2522.62</v>
      </c>
      <c r="G841" s="1941">
        <v>2000</v>
      </c>
      <c r="H841" s="1937" t="str">
        <f>IFERROR(IF(F841&gt;=VLOOKUP(A841,[2]Materiality!$I$6:$J$12,2,TRUE),IFERROR(IF(VLOOKUP("*CR",F841,1,FALSE)&gt;=0,"",VLOOKUP("*CR",F841,1,FALSE)),F841),""),"")</f>
        <v/>
      </c>
      <c r="I841" s="1938">
        <f t="shared" si="13"/>
        <v>0</v>
      </c>
    </row>
    <row r="842" spans="1:9" x14ac:dyDescent="0.25">
      <c r="A842" t="s">
        <v>3388</v>
      </c>
      <c r="B842" s="1936"/>
      <c r="C842" t="s">
        <v>2732</v>
      </c>
      <c r="D842" s="1936"/>
      <c r="E842" s="1936"/>
      <c r="F842" s="1941">
        <v>3694.83</v>
      </c>
      <c r="G842" s="1941">
        <v>7500</v>
      </c>
      <c r="H842" s="1937" t="str">
        <f>IFERROR(IF(F842&gt;=VLOOKUP(A842,[2]Materiality!$I$6:$J$12,2,TRUE),IFERROR(IF(VLOOKUP("*CR",F842,1,FALSE)&gt;=0,"",VLOOKUP("*CR",F842,1,FALSE)),F842),""),"")</f>
        <v/>
      </c>
      <c r="I842" s="1938">
        <f t="shared" si="13"/>
        <v>0</v>
      </c>
    </row>
    <row r="843" spans="1:9" x14ac:dyDescent="0.25">
      <c r="A843" t="s">
        <v>3709</v>
      </c>
      <c r="B843" s="1936"/>
      <c r="C843" t="s">
        <v>1162</v>
      </c>
      <c r="D843" s="1936"/>
      <c r="E843" s="1936"/>
      <c r="F843" s="1941">
        <v>29170.51</v>
      </c>
      <c r="G843" s="1941">
        <v>31900</v>
      </c>
      <c r="H843" s="1937">
        <f>IFERROR(IF(F843&gt;=VLOOKUP(A843,[2]Materiality!$I$6:$J$12,2,TRUE),IFERROR(IF(VLOOKUP("*CR",F843,1,FALSE)&gt;=0,"",VLOOKUP("*CR",F843,1,FALSE)),F843),""),"")</f>
        <v>29170.51</v>
      </c>
      <c r="I843" s="1938">
        <f t="shared" si="13"/>
        <v>0</v>
      </c>
    </row>
    <row r="844" spans="1:9" x14ac:dyDescent="0.25">
      <c r="A844" t="s">
        <v>3387</v>
      </c>
      <c r="B844" s="1936"/>
      <c r="C844" t="s">
        <v>2733</v>
      </c>
      <c r="D844" s="1936"/>
      <c r="E844" s="1936"/>
      <c r="F844" s="1941">
        <v>1834.57</v>
      </c>
      <c r="G844" s="1941">
        <v>1500</v>
      </c>
      <c r="H844" s="1937" t="str">
        <f>IFERROR(IF(F844&gt;=VLOOKUP(A844,[2]Materiality!$I$6:$J$12,2,TRUE),IFERROR(IF(VLOOKUP("*CR",F844,1,FALSE)&gt;=0,"",VLOOKUP("*CR",F844,1,FALSE)),F844),""),"")</f>
        <v/>
      </c>
      <c r="I844" s="1938">
        <f t="shared" si="13"/>
        <v>0</v>
      </c>
    </row>
    <row r="845" spans="1:9" x14ac:dyDescent="0.25">
      <c r="A845" t="s">
        <v>3710</v>
      </c>
      <c r="B845" s="1936"/>
      <c r="C845" t="s">
        <v>2300</v>
      </c>
      <c r="D845" s="1936"/>
      <c r="E845" s="1936"/>
      <c r="F845" s="1941">
        <v>1834.57</v>
      </c>
      <c r="G845" s="1941">
        <v>1500</v>
      </c>
      <c r="H845" s="1937" t="str">
        <f>IFERROR(IF(F845&gt;=VLOOKUP(A845,[2]Materiality!$I$6:$J$12,2,TRUE),IFERROR(IF(VLOOKUP("*CR",F845,1,FALSE)&gt;=0,"",VLOOKUP("*CR",F845,1,FALSE)),F845),""),"")</f>
        <v/>
      </c>
      <c r="I845" s="1938">
        <f t="shared" si="13"/>
        <v>0</v>
      </c>
    </row>
    <row r="846" spans="1:9" x14ac:dyDescent="0.25">
      <c r="A846" t="s">
        <v>3386</v>
      </c>
      <c r="B846" s="1936"/>
      <c r="C846" t="s">
        <v>2734</v>
      </c>
      <c r="D846" s="1936"/>
      <c r="E846" s="1936"/>
      <c r="F846" s="1941">
        <v>0</v>
      </c>
      <c r="G846" s="1941">
        <v>500</v>
      </c>
      <c r="H846" s="1937" t="str">
        <f>IFERROR(IF(F846&gt;=VLOOKUP(A846,[2]Materiality!$I$6:$J$12,2,TRUE),IFERROR(IF(VLOOKUP("*CR",F846,1,FALSE)&gt;=0,"",VLOOKUP("*CR",F846,1,FALSE)),F846),""),"")</f>
        <v/>
      </c>
      <c r="I846" s="1938">
        <f t="shared" si="13"/>
        <v>0</v>
      </c>
    </row>
    <row r="847" spans="1:9" x14ac:dyDescent="0.25">
      <c r="A847" t="s">
        <v>3711</v>
      </c>
      <c r="B847" s="1936"/>
      <c r="C847" t="s">
        <v>1157</v>
      </c>
      <c r="D847" s="1936"/>
      <c r="E847" s="1936"/>
      <c r="F847" s="1941">
        <v>0</v>
      </c>
      <c r="G847" s="1941">
        <v>500</v>
      </c>
      <c r="H847" s="1937" t="str">
        <f>IFERROR(IF(F847&gt;=VLOOKUP(A847,[2]Materiality!$I$6:$J$12,2,TRUE),IFERROR(IF(VLOOKUP("*CR",F847,1,FALSE)&gt;=0,"",VLOOKUP("*CR",F847,1,FALSE)),F847),""),"")</f>
        <v/>
      </c>
      <c r="I847" s="1938">
        <f t="shared" si="13"/>
        <v>0</v>
      </c>
    </row>
    <row r="848" spans="1:9" x14ac:dyDescent="0.25">
      <c r="A848" t="s">
        <v>3385</v>
      </c>
      <c r="B848" s="1936"/>
      <c r="C848" t="s">
        <v>2735</v>
      </c>
      <c r="D848" s="1936"/>
      <c r="E848" s="1936"/>
      <c r="F848" s="1941">
        <v>0</v>
      </c>
      <c r="G848" s="1941">
        <v>1000</v>
      </c>
      <c r="H848" s="1937" t="str">
        <f>IFERROR(IF(F848&gt;=VLOOKUP(A848,[2]Materiality!$I$6:$J$12,2,TRUE),IFERROR(IF(VLOOKUP("*CR",F848,1,FALSE)&gt;=0,"",VLOOKUP("*CR",F848,1,FALSE)),F848),""),"")</f>
        <v/>
      </c>
      <c r="I848" s="1938">
        <f t="shared" si="13"/>
        <v>0</v>
      </c>
    </row>
    <row r="849" spans="1:9" x14ac:dyDescent="0.25">
      <c r="A849" t="s">
        <v>3714</v>
      </c>
      <c r="B849" s="1936"/>
      <c r="C849" t="s">
        <v>1158</v>
      </c>
      <c r="D849" s="1936"/>
      <c r="E849" s="1936"/>
      <c r="F849" s="1941">
        <v>0</v>
      </c>
      <c r="G849" s="1941">
        <v>1000</v>
      </c>
      <c r="H849" s="1937">
        <f>IFERROR(IF(F849&gt;=VLOOKUP(A849,[2]Materiality!$I$6:$J$12,2,TRUE),IFERROR(IF(VLOOKUP("*CR",F849,1,FALSE)&gt;=0,"",VLOOKUP("*CR",F849,1,FALSE)),F849),""),"")</f>
        <v>0</v>
      </c>
      <c r="I849" s="1938">
        <f t="shared" si="13"/>
        <v>0</v>
      </c>
    </row>
    <row r="850" spans="1:9" x14ac:dyDescent="0.25">
      <c r="A850" t="s">
        <v>3744</v>
      </c>
      <c r="B850" s="1936"/>
      <c r="C850" t="s">
        <v>483</v>
      </c>
      <c r="D850" s="1936"/>
      <c r="E850" s="1936"/>
      <c r="F850" s="1941">
        <v>160875.44</v>
      </c>
      <c r="G850" s="1941">
        <v>164787</v>
      </c>
      <c r="H850" s="1937">
        <f>IFERROR(IF(F850&gt;=VLOOKUP(A850,[2]Materiality!$I$6:$J$12,2,TRUE),IFERROR(IF(VLOOKUP("*CR",F850,1,FALSE)&gt;=0,"",VLOOKUP("*CR",F850,1,FALSE)),F850),""),"")</f>
        <v>160875.44</v>
      </c>
      <c r="I850" s="1938">
        <f t="shared" si="13"/>
        <v>0</v>
      </c>
    </row>
    <row r="851" spans="1:9" x14ac:dyDescent="0.25">
      <c r="A851" t="s">
        <v>3384</v>
      </c>
      <c r="B851" s="1936"/>
      <c r="C851" t="s">
        <v>2736</v>
      </c>
      <c r="D851" s="1936"/>
      <c r="E851" s="1936"/>
      <c r="F851" s="1941">
        <v>59640.9</v>
      </c>
      <c r="G851" s="1941">
        <v>50748</v>
      </c>
      <c r="H851" s="1937" t="str">
        <f>IFERROR(IF(F851&gt;=VLOOKUP(A851,[2]Materiality!$I$6:$J$12,2,TRUE),IFERROR(IF(VLOOKUP("*CR",F851,1,FALSE)&gt;=0,"",VLOOKUP("*CR",F851,1,FALSE)),F851),""),"")</f>
        <v/>
      </c>
      <c r="I851" s="1938">
        <f t="shared" si="13"/>
        <v>0</v>
      </c>
    </row>
    <row r="852" spans="1:9" x14ac:dyDescent="0.25">
      <c r="A852" t="s">
        <v>3709</v>
      </c>
      <c r="B852" s="1936"/>
      <c r="C852" t="s">
        <v>1162</v>
      </c>
      <c r="D852" s="1936"/>
      <c r="E852" s="1936"/>
      <c r="F852" s="1941">
        <v>59640.9</v>
      </c>
      <c r="G852" s="1941">
        <v>50748</v>
      </c>
      <c r="H852" s="1937">
        <f>IFERROR(IF(F852&gt;=VLOOKUP(A852,[2]Materiality!$I$6:$J$12,2,TRUE),IFERROR(IF(VLOOKUP("*CR",F852,1,FALSE)&gt;=0,"",VLOOKUP("*CR",F852,1,FALSE)),F852),""),"")</f>
        <v>59640.9</v>
      </c>
      <c r="I852" s="1938">
        <f t="shared" si="13"/>
        <v>0</v>
      </c>
    </row>
    <row r="853" spans="1:9" x14ac:dyDescent="0.25">
      <c r="A853" t="s">
        <v>3383</v>
      </c>
      <c r="B853" s="1936"/>
      <c r="C853" t="s">
        <v>2737</v>
      </c>
      <c r="D853" s="1936"/>
      <c r="E853" s="1936"/>
      <c r="F853" s="1941">
        <v>19419.63</v>
      </c>
      <c r="G853" s="1941">
        <v>15000</v>
      </c>
      <c r="H853" s="1937" t="str">
        <f>IFERROR(IF(F853&gt;=VLOOKUP(A853,[2]Materiality!$I$6:$J$12,2,TRUE),IFERROR(IF(VLOOKUP("*CR",F853,1,FALSE)&gt;=0,"",VLOOKUP("*CR",F853,1,FALSE)),F853),""),"")</f>
        <v/>
      </c>
      <c r="I853" s="1938">
        <f t="shared" si="13"/>
        <v>0</v>
      </c>
    </row>
    <row r="854" spans="1:9" x14ac:dyDescent="0.25">
      <c r="A854" t="s">
        <v>3383</v>
      </c>
      <c r="B854" s="1936"/>
      <c r="C854" t="s">
        <v>2738</v>
      </c>
      <c r="D854" s="1936"/>
      <c r="E854" s="1936"/>
      <c r="F854" s="1941">
        <v>9677.52</v>
      </c>
      <c r="G854" s="1941">
        <v>9000</v>
      </c>
      <c r="H854" s="1937" t="str">
        <f>IFERROR(IF(F854&gt;=VLOOKUP(A854,[2]Materiality!$I$6:$J$12,2,TRUE),IFERROR(IF(VLOOKUP("*CR",F854,1,FALSE)&gt;=0,"",VLOOKUP("*CR",F854,1,FALSE)),F854),""),"")</f>
        <v/>
      </c>
      <c r="I854" s="1938">
        <f t="shared" si="13"/>
        <v>0</v>
      </c>
    </row>
    <row r="855" spans="1:9" x14ac:dyDescent="0.25">
      <c r="A855" t="s">
        <v>3383</v>
      </c>
      <c r="B855" s="1936"/>
      <c r="C855" t="s">
        <v>2739</v>
      </c>
      <c r="D855" s="1936"/>
      <c r="E855" s="1936"/>
      <c r="F855" s="1941">
        <v>12571.59</v>
      </c>
      <c r="G855" s="1941">
        <v>11000</v>
      </c>
      <c r="H855" s="1937" t="str">
        <f>IFERROR(IF(F855&gt;=VLOOKUP(A855,[2]Materiality!$I$6:$J$12,2,TRUE),IFERROR(IF(VLOOKUP("*CR",F855,1,FALSE)&gt;=0,"",VLOOKUP("*CR",F855,1,FALSE)),F855),""),"")</f>
        <v/>
      </c>
      <c r="I855" s="1938">
        <f t="shared" si="13"/>
        <v>0</v>
      </c>
    </row>
    <row r="856" spans="1:9" x14ac:dyDescent="0.25">
      <c r="A856" t="s">
        <v>3383</v>
      </c>
      <c r="B856" s="1936"/>
      <c r="C856" t="s">
        <v>2740</v>
      </c>
      <c r="D856" s="1936"/>
      <c r="E856" s="1936"/>
      <c r="F856" s="1941">
        <v>10473.280000000001</v>
      </c>
      <c r="G856" s="1941">
        <v>8000</v>
      </c>
      <c r="H856" s="1937" t="str">
        <f>IFERROR(IF(F856&gt;=VLOOKUP(A856,[2]Materiality!$I$6:$J$12,2,TRUE),IFERROR(IF(VLOOKUP("*CR",F856,1,FALSE)&gt;=0,"",VLOOKUP("*CR",F856,1,FALSE)),F856),""),"")</f>
        <v/>
      </c>
      <c r="I856" s="1938">
        <f t="shared" si="13"/>
        <v>0</v>
      </c>
    </row>
    <row r="857" spans="1:9" x14ac:dyDescent="0.25">
      <c r="A857" t="s">
        <v>3383</v>
      </c>
      <c r="B857" s="1936"/>
      <c r="C857" t="s">
        <v>2741</v>
      </c>
      <c r="D857" s="1936"/>
      <c r="E857" s="1936"/>
      <c r="F857" s="1941">
        <v>31765.040000000001</v>
      </c>
      <c r="G857" s="1941">
        <v>18000</v>
      </c>
      <c r="H857" s="1937" t="str">
        <f>IFERROR(IF(F857&gt;=VLOOKUP(A857,[2]Materiality!$I$6:$J$12,2,TRUE),IFERROR(IF(VLOOKUP("*CR",F857,1,FALSE)&gt;=0,"",VLOOKUP("*CR",F857,1,FALSE)),F857),""),"")</f>
        <v/>
      </c>
      <c r="I857" s="1938">
        <f t="shared" si="13"/>
        <v>0</v>
      </c>
    </row>
    <row r="858" spans="1:9" x14ac:dyDescent="0.25">
      <c r="A858" t="s">
        <v>3382</v>
      </c>
      <c r="B858" s="1936"/>
      <c r="C858" t="s">
        <v>2742</v>
      </c>
      <c r="D858" s="1936"/>
      <c r="E858" s="1936"/>
      <c r="F858" s="1941">
        <v>70417.289999999994</v>
      </c>
      <c r="G858" s="1941">
        <v>75000</v>
      </c>
      <c r="H858" s="1937" t="str">
        <f>IFERROR(IF(F858&gt;=VLOOKUP(A858,[2]Materiality!$I$6:$J$12,2,TRUE),IFERROR(IF(VLOOKUP("*CR",F858,1,FALSE)&gt;=0,"",VLOOKUP("*CR",F858,1,FALSE)),F858),""),"")</f>
        <v/>
      </c>
      <c r="I858" s="1938">
        <f t="shared" si="13"/>
        <v>0</v>
      </c>
    </row>
    <row r="859" spans="1:9" x14ac:dyDescent="0.25">
      <c r="A859" t="s">
        <v>3382</v>
      </c>
      <c r="B859" s="1936"/>
      <c r="C859" t="s">
        <v>2743</v>
      </c>
      <c r="D859" s="1936"/>
      <c r="E859" s="1936"/>
      <c r="F859" s="1941">
        <v>10155.33</v>
      </c>
      <c r="G859" s="1941">
        <v>11000</v>
      </c>
      <c r="H859" s="1937" t="str">
        <f>IFERROR(IF(F859&gt;=VLOOKUP(A859,[2]Materiality!$I$6:$J$12,2,TRUE),IFERROR(IF(VLOOKUP("*CR",F859,1,FALSE)&gt;=0,"",VLOOKUP("*CR",F859,1,FALSE)),F859),""),"")</f>
        <v/>
      </c>
      <c r="I859" s="1938">
        <f t="shared" si="13"/>
        <v>0</v>
      </c>
    </row>
    <row r="860" spans="1:9" x14ac:dyDescent="0.25">
      <c r="A860" t="s">
        <v>3382</v>
      </c>
      <c r="B860" s="1936"/>
      <c r="C860" t="s">
        <v>2744</v>
      </c>
      <c r="D860" s="1936"/>
      <c r="E860" s="1936"/>
      <c r="F860" s="1941">
        <v>14850.64</v>
      </c>
      <c r="G860" s="1941">
        <v>16000</v>
      </c>
      <c r="H860" s="1937" t="str">
        <f>IFERROR(IF(F860&gt;=VLOOKUP(A860,[2]Materiality!$I$6:$J$12,2,TRUE),IFERROR(IF(VLOOKUP("*CR",F860,1,FALSE)&gt;=0,"",VLOOKUP("*CR",F860,1,FALSE)),F860),""),"")</f>
        <v/>
      </c>
      <c r="I860" s="1938">
        <f t="shared" si="13"/>
        <v>0</v>
      </c>
    </row>
    <row r="861" spans="1:9" x14ac:dyDescent="0.25">
      <c r="A861" t="s">
        <v>3382</v>
      </c>
      <c r="B861" s="1936"/>
      <c r="C861" t="s">
        <v>2745</v>
      </c>
      <c r="D861" s="1936"/>
      <c r="E861" s="1936"/>
      <c r="F861" s="1941">
        <v>11171.91</v>
      </c>
      <c r="G861" s="1941">
        <v>12000</v>
      </c>
      <c r="H861" s="1937" t="str">
        <f>IFERROR(IF(F861&gt;=VLOOKUP(A861,[2]Materiality!$I$6:$J$12,2,TRUE),IFERROR(IF(VLOOKUP("*CR",F861,1,FALSE)&gt;=0,"",VLOOKUP("*CR",F861,1,FALSE)),F861),""),"")</f>
        <v/>
      </c>
      <c r="I861" s="1938">
        <f t="shared" si="13"/>
        <v>0</v>
      </c>
    </row>
    <row r="862" spans="1:9" x14ac:dyDescent="0.25">
      <c r="A862" t="s">
        <v>3382</v>
      </c>
      <c r="B862" s="1936"/>
      <c r="C862" t="s">
        <v>2746</v>
      </c>
      <c r="D862" s="1936"/>
      <c r="E862" s="1936"/>
      <c r="F862" s="1941">
        <v>63652.65</v>
      </c>
      <c r="G862" s="1941">
        <v>75000</v>
      </c>
      <c r="H862" s="1937" t="str">
        <f>IFERROR(IF(F862&gt;=VLOOKUP(A862,[2]Materiality!$I$6:$J$12,2,TRUE),IFERROR(IF(VLOOKUP("*CR",F862,1,FALSE)&gt;=0,"",VLOOKUP("*CR",F862,1,FALSE)),F862),""),"")</f>
        <v/>
      </c>
      <c r="I862" s="1938">
        <f t="shared" si="13"/>
        <v>0</v>
      </c>
    </row>
    <row r="863" spans="1:9" x14ac:dyDescent="0.25">
      <c r="A863" t="s">
        <v>3710</v>
      </c>
      <c r="B863" s="1936"/>
      <c r="C863" t="s">
        <v>2300</v>
      </c>
      <c r="D863" s="1936"/>
      <c r="E863" s="1936"/>
      <c r="F863" s="1941">
        <v>254154.88</v>
      </c>
      <c r="G863" s="1941">
        <v>250000</v>
      </c>
      <c r="H863" s="1937">
        <f>IFERROR(IF(F863&gt;=VLOOKUP(A863,[2]Materiality!$I$6:$J$12,2,TRUE),IFERROR(IF(VLOOKUP("*CR",F863,1,FALSE)&gt;=0,"",VLOOKUP("*CR",F863,1,FALSE)),F863),""),"")</f>
        <v>254154.88</v>
      </c>
      <c r="I863" s="1938">
        <f t="shared" si="13"/>
        <v>0</v>
      </c>
    </row>
    <row r="864" spans="1:9" x14ac:dyDescent="0.25">
      <c r="A864" t="s">
        <v>3745</v>
      </c>
      <c r="B864" s="1936"/>
      <c r="C864" t="s">
        <v>2747</v>
      </c>
      <c r="D864" s="1936"/>
      <c r="E864" s="1936"/>
      <c r="F864" s="1941">
        <v>313795.78000000003</v>
      </c>
      <c r="G864" s="1941">
        <v>300748</v>
      </c>
      <c r="H864" s="1937">
        <f>IFERROR(IF(F864&gt;=VLOOKUP(A864,[2]Materiality!$I$6:$J$12,2,TRUE),IFERROR(IF(VLOOKUP("*CR",F864,1,FALSE)&gt;=0,"",VLOOKUP("*CR",F864,1,FALSE)),F864),""),"")</f>
        <v>313795.78000000003</v>
      </c>
      <c r="I864" s="1938">
        <f t="shared" si="13"/>
        <v>0</v>
      </c>
    </row>
    <row r="865" spans="1:9" x14ac:dyDescent="0.25">
      <c r="A865" t="s">
        <v>3381</v>
      </c>
      <c r="B865" s="1936"/>
      <c r="C865" t="s">
        <v>2748</v>
      </c>
      <c r="D865" s="1936"/>
      <c r="E865" s="1936"/>
      <c r="F865" s="1941">
        <v>49523.17</v>
      </c>
      <c r="G865" s="1941">
        <v>49523</v>
      </c>
      <c r="H865" s="1937" t="str">
        <f>IFERROR(IF(F865&gt;=VLOOKUP(A865,[2]Materiality!$I$6:$J$12,2,TRUE),IFERROR(IF(VLOOKUP("*CR",F865,1,FALSE)&gt;=0,"",VLOOKUP("*CR",F865,1,FALSE)),F865),""),"")</f>
        <v/>
      </c>
      <c r="I865" s="1938">
        <f t="shared" si="13"/>
        <v>0</v>
      </c>
    </row>
    <row r="866" spans="1:9" x14ac:dyDescent="0.25">
      <c r="A866" t="s">
        <v>3380</v>
      </c>
      <c r="B866" s="1936"/>
      <c r="C866" t="s">
        <v>2749</v>
      </c>
      <c r="D866" s="1936"/>
      <c r="E866" s="1936"/>
      <c r="F866" s="1941">
        <v>70645.679999999993</v>
      </c>
      <c r="G866" s="1941">
        <v>78304</v>
      </c>
      <c r="H866" s="1937" t="str">
        <f>IFERROR(IF(F866&gt;=VLOOKUP(A866,[2]Materiality!$I$6:$J$12,2,TRUE),IFERROR(IF(VLOOKUP("*CR",F866,1,FALSE)&gt;=0,"",VLOOKUP("*CR",F866,1,FALSE)),F866),""),"")</f>
        <v/>
      </c>
      <c r="I866" s="1938">
        <f t="shared" si="13"/>
        <v>0</v>
      </c>
    </row>
    <row r="867" spans="1:9" x14ac:dyDescent="0.25">
      <c r="A867" t="s">
        <v>3379</v>
      </c>
      <c r="B867" s="1936"/>
      <c r="C867" t="s">
        <v>2750</v>
      </c>
      <c r="D867" s="1936"/>
      <c r="E867" s="1936"/>
      <c r="F867" s="1941">
        <v>3049.36</v>
      </c>
      <c r="G867" s="1941">
        <v>8500</v>
      </c>
      <c r="H867" s="1937" t="str">
        <f>IFERROR(IF(F867&gt;=VLOOKUP(A867,[2]Materiality!$I$6:$J$12,2,TRUE),IFERROR(IF(VLOOKUP("*CR",F867,1,FALSE)&gt;=0,"",VLOOKUP("*CR",F867,1,FALSE)),F867),""),"")</f>
        <v/>
      </c>
      <c r="I867" s="1938">
        <f t="shared" si="13"/>
        <v>0</v>
      </c>
    </row>
    <row r="868" spans="1:9" x14ac:dyDescent="0.25">
      <c r="A868" t="s">
        <v>3378</v>
      </c>
      <c r="B868" s="1936"/>
      <c r="C868" t="s">
        <v>2751</v>
      </c>
      <c r="D868" s="1936"/>
      <c r="E868" s="1936"/>
      <c r="F868" s="1941">
        <v>35266.019999999997</v>
      </c>
      <c r="G868" s="1941">
        <v>36500</v>
      </c>
      <c r="H868" s="1937" t="str">
        <f>IFERROR(IF(F868&gt;=VLOOKUP(A868,[2]Materiality!$I$6:$J$12,2,TRUE),IFERROR(IF(VLOOKUP("*CR",F868,1,FALSE)&gt;=0,"",VLOOKUP("*CR",F868,1,FALSE)),F868),""),"")</f>
        <v/>
      </c>
      <c r="I868" s="1938">
        <f t="shared" si="13"/>
        <v>0</v>
      </c>
    </row>
    <row r="869" spans="1:9" x14ac:dyDescent="0.25">
      <c r="A869" t="s">
        <v>3377</v>
      </c>
      <c r="B869" s="1936"/>
      <c r="C869" t="s">
        <v>2752</v>
      </c>
      <c r="D869" s="1936"/>
      <c r="E869" s="1936"/>
      <c r="F869" s="1941">
        <v>8488.08</v>
      </c>
      <c r="G869" s="1941">
        <v>7500</v>
      </c>
      <c r="H869" s="1937" t="str">
        <f>IFERROR(IF(F869&gt;=VLOOKUP(A869,[2]Materiality!$I$6:$J$12,2,TRUE),IFERROR(IF(VLOOKUP("*CR",F869,1,FALSE)&gt;=0,"",VLOOKUP("*CR",F869,1,FALSE)),F869),""),"")</f>
        <v/>
      </c>
      <c r="I869" s="1938">
        <f t="shared" si="13"/>
        <v>0</v>
      </c>
    </row>
    <row r="870" spans="1:9" x14ac:dyDescent="0.25">
      <c r="A870" t="s">
        <v>3638</v>
      </c>
      <c r="B870" s="1936"/>
      <c r="C870" t="s">
        <v>203</v>
      </c>
      <c r="D870" s="1936"/>
      <c r="E870" s="1936"/>
      <c r="F870" s="1941">
        <v>166972.31</v>
      </c>
      <c r="G870" s="1941">
        <v>180327</v>
      </c>
      <c r="H870" s="1937">
        <f>IFERROR(IF(F870&gt;=VLOOKUP(A870,[2]Materiality!$I$6:$J$12,2,TRUE),IFERROR(IF(VLOOKUP("*CR",F870,1,FALSE)&gt;=0,"",VLOOKUP("*CR",F870,1,FALSE)),F870),""),"")</f>
        <v>166972.31</v>
      </c>
      <c r="I870" s="1938">
        <f t="shared" si="13"/>
        <v>0</v>
      </c>
    </row>
    <row r="871" spans="1:9" x14ac:dyDescent="0.25">
      <c r="A871" t="s">
        <v>3376</v>
      </c>
      <c r="B871" s="1936"/>
      <c r="C871" t="s">
        <v>2753</v>
      </c>
      <c r="D871" s="1936"/>
      <c r="E871" s="1936"/>
      <c r="F871" s="1941">
        <v>52661.54</v>
      </c>
      <c r="G871" s="1941">
        <v>52417</v>
      </c>
      <c r="H871" s="1937" t="str">
        <f>IFERROR(IF(F871&gt;=VLOOKUP(A871,[2]Materiality!$I$6:$J$12,2,TRUE),IFERROR(IF(VLOOKUP("*CR",F871,1,FALSE)&gt;=0,"",VLOOKUP("*CR",F871,1,FALSE)),F871),""),"")</f>
        <v/>
      </c>
      <c r="I871" s="1938">
        <f t="shared" si="13"/>
        <v>0</v>
      </c>
    </row>
    <row r="872" spans="1:9" x14ac:dyDescent="0.25">
      <c r="A872" t="s">
        <v>3375</v>
      </c>
      <c r="B872" s="1936"/>
      <c r="C872" t="s">
        <v>2754</v>
      </c>
      <c r="D872" s="1936"/>
      <c r="E872" s="1936"/>
      <c r="F872" s="1941">
        <v>392.88</v>
      </c>
      <c r="G872" s="1941">
        <v>391</v>
      </c>
      <c r="H872" s="1937" t="str">
        <f>IFERROR(IF(F872&gt;=VLOOKUP(A872,[2]Materiality!$I$6:$J$12,2,TRUE),IFERROR(IF(VLOOKUP("*CR",F872,1,FALSE)&gt;=0,"",VLOOKUP("*CR",F872,1,FALSE)),F872),""),"")</f>
        <v/>
      </c>
      <c r="I872" s="1938">
        <f t="shared" si="13"/>
        <v>0</v>
      </c>
    </row>
    <row r="873" spans="1:9" x14ac:dyDescent="0.25">
      <c r="A873" t="s">
        <v>3708</v>
      </c>
      <c r="B873" s="1936"/>
      <c r="C873" t="s">
        <v>51</v>
      </c>
      <c r="D873" s="1936"/>
      <c r="E873" s="1936"/>
      <c r="F873" s="1941">
        <v>53054.42</v>
      </c>
      <c r="G873" s="1941">
        <v>52808</v>
      </c>
      <c r="H873" s="1937">
        <f>IFERROR(IF(F873&gt;=VLOOKUP(A873,[2]Materiality!$I$6:$J$12,2,TRUE),IFERROR(IF(VLOOKUP("*CR",F873,1,FALSE)&gt;=0,"",VLOOKUP("*CR",F873,1,FALSE)),F873),""),"")</f>
        <v>53054.42</v>
      </c>
      <c r="I873" s="1938">
        <f t="shared" si="13"/>
        <v>0</v>
      </c>
    </row>
    <row r="874" spans="1:9" x14ac:dyDescent="0.25">
      <c r="A874" t="s">
        <v>3374</v>
      </c>
      <c r="B874" s="1936"/>
      <c r="C874" t="s">
        <v>2755</v>
      </c>
      <c r="D874" s="1936"/>
      <c r="E874" s="1936"/>
      <c r="F874" s="1941">
        <v>935</v>
      </c>
      <c r="G874" s="1941">
        <v>2000</v>
      </c>
      <c r="H874" s="1937" t="str">
        <f>IFERROR(IF(F874&gt;=VLOOKUP(A874,[2]Materiality!$I$6:$J$12,2,TRUE),IFERROR(IF(VLOOKUP("*CR",F874,1,FALSE)&gt;=0,"",VLOOKUP("*CR",F874,1,FALSE)),F874),""),"")</f>
        <v/>
      </c>
      <c r="I874" s="1938">
        <f t="shared" si="13"/>
        <v>0</v>
      </c>
    </row>
    <row r="875" spans="1:9" x14ac:dyDescent="0.25">
      <c r="A875" t="s">
        <v>3373</v>
      </c>
      <c r="B875" s="1936"/>
      <c r="C875" t="s">
        <v>2756</v>
      </c>
      <c r="D875" s="1936"/>
      <c r="E875" s="1936"/>
      <c r="F875" s="1941">
        <v>89.9</v>
      </c>
      <c r="G875" s="1941">
        <v>2500</v>
      </c>
      <c r="H875" s="1937" t="str">
        <f>IFERROR(IF(F875&gt;=VLOOKUP(A875,[2]Materiality!$I$6:$J$12,2,TRUE),IFERROR(IF(VLOOKUP("*CR",F875,1,FALSE)&gt;=0,"",VLOOKUP("*CR",F875,1,FALSE)),F875),""),"")</f>
        <v/>
      </c>
      <c r="I875" s="1938">
        <f t="shared" si="13"/>
        <v>0</v>
      </c>
    </row>
    <row r="876" spans="1:9" x14ac:dyDescent="0.25">
      <c r="A876" t="s">
        <v>3372</v>
      </c>
      <c r="B876" s="1936"/>
      <c r="C876" t="s">
        <v>2757</v>
      </c>
      <c r="D876" s="1936"/>
      <c r="E876" s="1936"/>
      <c r="F876" s="1941">
        <v>1564.15</v>
      </c>
      <c r="G876" s="1941">
        <v>2000</v>
      </c>
      <c r="H876" s="1937" t="str">
        <f>IFERROR(IF(F876&gt;=VLOOKUP(A876,[2]Materiality!$I$6:$J$12,2,TRUE),IFERROR(IF(VLOOKUP("*CR",F876,1,FALSE)&gt;=0,"",VLOOKUP("*CR",F876,1,FALSE)),F876),""),"")</f>
        <v/>
      </c>
      <c r="I876" s="1938">
        <f t="shared" si="13"/>
        <v>0</v>
      </c>
    </row>
    <row r="877" spans="1:9" x14ac:dyDescent="0.25">
      <c r="A877" t="s">
        <v>3709</v>
      </c>
      <c r="B877" s="1936"/>
      <c r="C877" t="s">
        <v>1162</v>
      </c>
      <c r="D877" s="1936"/>
      <c r="E877" s="1936"/>
      <c r="F877" s="1941">
        <v>2589.0500000000002</v>
      </c>
      <c r="G877" s="1941">
        <v>6500</v>
      </c>
      <c r="H877" s="1937" t="str">
        <f>IFERROR(IF(F877&gt;=VLOOKUP(A877,[2]Materiality!$I$6:$J$12,2,TRUE),IFERROR(IF(VLOOKUP("*CR",F877,1,FALSE)&gt;=0,"",VLOOKUP("*CR",F877,1,FALSE)),F877),""),"")</f>
        <v/>
      </c>
      <c r="I877" s="1938">
        <f t="shared" si="13"/>
        <v>0</v>
      </c>
    </row>
    <row r="878" spans="1:9" x14ac:dyDescent="0.25">
      <c r="A878" t="s">
        <v>3371</v>
      </c>
      <c r="B878" s="1936"/>
      <c r="C878" t="s">
        <v>2758</v>
      </c>
      <c r="D878" s="1936"/>
      <c r="E878" s="1936"/>
      <c r="F878" s="1941">
        <v>16149.11</v>
      </c>
      <c r="G878" s="1941">
        <v>20000</v>
      </c>
      <c r="H878" s="1937" t="str">
        <f>IFERROR(IF(F878&gt;=VLOOKUP(A878,[2]Materiality!$I$6:$J$12,2,TRUE),IFERROR(IF(VLOOKUP("*CR",F878,1,FALSE)&gt;=0,"",VLOOKUP("*CR",F878,1,FALSE)),F878),""),"")</f>
        <v/>
      </c>
      <c r="I878" s="1938">
        <f t="shared" si="13"/>
        <v>0</v>
      </c>
    </row>
    <row r="879" spans="1:9" x14ac:dyDescent="0.25">
      <c r="A879" t="s">
        <v>3371</v>
      </c>
      <c r="B879" s="1936"/>
      <c r="C879" t="s">
        <v>2759</v>
      </c>
      <c r="D879" s="1936"/>
      <c r="E879" s="1936"/>
      <c r="F879" s="1941">
        <v>1573.45</v>
      </c>
      <c r="G879" s="1941">
        <v>2500</v>
      </c>
      <c r="H879" s="1937" t="str">
        <f>IFERROR(IF(F879&gt;=VLOOKUP(A879,[2]Materiality!$I$6:$J$12,2,TRUE),IFERROR(IF(VLOOKUP("*CR",F879,1,FALSE)&gt;=0,"",VLOOKUP("*CR",F879,1,FALSE)),F879),""),"")</f>
        <v/>
      </c>
      <c r="I879" s="1938">
        <f t="shared" si="13"/>
        <v>0</v>
      </c>
    </row>
    <row r="880" spans="1:9" x14ac:dyDescent="0.25">
      <c r="A880" t="s">
        <v>3370</v>
      </c>
      <c r="B880" s="1936"/>
      <c r="C880" t="s">
        <v>2760</v>
      </c>
      <c r="D880" s="1936"/>
      <c r="E880" s="1936"/>
      <c r="F880" s="1941">
        <v>52966.84</v>
      </c>
      <c r="G880" s="1941">
        <v>60000</v>
      </c>
      <c r="H880" s="1937" t="str">
        <f>IFERROR(IF(F880&gt;=VLOOKUP(A880,[2]Materiality!$I$6:$J$12,2,TRUE),IFERROR(IF(VLOOKUP("*CR",F880,1,FALSE)&gt;=0,"",VLOOKUP("*CR",F880,1,FALSE)),F880),""),"")</f>
        <v/>
      </c>
      <c r="I880" s="1938">
        <f t="shared" si="13"/>
        <v>0</v>
      </c>
    </row>
    <row r="881" spans="1:9" x14ac:dyDescent="0.25">
      <c r="A881" t="s">
        <v>3369</v>
      </c>
      <c r="B881" s="1936"/>
      <c r="C881" t="s">
        <v>2761</v>
      </c>
      <c r="D881" s="1936"/>
      <c r="E881" s="1936"/>
      <c r="F881" s="1941">
        <v>1574.76</v>
      </c>
      <c r="G881" s="1941">
        <v>2500</v>
      </c>
      <c r="H881" s="1937" t="str">
        <f>IFERROR(IF(F881&gt;=VLOOKUP(A881,[2]Materiality!$I$6:$J$12,2,TRUE),IFERROR(IF(VLOOKUP("*CR",F881,1,FALSE)&gt;=0,"",VLOOKUP("*CR",F881,1,FALSE)),F881),""),"")</f>
        <v/>
      </c>
      <c r="I881" s="1938">
        <f t="shared" si="13"/>
        <v>0</v>
      </c>
    </row>
    <row r="882" spans="1:9" x14ac:dyDescent="0.25">
      <c r="A882" t="s">
        <v>3368</v>
      </c>
      <c r="B882" s="1936"/>
      <c r="C882" t="s">
        <v>2762</v>
      </c>
      <c r="D882" s="1936"/>
      <c r="E882" s="1936"/>
      <c r="F882" s="1941">
        <v>211326.15</v>
      </c>
      <c r="G882" s="1941">
        <v>225000</v>
      </c>
      <c r="H882" s="1937">
        <f>IFERROR(IF(F882&gt;=VLOOKUP(A882,[2]Materiality!$I$6:$J$12,2,TRUE),IFERROR(IF(VLOOKUP("*CR",F882,1,FALSE)&gt;=0,"",VLOOKUP("*CR",F882,1,FALSE)),F882),""),"")</f>
        <v>211326.15</v>
      </c>
      <c r="I882" s="1938">
        <f t="shared" si="13"/>
        <v>0</v>
      </c>
    </row>
    <row r="883" spans="1:9" x14ac:dyDescent="0.25">
      <c r="A883" t="s">
        <v>3367</v>
      </c>
      <c r="B883" s="1936"/>
      <c r="C883" t="s">
        <v>2763</v>
      </c>
      <c r="D883" s="1936"/>
      <c r="E883" s="1936"/>
      <c r="F883" s="1941">
        <v>143.41999999999999</v>
      </c>
      <c r="G883" s="1941">
        <v>2500</v>
      </c>
      <c r="H883" s="1937" t="str">
        <f>IFERROR(IF(F883&gt;=VLOOKUP(A883,[2]Materiality!$I$6:$J$12,2,TRUE),IFERROR(IF(VLOOKUP("*CR",F883,1,FALSE)&gt;=0,"",VLOOKUP("*CR",F883,1,FALSE)),F883),""),"")</f>
        <v/>
      </c>
      <c r="I883" s="1938">
        <f t="shared" si="13"/>
        <v>0</v>
      </c>
    </row>
    <row r="884" spans="1:9" x14ac:dyDescent="0.25">
      <c r="A884" t="s">
        <v>3366</v>
      </c>
      <c r="B884" s="1936"/>
      <c r="C884" t="s">
        <v>2764</v>
      </c>
      <c r="D884" s="1936"/>
      <c r="E884" s="1936"/>
      <c r="F884" s="1941">
        <v>1828.75</v>
      </c>
      <c r="G884" s="1941">
        <v>1828.75</v>
      </c>
      <c r="H884" s="1937" t="str">
        <f>IFERROR(IF(F884&gt;=VLOOKUP(A884,[2]Materiality!$I$6:$J$12,2,TRUE),IFERROR(IF(VLOOKUP("*CR",F884,1,FALSE)&gt;=0,"",VLOOKUP("*CR",F884,1,FALSE)),F884),""),"")</f>
        <v/>
      </c>
      <c r="I884" s="1938">
        <f t="shared" si="13"/>
        <v>0</v>
      </c>
    </row>
    <row r="885" spans="1:9" x14ac:dyDescent="0.25">
      <c r="A885" t="s">
        <v>3365</v>
      </c>
      <c r="B885" s="1936"/>
      <c r="C885" t="s">
        <v>2765</v>
      </c>
      <c r="D885" s="1936"/>
      <c r="E885" s="1936"/>
      <c r="F885" s="1941">
        <v>725.38</v>
      </c>
      <c r="G885" s="1941">
        <v>1000</v>
      </c>
      <c r="H885" s="1937" t="str">
        <f>IFERROR(IF(F885&gt;=VLOOKUP(A885,[2]Materiality!$I$6:$J$12,2,TRUE),IFERROR(IF(VLOOKUP("*CR",F885,1,FALSE)&gt;=0,"",VLOOKUP("*CR",F885,1,FALSE)),F885),""),"")</f>
        <v/>
      </c>
      <c r="I885" s="1938">
        <f t="shared" si="13"/>
        <v>0</v>
      </c>
    </row>
    <row r="886" spans="1:9" x14ac:dyDescent="0.25">
      <c r="A886" t="s">
        <v>3364</v>
      </c>
      <c r="B886" s="1936"/>
      <c r="C886" t="s">
        <v>2766</v>
      </c>
      <c r="D886" s="1936"/>
      <c r="E886" s="1936"/>
      <c r="F886" s="1941">
        <v>1147.1199999999999</v>
      </c>
      <c r="G886" s="1941">
        <v>1200</v>
      </c>
      <c r="H886" s="1937" t="str">
        <f>IFERROR(IF(F886&gt;=VLOOKUP(A886,[2]Materiality!$I$6:$J$12,2,TRUE),IFERROR(IF(VLOOKUP("*CR",F886,1,FALSE)&gt;=0,"",VLOOKUP("*CR",F886,1,FALSE)),F886),""),"")</f>
        <v/>
      </c>
      <c r="I886" s="1938">
        <f t="shared" si="13"/>
        <v>0</v>
      </c>
    </row>
    <row r="887" spans="1:9" x14ac:dyDescent="0.25">
      <c r="A887" t="s">
        <v>3363</v>
      </c>
      <c r="B887" s="1936"/>
      <c r="C887" t="s">
        <v>2767</v>
      </c>
      <c r="D887" s="1936"/>
      <c r="E887" s="1936"/>
      <c r="F887" s="1941">
        <v>8523.66</v>
      </c>
      <c r="G887" s="1941">
        <v>12000</v>
      </c>
      <c r="H887" s="1937" t="str">
        <f>IFERROR(IF(F887&gt;=VLOOKUP(A887,[2]Materiality!$I$6:$J$12,2,TRUE),IFERROR(IF(VLOOKUP("*CR",F887,1,FALSE)&gt;=0,"",VLOOKUP("*CR",F887,1,FALSE)),F887),""),"")</f>
        <v/>
      </c>
      <c r="I887" s="1938">
        <f t="shared" si="13"/>
        <v>0</v>
      </c>
    </row>
    <row r="888" spans="1:9" x14ac:dyDescent="0.25">
      <c r="A888" t="s">
        <v>3710</v>
      </c>
      <c r="B888" s="1936"/>
      <c r="C888" t="s">
        <v>2300</v>
      </c>
      <c r="D888" s="1936"/>
      <c r="E888" s="1936"/>
      <c r="F888" s="1941">
        <v>295958.64</v>
      </c>
      <c r="G888" s="1941">
        <v>328528.75</v>
      </c>
      <c r="H888" s="1937">
        <f>IFERROR(IF(F888&gt;=VLOOKUP(A888,[2]Materiality!$I$6:$J$12,2,TRUE),IFERROR(IF(VLOOKUP("*CR",F888,1,FALSE)&gt;=0,"",VLOOKUP("*CR",F888,1,FALSE)),F888),""),"")</f>
        <v>295958.64</v>
      </c>
      <c r="I888" s="1938">
        <f t="shared" si="13"/>
        <v>0</v>
      </c>
    </row>
    <row r="889" spans="1:9" x14ac:dyDescent="0.25">
      <c r="A889" t="s">
        <v>3362</v>
      </c>
      <c r="B889" s="1936"/>
      <c r="C889" t="s">
        <v>2768</v>
      </c>
      <c r="D889" s="1936"/>
      <c r="E889" s="1936"/>
      <c r="F889" s="1941">
        <v>5113.97</v>
      </c>
      <c r="G889" s="1941">
        <v>11610</v>
      </c>
      <c r="H889" s="1937" t="str">
        <f>IFERROR(IF(F889&gt;=VLOOKUP(A889,[2]Materiality!$I$6:$J$12,2,TRUE),IFERROR(IF(VLOOKUP("*CR",F889,1,FALSE)&gt;=0,"",VLOOKUP("*CR",F889,1,FALSE)),F889),""),"")</f>
        <v/>
      </c>
      <c r="I889" s="1938">
        <f t="shared" si="13"/>
        <v>0</v>
      </c>
    </row>
    <row r="890" spans="1:9" x14ac:dyDescent="0.25">
      <c r="A890" t="s">
        <v>3711</v>
      </c>
      <c r="B890" s="1936"/>
      <c r="C890" t="s">
        <v>1157</v>
      </c>
      <c r="D890" s="1936"/>
      <c r="E890" s="1936"/>
      <c r="F890" s="1941">
        <v>5113.97</v>
      </c>
      <c r="G890" s="1941">
        <v>11610</v>
      </c>
      <c r="H890" s="1937" t="str">
        <f>IFERROR(IF(F890&gt;=VLOOKUP(A890,[2]Materiality!$I$6:$J$12,2,TRUE),IFERROR(IF(VLOOKUP("*CR",F890,1,FALSE)&gt;=0,"",VLOOKUP("*CR",F890,1,FALSE)),F890),""),"")</f>
        <v/>
      </c>
      <c r="I890" s="1938">
        <f t="shared" si="13"/>
        <v>0</v>
      </c>
    </row>
    <row r="891" spans="1:9" x14ac:dyDescent="0.25">
      <c r="A891" t="s">
        <v>3361</v>
      </c>
      <c r="B891" s="1936"/>
      <c r="C891" t="s">
        <v>2769</v>
      </c>
      <c r="D891" s="1936"/>
      <c r="E891" s="1936"/>
      <c r="F891" s="1941">
        <v>0</v>
      </c>
      <c r="G891" s="1941">
        <v>250</v>
      </c>
      <c r="H891" s="1937" t="str">
        <f>IFERROR(IF(F891&gt;=VLOOKUP(A891,[2]Materiality!$I$6:$J$12,2,TRUE),IFERROR(IF(VLOOKUP("*CR",F891,1,FALSE)&gt;=0,"",VLOOKUP("*CR",F891,1,FALSE)),F891),""),"")</f>
        <v/>
      </c>
      <c r="I891" s="1938">
        <f t="shared" si="13"/>
        <v>0</v>
      </c>
    </row>
    <row r="892" spans="1:9" x14ac:dyDescent="0.25">
      <c r="A892" t="s">
        <v>3714</v>
      </c>
      <c r="B892" s="1936"/>
      <c r="C892" t="s">
        <v>1158</v>
      </c>
      <c r="D892" s="1936"/>
      <c r="E892" s="1936"/>
      <c r="F892" s="1941">
        <v>0</v>
      </c>
      <c r="G892" s="1941">
        <v>250</v>
      </c>
      <c r="H892" s="1937">
        <f>IFERROR(IF(F892&gt;=VLOOKUP(A892,[2]Materiality!$I$6:$J$12,2,TRUE),IFERROR(IF(VLOOKUP("*CR",F892,1,FALSE)&gt;=0,"",VLOOKUP("*CR",F892,1,FALSE)),F892),""),"")</f>
        <v>0</v>
      </c>
      <c r="I892" s="1938">
        <f t="shared" si="13"/>
        <v>0</v>
      </c>
    </row>
    <row r="893" spans="1:9" x14ac:dyDescent="0.25">
      <c r="A893" t="s">
        <v>3746</v>
      </c>
      <c r="B893" s="1936"/>
      <c r="C893" t="s">
        <v>102</v>
      </c>
      <c r="D893" s="1936"/>
      <c r="E893" s="1936"/>
      <c r="F893" s="1941">
        <v>523688.39</v>
      </c>
      <c r="G893" s="1941">
        <v>580023.75</v>
      </c>
      <c r="H893" s="1937">
        <f>IFERROR(IF(F893&gt;=VLOOKUP(A893,[2]Materiality!$I$6:$J$12,2,TRUE),IFERROR(IF(VLOOKUP("*CR",F893,1,FALSE)&gt;=0,"",VLOOKUP("*CR",F893,1,FALSE)),F893),""),"")</f>
        <v>523688.39</v>
      </c>
      <c r="I893" s="1938">
        <f t="shared" si="13"/>
        <v>0</v>
      </c>
    </row>
    <row r="894" spans="1:9" x14ac:dyDescent="0.25">
      <c r="A894" t="s">
        <v>3360</v>
      </c>
      <c r="B894" s="1936"/>
      <c r="C894" t="s">
        <v>2173</v>
      </c>
      <c r="D894" s="1936"/>
      <c r="E894" s="1936"/>
      <c r="F894" s="1941">
        <v>0</v>
      </c>
      <c r="G894" s="1941">
        <v>0</v>
      </c>
      <c r="H894" s="1937" t="str">
        <f>IFERROR(IF(F894&gt;=VLOOKUP(A894,[2]Materiality!$I$6:$J$12,2,TRUE),IFERROR(IF(VLOOKUP("*CR",F894,1,FALSE)&gt;=0,"",VLOOKUP("*CR",F894,1,FALSE)),F894),""),"")</f>
        <v/>
      </c>
      <c r="I894" s="1938">
        <f t="shared" si="13"/>
        <v>0</v>
      </c>
    </row>
    <row r="895" spans="1:9" x14ac:dyDescent="0.25">
      <c r="A895" t="s">
        <v>3638</v>
      </c>
      <c r="B895" s="1936"/>
      <c r="C895" t="s">
        <v>203</v>
      </c>
      <c r="D895" s="1936"/>
      <c r="E895" s="1936"/>
      <c r="F895" s="1941">
        <v>0</v>
      </c>
      <c r="G895" s="1941">
        <v>0</v>
      </c>
      <c r="H895" s="1937" t="str">
        <f>IFERROR(IF(F895&gt;=VLOOKUP(A895,[2]Materiality!$I$6:$J$12,2,TRUE),IFERROR(IF(VLOOKUP("*CR",F895,1,FALSE)&gt;=0,"",VLOOKUP("*CR",F895,1,FALSE)),F895),""),"")</f>
        <v/>
      </c>
      <c r="I895" s="1938">
        <f t="shared" si="13"/>
        <v>0</v>
      </c>
    </row>
    <row r="896" spans="1:9" x14ac:dyDescent="0.25">
      <c r="A896" t="s">
        <v>3359</v>
      </c>
      <c r="B896" s="1936"/>
      <c r="C896" t="s">
        <v>2770</v>
      </c>
      <c r="D896" s="1936"/>
      <c r="E896" s="1936"/>
      <c r="F896" s="1941">
        <v>0</v>
      </c>
      <c r="G896" s="1941">
        <v>0</v>
      </c>
      <c r="H896" s="1937" t="str">
        <f>IFERROR(IF(F896&gt;=VLOOKUP(A896,[2]Materiality!$I$6:$J$12,2,TRUE),IFERROR(IF(VLOOKUP("*CR",F896,1,FALSE)&gt;=0,"",VLOOKUP("*CR",F896,1,FALSE)),F896),""),"")</f>
        <v/>
      </c>
      <c r="I896" s="1938">
        <f t="shared" si="13"/>
        <v>0</v>
      </c>
    </row>
    <row r="897" spans="1:9" x14ac:dyDescent="0.25">
      <c r="A897" t="s">
        <v>3708</v>
      </c>
      <c r="B897" s="1936"/>
      <c r="C897" t="s">
        <v>51</v>
      </c>
      <c r="D897" s="1936"/>
      <c r="E897" s="1936"/>
      <c r="F897" s="1941">
        <v>0</v>
      </c>
      <c r="G897" s="1941">
        <v>0</v>
      </c>
      <c r="H897" s="1937" t="str">
        <f>IFERROR(IF(F897&gt;=VLOOKUP(A897,[2]Materiality!$I$6:$J$12,2,TRUE),IFERROR(IF(VLOOKUP("*CR",F897,1,FALSE)&gt;=0,"",VLOOKUP("*CR",F897,1,FALSE)),F897),""),"")</f>
        <v/>
      </c>
      <c r="I897" s="1938">
        <f t="shared" si="13"/>
        <v>0</v>
      </c>
    </row>
    <row r="898" spans="1:9" x14ac:dyDescent="0.25">
      <c r="A898" t="s">
        <v>3358</v>
      </c>
      <c r="B898" s="1936"/>
      <c r="C898" t="s">
        <v>2771</v>
      </c>
      <c r="D898" s="1936"/>
      <c r="E898" s="1936"/>
      <c r="F898" s="1941">
        <v>367.5</v>
      </c>
      <c r="G898" s="1941">
        <v>500</v>
      </c>
      <c r="H898" s="1937" t="str">
        <f>IFERROR(IF(F898&gt;=VLOOKUP(A898,[2]Materiality!$I$6:$J$12,2,TRUE),IFERROR(IF(VLOOKUP("*CR",F898,1,FALSE)&gt;=0,"",VLOOKUP("*CR",F898,1,FALSE)),F898),""),"")</f>
        <v/>
      </c>
      <c r="I898" s="1938">
        <f t="shared" si="13"/>
        <v>0</v>
      </c>
    </row>
    <row r="899" spans="1:9" x14ac:dyDescent="0.25">
      <c r="A899" t="s">
        <v>3357</v>
      </c>
      <c r="B899" s="1936"/>
      <c r="C899" t="s">
        <v>2772</v>
      </c>
      <c r="D899" s="1936"/>
      <c r="E899" s="1936"/>
      <c r="F899" s="1941">
        <v>0</v>
      </c>
      <c r="G899" s="1941">
        <v>0</v>
      </c>
      <c r="H899" s="1937" t="str">
        <f>IFERROR(IF(F899&gt;=VLOOKUP(A899,[2]Materiality!$I$6:$J$12,2,TRUE),IFERROR(IF(VLOOKUP("*CR",F899,1,FALSE)&gt;=0,"",VLOOKUP("*CR",F899,1,FALSE)),F899),""),"")</f>
        <v/>
      </c>
      <c r="I899" s="1938">
        <f t="shared" si="13"/>
        <v>0</v>
      </c>
    </row>
    <row r="900" spans="1:9" x14ac:dyDescent="0.25">
      <c r="A900" t="s">
        <v>3709</v>
      </c>
      <c r="B900" s="1936"/>
      <c r="C900" t="s">
        <v>1162</v>
      </c>
      <c r="D900" s="1936"/>
      <c r="E900" s="1936"/>
      <c r="F900" s="1941">
        <v>367.5</v>
      </c>
      <c r="G900" s="1941">
        <v>500</v>
      </c>
      <c r="H900" s="1937" t="str">
        <f>IFERROR(IF(F900&gt;=VLOOKUP(A900,[2]Materiality!$I$6:$J$12,2,TRUE),IFERROR(IF(VLOOKUP("*CR",F900,1,FALSE)&gt;=0,"",VLOOKUP("*CR",F900,1,FALSE)),F900),""),"")</f>
        <v/>
      </c>
      <c r="I900" s="1938">
        <f t="shared" ref="I900:I963" si="14">IF(F900&lt;0,F900,0)</f>
        <v>0</v>
      </c>
    </row>
    <row r="901" spans="1:9" x14ac:dyDescent="0.25">
      <c r="A901" t="s">
        <v>3356</v>
      </c>
      <c r="B901" s="1936"/>
      <c r="C901" t="s">
        <v>2773</v>
      </c>
      <c r="D901" s="1936"/>
      <c r="E901" s="1936"/>
      <c r="F901" s="1941">
        <v>10994.5</v>
      </c>
      <c r="G901" s="1941">
        <v>11000</v>
      </c>
      <c r="H901" s="1937" t="str">
        <f>IFERROR(IF(F901&gt;=VLOOKUP(A901,[2]Materiality!$I$6:$J$12,2,TRUE),IFERROR(IF(VLOOKUP("*CR",F901,1,FALSE)&gt;=0,"",VLOOKUP("*CR",F901,1,FALSE)),F901),""),"")</f>
        <v/>
      </c>
      <c r="I901" s="1938">
        <f t="shared" si="14"/>
        <v>0</v>
      </c>
    </row>
    <row r="902" spans="1:9" x14ac:dyDescent="0.25">
      <c r="A902" t="s">
        <v>3355</v>
      </c>
      <c r="B902" s="1936"/>
      <c r="C902" t="s">
        <v>2774</v>
      </c>
      <c r="D902" s="1936"/>
      <c r="E902" s="1936"/>
      <c r="F902" s="1941">
        <v>1486.21</v>
      </c>
      <c r="G902" s="1941">
        <v>2000</v>
      </c>
      <c r="H902" s="1937" t="str">
        <f>IFERROR(IF(F902&gt;=VLOOKUP(A902,[2]Materiality!$I$6:$J$12,2,TRUE),IFERROR(IF(VLOOKUP("*CR",F902,1,FALSE)&gt;=0,"",VLOOKUP("*CR",F902,1,FALSE)),F902),""),"")</f>
        <v/>
      </c>
      <c r="I902" s="1938">
        <f t="shared" si="14"/>
        <v>0</v>
      </c>
    </row>
    <row r="903" spans="1:9" x14ac:dyDescent="0.25">
      <c r="A903" t="s">
        <v>3710</v>
      </c>
      <c r="B903" s="1936"/>
      <c r="C903" t="s">
        <v>2300</v>
      </c>
      <c r="D903" s="1936"/>
      <c r="E903" s="1936"/>
      <c r="F903" s="1941">
        <v>12480.71</v>
      </c>
      <c r="G903" s="1941">
        <v>13000</v>
      </c>
      <c r="H903" s="1937" t="str">
        <f>IFERROR(IF(F903&gt;=VLOOKUP(A903,[2]Materiality!$I$6:$J$12,2,TRUE),IFERROR(IF(VLOOKUP("*CR",F903,1,FALSE)&gt;=0,"",VLOOKUP("*CR",F903,1,FALSE)),F903),""),"")</f>
        <v/>
      </c>
      <c r="I903" s="1938">
        <f t="shared" si="14"/>
        <v>0</v>
      </c>
    </row>
    <row r="904" spans="1:9" x14ac:dyDescent="0.25">
      <c r="A904" t="s">
        <v>3747</v>
      </c>
      <c r="B904" s="1936"/>
      <c r="C904" t="s">
        <v>103</v>
      </c>
      <c r="D904" s="1936"/>
      <c r="E904" s="1936"/>
      <c r="F904" s="1941">
        <v>12848.21</v>
      </c>
      <c r="G904" s="1941">
        <v>13500</v>
      </c>
      <c r="H904" s="1937" t="str">
        <f>IFERROR(IF(F904&gt;=VLOOKUP(A904,[2]Materiality!$I$6:$J$12,2,TRUE),IFERROR(IF(VLOOKUP("*CR",F904,1,FALSE)&gt;=0,"",VLOOKUP("*CR",F904,1,FALSE)),F904),""),"")</f>
        <v/>
      </c>
      <c r="I904" s="1938">
        <f t="shared" si="14"/>
        <v>0</v>
      </c>
    </row>
    <row r="905" spans="1:9" x14ac:dyDescent="0.25">
      <c r="A905" t="s">
        <v>3354</v>
      </c>
      <c r="B905" s="1936"/>
      <c r="C905" t="s">
        <v>2775</v>
      </c>
      <c r="D905" s="1936"/>
      <c r="E905" s="1936"/>
      <c r="F905" s="1941">
        <v>23500</v>
      </c>
      <c r="G905" s="1941">
        <v>24000</v>
      </c>
      <c r="H905" s="1937" t="str">
        <f>IFERROR(IF(F905&gt;=VLOOKUP(A905,[2]Materiality!$I$6:$J$12,2,TRUE),IFERROR(IF(VLOOKUP("*CR",F905,1,FALSE)&gt;=0,"",VLOOKUP("*CR",F905,1,FALSE)),F905),""),"")</f>
        <v/>
      </c>
      <c r="I905" s="1938">
        <f t="shared" si="14"/>
        <v>0</v>
      </c>
    </row>
    <row r="906" spans="1:9" x14ac:dyDescent="0.25">
      <c r="A906" t="s">
        <v>3353</v>
      </c>
      <c r="B906" s="1936"/>
      <c r="C906" t="s">
        <v>2776</v>
      </c>
      <c r="D906" s="1936"/>
      <c r="E906" s="1936"/>
      <c r="F906" s="1941">
        <v>0</v>
      </c>
      <c r="G906" s="1941">
        <v>0</v>
      </c>
      <c r="H906" s="1937" t="str">
        <f>IFERROR(IF(F906&gt;=VLOOKUP(A906,[2]Materiality!$I$6:$J$12,2,TRUE),IFERROR(IF(VLOOKUP("*CR",F906,1,FALSE)&gt;=0,"",VLOOKUP("*CR",F906,1,FALSE)),F906),""),"")</f>
        <v/>
      </c>
      <c r="I906" s="1938">
        <f t="shared" si="14"/>
        <v>0</v>
      </c>
    </row>
    <row r="907" spans="1:9" x14ac:dyDescent="0.25">
      <c r="A907" t="s">
        <v>3710</v>
      </c>
      <c r="B907" s="1936"/>
      <c r="C907" t="s">
        <v>2300</v>
      </c>
      <c r="D907" s="1936"/>
      <c r="E907" s="1936"/>
      <c r="F907" s="1941">
        <v>23500</v>
      </c>
      <c r="G907" s="1941">
        <v>24000</v>
      </c>
      <c r="H907" s="1937" t="str">
        <f>IFERROR(IF(F907&gt;=VLOOKUP(A907,[2]Materiality!$I$6:$J$12,2,TRUE),IFERROR(IF(VLOOKUP("*CR",F907,1,FALSE)&gt;=0,"",VLOOKUP("*CR",F907,1,FALSE)),F907),""),"")</f>
        <v/>
      </c>
      <c r="I907" s="1938">
        <f t="shared" si="14"/>
        <v>0</v>
      </c>
    </row>
    <row r="908" spans="1:9" x14ac:dyDescent="0.25">
      <c r="A908" t="s">
        <v>3748</v>
      </c>
      <c r="B908" s="1936"/>
      <c r="C908" t="s">
        <v>2777</v>
      </c>
      <c r="D908" s="1936"/>
      <c r="E908" s="1936"/>
      <c r="F908" s="1941">
        <v>23500</v>
      </c>
      <c r="G908" s="1941">
        <v>24000</v>
      </c>
      <c r="H908" s="1937" t="str">
        <f>IFERROR(IF(F908&gt;=VLOOKUP(A908,[2]Materiality!$I$6:$J$12,2,TRUE),IFERROR(IF(VLOOKUP("*CR",F908,1,FALSE)&gt;=0,"",VLOOKUP("*CR",F908,1,FALSE)),F908),""),"")</f>
        <v/>
      </c>
      <c r="I908" s="1938">
        <f t="shared" si="14"/>
        <v>0</v>
      </c>
    </row>
    <row r="909" spans="1:9" x14ac:dyDescent="0.25">
      <c r="A909" t="s">
        <v>3352</v>
      </c>
      <c r="B909" s="1936"/>
      <c r="C909" t="s">
        <v>2778</v>
      </c>
      <c r="D909" s="1936"/>
      <c r="E909" s="1936"/>
      <c r="F909" s="1941">
        <v>8709.94</v>
      </c>
      <c r="G909" s="1941">
        <v>7500</v>
      </c>
      <c r="H909" s="1937" t="str">
        <f>IFERROR(IF(F909&gt;=VLOOKUP(A909,[2]Materiality!$I$6:$J$12,2,TRUE),IFERROR(IF(VLOOKUP("*CR",F909,1,FALSE)&gt;=0,"",VLOOKUP("*CR",F909,1,FALSE)),F909),""),"")</f>
        <v/>
      </c>
      <c r="I909" s="1938">
        <f t="shared" si="14"/>
        <v>0</v>
      </c>
    </row>
    <row r="910" spans="1:9" x14ac:dyDescent="0.25">
      <c r="A910" t="s">
        <v>3709</v>
      </c>
      <c r="B910" s="1936"/>
      <c r="C910" t="s">
        <v>1162</v>
      </c>
      <c r="D910" s="1936"/>
      <c r="E910" s="1936"/>
      <c r="F910" s="1941">
        <v>8709.94</v>
      </c>
      <c r="G910" s="1941">
        <v>7500</v>
      </c>
      <c r="H910" s="1937" t="str">
        <f>IFERROR(IF(F910&gt;=VLOOKUP(A910,[2]Materiality!$I$6:$J$12,2,TRUE),IFERROR(IF(VLOOKUP("*CR",F910,1,FALSE)&gt;=0,"",VLOOKUP("*CR",F910,1,FALSE)),F910),""),"")</f>
        <v/>
      </c>
      <c r="I910" s="1938">
        <f t="shared" si="14"/>
        <v>0</v>
      </c>
    </row>
    <row r="911" spans="1:9" x14ac:dyDescent="0.25">
      <c r="A911" t="s">
        <v>3749</v>
      </c>
      <c r="B911" s="1936"/>
      <c r="C911" t="s">
        <v>2779</v>
      </c>
      <c r="D911" s="1936"/>
      <c r="E911" s="1936"/>
      <c r="F911" s="1941">
        <v>8709.94</v>
      </c>
      <c r="G911" s="1941">
        <v>7500</v>
      </c>
      <c r="H911" s="1937" t="str">
        <f>IFERROR(IF(F911&gt;=VLOOKUP(A911,[2]Materiality!$I$6:$J$12,2,TRUE),IFERROR(IF(VLOOKUP("*CR",F911,1,FALSE)&gt;=0,"",VLOOKUP("*CR",F911,1,FALSE)),F911),""),"")</f>
        <v/>
      </c>
      <c r="I911" s="1938">
        <f t="shared" si="14"/>
        <v>0</v>
      </c>
    </row>
    <row r="912" spans="1:9" x14ac:dyDescent="0.25">
      <c r="A912" t="s">
        <v>3351</v>
      </c>
      <c r="B912" s="1936"/>
      <c r="C912" t="s">
        <v>2780</v>
      </c>
      <c r="D912" s="1936"/>
      <c r="E912" s="1936"/>
      <c r="F912" s="1941">
        <v>3425</v>
      </c>
      <c r="G912" s="1941">
        <v>2500</v>
      </c>
      <c r="H912" s="1937" t="str">
        <f>IFERROR(IF(F912&gt;=VLOOKUP(A912,[2]Materiality!$I$6:$J$12,2,TRUE),IFERROR(IF(VLOOKUP("*CR",F912,1,FALSE)&gt;=0,"",VLOOKUP("*CR",F912,1,FALSE)),F912),""),"")</f>
        <v/>
      </c>
      <c r="I912" s="1938">
        <f t="shared" si="14"/>
        <v>0</v>
      </c>
    </row>
    <row r="913" spans="1:9" x14ac:dyDescent="0.25">
      <c r="A913" t="s">
        <v>3638</v>
      </c>
      <c r="B913" s="1936"/>
      <c r="C913" t="s">
        <v>203</v>
      </c>
      <c r="D913" s="1936"/>
      <c r="E913" s="1936"/>
      <c r="F913" s="1941">
        <v>3425</v>
      </c>
      <c r="G913" s="1941">
        <v>2500</v>
      </c>
      <c r="H913" s="1937" t="str">
        <f>IFERROR(IF(F913&gt;=VLOOKUP(A913,[2]Materiality!$I$6:$J$12,2,TRUE),IFERROR(IF(VLOOKUP("*CR",F913,1,FALSE)&gt;=0,"",VLOOKUP("*CR",F913,1,FALSE)),F913),""),"")</f>
        <v/>
      </c>
      <c r="I913" s="1938">
        <f t="shared" si="14"/>
        <v>0</v>
      </c>
    </row>
    <row r="914" spans="1:9" x14ac:dyDescent="0.25">
      <c r="A914" t="s">
        <v>3350</v>
      </c>
      <c r="B914" s="1936"/>
      <c r="C914" t="s">
        <v>2781</v>
      </c>
      <c r="D914" s="1936"/>
      <c r="E914" s="1936"/>
      <c r="F914" s="1941">
        <v>132.19999999999999</v>
      </c>
      <c r="G914" s="1941">
        <v>200</v>
      </c>
      <c r="H914" s="1937" t="str">
        <f>IFERROR(IF(F914&gt;=VLOOKUP(A914,[2]Materiality!$I$6:$J$12,2,TRUE),IFERROR(IF(VLOOKUP("*CR",F914,1,FALSE)&gt;=0,"",VLOOKUP("*CR",F914,1,FALSE)),F914),""),"")</f>
        <v/>
      </c>
      <c r="I914" s="1938">
        <f t="shared" si="14"/>
        <v>0</v>
      </c>
    </row>
    <row r="915" spans="1:9" x14ac:dyDescent="0.25">
      <c r="A915" t="s">
        <v>3349</v>
      </c>
      <c r="B915" s="1936"/>
      <c r="C915" t="s">
        <v>2780</v>
      </c>
      <c r="D915" s="1936"/>
      <c r="E915" s="1936"/>
      <c r="F915" s="1941">
        <v>0</v>
      </c>
      <c r="G915" s="1941">
        <v>30</v>
      </c>
      <c r="H915" s="1937" t="str">
        <f>IFERROR(IF(F915&gt;=VLOOKUP(A915,[2]Materiality!$I$6:$J$12,2,TRUE),IFERROR(IF(VLOOKUP("*CR",F915,1,FALSE)&gt;=0,"",VLOOKUP("*CR",F915,1,FALSE)),F915),""),"")</f>
        <v/>
      </c>
      <c r="I915" s="1938">
        <f t="shared" si="14"/>
        <v>0</v>
      </c>
    </row>
    <row r="916" spans="1:9" x14ac:dyDescent="0.25">
      <c r="A916" t="s">
        <v>3708</v>
      </c>
      <c r="B916" s="1936"/>
      <c r="C916" t="s">
        <v>51</v>
      </c>
      <c r="D916" s="1936"/>
      <c r="E916" s="1936"/>
      <c r="F916" s="1941">
        <v>132.19999999999999</v>
      </c>
      <c r="G916" s="1941">
        <v>230</v>
      </c>
      <c r="H916" s="1937" t="str">
        <f>IFERROR(IF(F916&gt;=VLOOKUP(A916,[2]Materiality!$I$6:$J$12,2,TRUE),IFERROR(IF(VLOOKUP("*CR",F916,1,FALSE)&gt;=0,"",VLOOKUP("*CR",F916,1,FALSE)),F916),""),"")</f>
        <v/>
      </c>
      <c r="I916" s="1938">
        <f t="shared" si="14"/>
        <v>0</v>
      </c>
    </row>
    <row r="917" spans="1:9" x14ac:dyDescent="0.25">
      <c r="A917" t="s">
        <v>3348</v>
      </c>
      <c r="B917" s="1936"/>
      <c r="C917" t="s">
        <v>2782</v>
      </c>
      <c r="D917" s="1936"/>
      <c r="E917" s="1936"/>
      <c r="F917" s="1941">
        <v>0</v>
      </c>
      <c r="G917" s="1941">
        <v>300</v>
      </c>
      <c r="H917" s="1937" t="str">
        <f>IFERROR(IF(F917&gt;=VLOOKUP(A917,[2]Materiality!$I$6:$J$12,2,TRUE),IFERROR(IF(VLOOKUP("*CR",F917,1,FALSE)&gt;=0,"",VLOOKUP("*CR",F917,1,FALSE)),F917),""),"")</f>
        <v/>
      </c>
      <c r="I917" s="1938">
        <f t="shared" si="14"/>
        <v>0</v>
      </c>
    </row>
    <row r="918" spans="1:9" x14ac:dyDescent="0.25">
      <c r="A918" t="s">
        <v>3347</v>
      </c>
      <c r="B918" s="1936"/>
      <c r="C918" t="s">
        <v>2780</v>
      </c>
      <c r="D918" s="1936"/>
      <c r="E918" s="1936"/>
      <c r="F918" s="1941">
        <v>3519.11</v>
      </c>
      <c r="G918" s="1941">
        <v>5000</v>
      </c>
      <c r="H918" s="1937" t="str">
        <f>IFERROR(IF(F918&gt;=VLOOKUP(A918,[2]Materiality!$I$6:$J$12,2,TRUE),IFERROR(IF(VLOOKUP("*CR",F918,1,FALSE)&gt;=0,"",VLOOKUP("*CR",F918,1,FALSE)),F918),""),"")</f>
        <v/>
      </c>
      <c r="I918" s="1938">
        <f t="shared" si="14"/>
        <v>0</v>
      </c>
    </row>
    <row r="919" spans="1:9" x14ac:dyDescent="0.25">
      <c r="A919" t="s">
        <v>3709</v>
      </c>
      <c r="B919" s="1936"/>
      <c r="C919" t="s">
        <v>1162</v>
      </c>
      <c r="D919" s="1936"/>
      <c r="E919" s="1936"/>
      <c r="F919" s="1941">
        <v>3519.11</v>
      </c>
      <c r="G919" s="1941">
        <v>5300</v>
      </c>
      <c r="H919" s="1937" t="str">
        <f>IFERROR(IF(F919&gt;=VLOOKUP(A919,[2]Materiality!$I$6:$J$12,2,TRUE),IFERROR(IF(VLOOKUP("*CR",F919,1,FALSE)&gt;=0,"",VLOOKUP("*CR",F919,1,FALSE)),F919),""),"")</f>
        <v/>
      </c>
      <c r="I919" s="1938">
        <f t="shared" si="14"/>
        <v>0</v>
      </c>
    </row>
    <row r="920" spans="1:9" x14ac:dyDescent="0.25">
      <c r="A920" t="s">
        <v>3346</v>
      </c>
      <c r="B920" s="1936"/>
      <c r="C920" t="s">
        <v>2783</v>
      </c>
      <c r="D920" s="1936"/>
      <c r="E920" s="1936"/>
      <c r="F920" s="1941">
        <v>0</v>
      </c>
      <c r="G920" s="1941">
        <v>0</v>
      </c>
      <c r="H920" s="1937" t="str">
        <f>IFERROR(IF(F920&gt;=VLOOKUP(A920,[2]Materiality!$I$6:$J$12,2,TRUE),IFERROR(IF(VLOOKUP("*CR",F920,1,FALSE)&gt;=0,"",VLOOKUP("*CR",F920,1,FALSE)),F920),""),"")</f>
        <v/>
      </c>
      <c r="I920" s="1938">
        <f t="shared" si="14"/>
        <v>0</v>
      </c>
    </row>
    <row r="921" spans="1:9" x14ac:dyDescent="0.25">
      <c r="A921" t="s">
        <v>3711</v>
      </c>
      <c r="B921" s="1936"/>
      <c r="C921" t="s">
        <v>1157</v>
      </c>
      <c r="D921" s="1936"/>
      <c r="E921" s="1936"/>
      <c r="F921" s="1941">
        <v>0</v>
      </c>
      <c r="G921" s="1941">
        <v>0</v>
      </c>
      <c r="H921" s="1937" t="str">
        <f>IFERROR(IF(F921&gt;=VLOOKUP(A921,[2]Materiality!$I$6:$J$12,2,TRUE),IFERROR(IF(VLOOKUP("*CR",F921,1,FALSE)&gt;=0,"",VLOOKUP("*CR",F921,1,FALSE)),F921),""),"")</f>
        <v/>
      </c>
      <c r="I921" s="1938">
        <f t="shared" si="14"/>
        <v>0</v>
      </c>
    </row>
    <row r="922" spans="1:9" x14ac:dyDescent="0.25">
      <c r="A922" t="s">
        <v>3750</v>
      </c>
      <c r="B922" s="1936"/>
      <c r="C922" t="s">
        <v>423</v>
      </c>
      <c r="D922" s="1936"/>
      <c r="E922" s="1936"/>
      <c r="F922" s="1941">
        <v>7076.31</v>
      </c>
      <c r="G922" s="1941">
        <v>8030</v>
      </c>
      <c r="H922" s="1937" t="str">
        <f>IFERROR(IF(F922&gt;=VLOOKUP(A922,[2]Materiality!$I$6:$J$12,2,TRUE),IFERROR(IF(VLOOKUP("*CR",F922,1,FALSE)&gt;=0,"",VLOOKUP("*CR",F922,1,FALSE)),F922),""),"")</f>
        <v/>
      </c>
      <c r="I922" s="1938">
        <f t="shared" si="14"/>
        <v>0</v>
      </c>
    </row>
    <row r="923" spans="1:9" x14ac:dyDescent="0.25">
      <c r="A923" t="s">
        <v>590</v>
      </c>
      <c r="B923" s="1936"/>
      <c r="C923" t="s">
        <v>477</v>
      </c>
      <c r="D923" s="1936"/>
      <c r="E923" s="1936"/>
      <c r="F923" s="1941">
        <v>5078083.54</v>
      </c>
      <c r="G923" s="1941">
        <v>5342581.07</v>
      </c>
      <c r="H923" s="1937">
        <f>IFERROR(IF(F923&gt;=VLOOKUP(A923,[2]Materiality!$I$6:$J$12,2,TRUE),IFERROR(IF(VLOOKUP("*CR",F923,1,FALSE)&gt;=0,"",VLOOKUP("*CR",F923,1,FALSE)),F923),""),"")</f>
        <v>5078083.54</v>
      </c>
      <c r="I923" s="1938">
        <f t="shared" si="14"/>
        <v>0</v>
      </c>
    </row>
    <row r="924" spans="1:9" x14ac:dyDescent="0.25">
      <c r="A924" t="s">
        <v>3345</v>
      </c>
      <c r="B924" s="1936"/>
      <c r="C924" t="s">
        <v>2784</v>
      </c>
      <c r="D924" s="1936"/>
      <c r="E924" s="1936"/>
      <c r="F924" s="1941">
        <v>13141.62</v>
      </c>
      <c r="G924" s="1941">
        <v>13141.62</v>
      </c>
      <c r="H924" s="1937" t="str">
        <f>IFERROR(IF(F924&gt;=VLOOKUP(A924,[2]Materiality!$I$6:$J$12,2,TRUE),IFERROR(IF(VLOOKUP("*CR",F924,1,FALSE)&gt;=0,"",VLOOKUP("*CR",F924,1,FALSE)),F924),""),"")</f>
        <v/>
      </c>
      <c r="I924" s="1938">
        <f t="shared" si="14"/>
        <v>0</v>
      </c>
    </row>
    <row r="925" spans="1:9" x14ac:dyDescent="0.25">
      <c r="A925" t="s">
        <v>3344</v>
      </c>
      <c r="B925" s="1936"/>
      <c r="C925" t="s">
        <v>2785</v>
      </c>
      <c r="D925" s="1936"/>
      <c r="E925" s="1936"/>
      <c r="F925" s="1941">
        <v>8877</v>
      </c>
      <c r="G925" s="1941">
        <v>8877</v>
      </c>
      <c r="H925" s="1937" t="str">
        <f>IFERROR(IF(F925&gt;=VLOOKUP(A925,[2]Materiality!$I$6:$J$12,2,TRUE),IFERROR(IF(VLOOKUP("*CR",F925,1,FALSE)&gt;=0,"",VLOOKUP("*CR",F925,1,FALSE)),F925),""),"")</f>
        <v/>
      </c>
      <c r="I925" s="1938">
        <f t="shared" si="14"/>
        <v>0</v>
      </c>
    </row>
    <row r="926" spans="1:9" x14ac:dyDescent="0.25">
      <c r="A926" t="s">
        <v>3343</v>
      </c>
      <c r="B926" s="1936"/>
      <c r="C926" t="s">
        <v>2786</v>
      </c>
      <c r="D926" s="1936"/>
      <c r="E926" s="1936"/>
      <c r="F926" s="1941">
        <v>118714.71</v>
      </c>
      <c r="G926" s="1941">
        <v>118741.71</v>
      </c>
      <c r="H926" s="1937" t="str">
        <f>IFERROR(IF(F926&gt;=VLOOKUP(A926,[2]Materiality!$I$6:$J$12,2,TRUE),IFERROR(IF(VLOOKUP("*CR",F926,1,FALSE)&gt;=0,"",VLOOKUP("*CR",F926,1,FALSE)),F926),""),"")</f>
        <v/>
      </c>
      <c r="I926" s="1938">
        <f t="shared" si="14"/>
        <v>0</v>
      </c>
    </row>
    <row r="927" spans="1:9" x14ac:dyDescent="0.25">
      <c r="A927" t="s">
        <v>3342</v>
      </c>
      <c r="B927" s="1936"/>
      <c r="C927" t="s">
        <v>2787</v>
      </c>
      <c r="D927" s="1936"/>
      <c r="E927" s="1936"/>
      <c r="F927" s="1941">
        <v>16998.849999999999</v>
      </c>
      <c r="G927" s="1941">
        <v>16998.849999999999</v>
      </c>
      <c r="H927" s="1937" t="str">
        <f>IFERROR(IF(F927&gt;=VLOOKUP(A927,[2]Materiality!$I$6:$J$12,2,TRUE),IFERROR(IF(VLOOKUP("*CR",F927,1,FALSE)&gt;=0,"",VLOOKUP("*CR",F927,1,FALSE)),F927),""),"")</f>
        <v/>
      </c>
      <c r="I927" s="1938">
        <f t="shared" si="14"/>
        <v>0</v>
      </c>
    </row>
    <row r="928" spans="1:9" x14ac:dyDescent="0.25">
      <c r="A928" t="s">
        <v>3714</v>
      </c>
      <c r="B928" s="1936"/>
      <c r="C928" t="s">
        <v>1158</v>
      </c>
      <c r="D928" s="1936"/>
      <c r="E928" s="1936"/>
      <c r="F928" s="1941">
        <v>157732.18</v>
      </c>
      <c r="G928" s="1941">
        <v>157759.18</v>
      </c>
      <c r="I928" s="1938">
        <f t="shared" si="14"/>
        <v>0</v>
      </c>
    </row>
    <row r="929" spans="1:9" x14ac:dyDescent="0.25">
      <c r="A929" t="s">
        <v>3751</v>
      </c>
      <c r="B929" s="1936"/>
      <c r="C929" t="s">
        <v>2788</v>
      </c>
      <c r="D929" s="1936"/>
      <c r="E929" s="1936"/>
      <c r="F929" s="1941">
        <v>157732.18</v>
      </c>
      <c r="G929" s="1941">
        <v>157759.18</v>
      </c>
      <c r="I929" s="1938">
        <f t="shared" si="14"/>
        <v>0</v>
      </c>
    </row>
    <row r="930" spans="1:9" x14ac:dyDescent="0.25">
      <c r="A930" t="s">
        <v>3341</v>
      </c>
      <c r="B930" s="1936"/>
      <c r="C930" t="s">
        <v>2789</v>
      </c>
      <c r="D930" s="1936"/>
      <c r="E930" s="1936"/>
      <c r="F930" s="1941">
        <v>0</v>
      </c>
      <c r="G930" s="1941">
        <v>0</v>
      </c>
      <c r="I930" s="1938">
        <f t="shared" si="14"/>
        <v>0</v>
      </c>
    </row>
    <row r="931" spans="1:9" x14ac:dyDescent="0.25">
      <c r="A931" t="s">
        <v>3340</v>
      </c>
      <c r="B931" s="1936"/>
      <c r="C931" t="s">
        <v>2790</v>
      </c>
      <c r="D931" s="1936"/>
      <c r="E931" s="1936"/>
      <c r="F931" s="1941">
        <v>42534</v>
      </c>
      <c r="G931" s="1941">
        <v>60000</v>
      </c>
      <c r="I931" s="1938">
        <f t="shared" si="14"/>
        <v>0</v>
      </c>
    </row>
    <row r="932" spans="1:9" x14ac:dyDescent="0.25">
      <c r="A932" t="s">
        <v>3339</v>
      </c>
      <c r="B932" s="1936"/>
      <c r="C932" t="s">
        <v>2791</v>
      </c>
      <c r="D932" s="1936"/>
      <c r="E932" s="1936"/>
      <c r="F932" s="1941">
        <v>29232.69</v>
      </c>
      <c r="G932" s="1941">
        <v>42000</v>
      </c>
      <c r="I932" s="1938">
        <f t="shared" si="14"/>
        <v>0</v>
      </c>
    </row>
    <row r="933" spans="1:9" x14ac:dyDescent="0.25">
      <c r="A933" t="s">
        <v>3338</v>
      </c>
      <c r="B933" s="1936"/>
      <c r="C933" t="s">
        <v>2792</v>
      </c>
      <c r="D933" s="1936"/>
      <c r="E933" s="1936"/>
      <c r="F933" s="1941">
        <v>314784.67</v>
      </c>
      <c r="G933" s="1941">
        <v>290000</v>
      </c>
      <c r="I933" s="1938">
        <f t="shared" si="14"/>
        <v>0</v>
      </c>
    </row>
    <row r="934" spans="1:9" x14ac:dyDescent="0.25">
      <c r="A934" t="s">
        <v>3337</v>
      </c>
      <c r="B934" s="1936"/>
      <c r="C934" t="s">
        <v>2793</v>
      </c>
      <c r="D934" s="1936"/>
      <c r="E934" s="1936"/>
      <c r="F934" s="1941">
        <v>-4096.1400000000003</v>
      </c>
      <c r="G934" s="1941">
        <v>7500</v>
      </c>
      <c r="I934" s="1938">
        <f t="shared" si="14"/>
        <v>-4096.1400000000003</v>
      </c>
    </row>
    <row r="935" spans="1:9" x14ac:dyDescent="0.25">
      <c r="A935" t="s">
        <v>3336</v>
      </c>
      <c r="B935" s="1936"/>
      <c r="C935" t="s">
        <v>2794</v>
      </c>
      <c r="D935" s="1936"/>
      <c r="E935" s="1936"/>
      <c r="F935" s="1941">
        <v>0</v>
      </c>
      <c r="G935" s="1941">
        <v>0</v>
      </c>
      <c r="I935" s="1938">
        <f t="shared" si="14"/>
        <v>0</v>
      </c>
    </row>
    <row r="936" spans="1:9" x14ac:dyDescent="0.25">
      <c r="A936" t="s">
        <v>3335</v>
      </c>
      <c r="B936" s="1936"/>
      <c r="C936" t="s">
        <v>2795</v>
      </c>
      <c r="D936" s="1936"/>
      <c r="E936" s="1936"/>
      <c r="F936" s="1941">
        <v>0</v>
      </c>
      <c r="G936" s="1941">
        <v>0</v>
      </c>
      <c r="I936" s="1938">
        <f t="shared" si="14"/>
        <v>0</v>
      </c>
    </row>
    <row r="937" spans="1:9" x14ac:dyDescent="0.25">
      <c r="A937" t="s">
        <v>3334</v>
      </c>
      <c r="B937" s="1936"/>
      <c r="C937" t="s">
        <v>2796</v>
      </c>
      <c r="D937" s="1936"/>
      <c r="E937" s="1936"/>
      <c r="F937" s="1941">
        <v>374.92</v>
      </c>
      <c r="G937" s="1941">
        <v>3000</v>
      </c>
      <c r="I937" s="1938">
        <f t="shared" si="14"/>
        <v>0</v>
      </c>
    </row>
    <row r="938" spans="1:9" x14ac:dyDescent="0.25">
      <c r="A938" t="s">
        <v>3333</v>
      </c>
      <c r="B938" s="1936"/>
      <c r="C938" t="s">
        <v>2797</v>
      </c>
      <c r="D938" s="1936"/>
      <c r="E938" s="1936"/>
      <c r="F938" s="1941">
        <v>535.07000000000005</v>
      </c>
      <c r="G938" s="1941">
        <v>5000</v>
      </c>
      <c r="I938" s="1938">
        <f t="shared" si="14"/>
        <v>0</v>
      </c>
    </row>
    <row r="939" spans="1:9" x14ac:dyDescent="0.25">
      <c r="A939" t="s">
        <v>3332</v>
      </c>
      <c r="B939" s="1936"/>
      <c r="C939" t="s">
        <v>2798</v>
      </c>
      <c r="D939" s="1936"/>
      <c r="E939" s="1936"/>
      <c r="F939" s="1941">
        <v>2276.48</v>
      </c>
      <c r="G939" s="1941">
        <v>2276</v>
      </c>
      <c r="I939" s="1938">
        <f t="shared" si="14"/>
        <v>0</v>
      </c>
    </row>
    <row r="940" spans="1:9" x14ac:dyDescent="0.25">
      <c r="A940" t="s">
        <v>3714</v>
      </c>
      <c r="B940" s="1936"/>
      <c r="C940" t="s">
        <v>1158</v>
      </c>
      <c r="D940" s="1936"/>
      <c r="E940" s="1936"/>
      <c r="F940" s="1941">
        <v>385641.69</v>
      </c>
      <c r="G940" s="1941">
        <v>409776</v>
      </c>
      <c r="I940" s="1938">
        <f t="shared" si="14"/>
        <v>0</v>
      </c>
    </row>
    <row r="941" spans="1:9" x14ac:dyDescent="0.25">
      <c r="A941" t="s">
        <v>3752</v>
      </c>
      <c r="B941" s="1936"/>
      <c r="C941" t="s">
        <v>2799</v>
      </c>
      <c r="D941" s="1936"/>
      <c r="E941" s="1936"/>
      <c r="F941" s="1941">
        <v>385641.69</v>
      </c>
      <c r="G941" s="1941">
        <v>409776</v>
      </c>
      <c r="I941" s="1938">
        <f t="shared" si="14"/>
        <v>0</v>
      </c>
    </row>
    <row r="942" spans="1:9" x14ac:dyDescent="0.25">
      <c r="A942" t="s">
        <v>915</v>
      </c>
      <c r="B942" s="1936"/>
      <c r="C942" t="s">
        <v>2800</v>
      </c>
      <c r="D942" s="1936"/>
      <c r="E942" s="1936"/>
      <c r="F942" s="1941">
        <v>543373.87</v>
      </c>
      <c r="G942" s="1941">
        <v>567535.18000000005</v>
      </c>
      <c r="I942" s="1938">
        <f t="shared" si="14"/>
        <v>0</v>
      </c>
    </row>
    <row r="943" spans="1:9" x14ac:dyDescent="0.25">
      <c r="A943" t="s">
        <v>2801</v>
      </c>
      <c r="B943" s="1936"/>
      <c r="C943" t="s">
        <v>2802</v>
      </c>
      <c r="D943" s="1936"/>
      <c r="E943" s="1936"/>
      <c r="F943" s="1941">
        <v>17378432.27</v>
      </c>
      <c r="G943" s="1941">
        <v>17787025.329999998</v>
      </c>
      <c r="I943" s="1938">
        <f t="shared" si="14"/>
        <v>0</v>
      </c>
    </row>
    <row r="944" spans="1:9" x14ac:dyDescent="0.25">
      <c r="A944" t="s">
        <v>3753</v>
      </c>
      <c r="B944" s="1936"/>
      <c r="C944" t="s">
        <v>2803</v>
      </c>
      <c r="D944" s="1936"/>
      <c r="E944" s="1936"/>
      <c r="F944" s="1941">
        <v>-19678065.989999998</v>
      </c>
      <c r="G944" s="1941">
        <v>-19110368</v>
      </c>
      <c r="I944" s="1938">
        <f t="shared" si="14"/>
        <v>-19678065.989999998</v>
      </c>
    </row>
    <row r="945" spans="1:9" x14ac:dyDescent="0.25">
      <c r="A945" t="s">
        <v>3753</v>
      </c>
      <c r="B945" s="1936"/>
      <c r="C945" t="s">
        <v>2803</v>
      </c>
      <c r="D945" s="1936"/>
      <c r="E945" s="1936"/>
      <c r="F945" s="1941">
        <v>17378432.27</v>
      </c>
      <c r="G945" s="1941">
        <v>17787025.329999998</v>
      </c>
      <c r="I945" s="1938">
        <f t="shared" si="14"/>
        <v>0</v>
      </c>
    </row>
    <row r="946" spans="1:9" x14ac:dyDescent="0.25">
      <c r="A946" t="s">
        <v>3754</v>
      </c>
      <c r="B946" s="1936"/>
      <c r="C946" t="s">
        <v>2102</v>
      </c>
      <c r="D946" s="1936"/>
      <c r="E946" s="1936"/>
      <c r="F946" s="1941">
        <v>0</v>
      </c>
      <c r="G946" s="1941">
        <v>0</v>
      </c>
      <c r="I946" s="1938">
        <f t="shared" si="14"/>
        <v>0</v>
      </c>
    </row>
    <row r="947" spans="1:9" x14ac:dyDescent="0.25">
      <c r="A947" t="s">
        <v>1231</v>
      </c>
      <c r="B947" s="1936"/>
      <c r="C947" t="s">
        <v>1231</v>
      </c>
      <c r="D947" s="1936"/>
      <c r="E947" s="1936"/>
      <c r="F947" s="1941">
        <v>0</v>
      </c>
      <c r="G947" s="1941">
        <v>0</v>
      </c>
      <c r="I947" s="1938">
        <f t="shared" si="14"/>
        <v>0</v>
      </c>
    </row>
    <row r="948" spans="1:9" x14ac:dyDescent="0.25">
      <c r="A948" t="s">
        <v>1231</v>
      </c>
      <c r="B948" s="1936"/>
      <c r="C948" t="s">
        <v>1231</v>
      </c>
      <c r="D948" s="1936"/>
      <c r="E948" s="1936"/>
      <c r="F948" s="1941">
        <v>0</v>
      </c>
      <c r="G948" s="1941">
        <v>0</v>
      </c>
      <c r="I948" s="1938">
        <f t="shared" si="14"/>
        <v>0</v>
      </c>
    </row>
    <row r="949" spans="1:9" x14ac:dyDescent="0.25">
      <c r="A949" t="s">
        <v>1231</v>
      </c>
      <c r="B949" s="1936"/>
      <c r="C949" t="s">
        <v>1231</v>
      </c>
      <c r="D949" s="1936"/>
      <c r="E949" s="1936"/>
      <c r="F949" s="1941">
        <v>0</v>
      </c>
      <c r="G949" s="1941">
        <v>0</v>
      </c>
      <c r="I949" s="1938">
        <f t="shared" si="14"/>
        <v>0</v>
      </c>
    </row>
    <row r="950" spans="1:9" x14ac:dyDescent="0.25">
      <c r="A950" t="s">
        <v>2804</v>
      </c>
      <c r="B950" s="1936"/>
      <c r="C950" t="s">
        <v>2088</v>
      </c>
      <c r="D950" s="1936"/>
      <c r="E950" s="1936"/>
      <c r="F950" s="1941">
        <v>-691043.19</v>
      </c>
      <c r="G950" s="1941">
        <v>-691631</v>
      </c>
      <c r="I950" s="1938">
        <f t="shared" si="14"/>
        <v>-691043.19</v>
      </c>
    </row>
    <row r="951" spans="1:9" x14ac:dyDescent="0.25">
      <c r="A951" t="s">
        <v>1231</v>
      </c>
      <c r="B951" s="1936"/>
      <c r="C951" t="s">
        <v>1231</v>
      </c>
      <c r="D951" s="1936"/>
      <c r="E951" s="1936"/>
      <c r="F951" s="1941">
        <v>-691043.19</v>
      </c>
      <c r="G951" s="1941">
        <v>-691631</v>
      </c>
      <c r="I951" s="1938">
        <f t="shared" si="14"/>
        <v>-691043.19</v>
      </c>
    </row>
    <row r="952" spans="1:9" x14ac:dyDescent="0.25">
      <c r="A952" t="s">
        <v>3755</v>
      </c>
      <c r="B952" s="1936"/>
      <c r="C952" t="s">
        <v>2805</v>
      </c>
      <c r="D952" s="1936"/>
      <c r="E952" s="1936"/>
      <c r="F952" s="1941">
        <v>-691043.19</v>
      </c>
      <c r="G952" s="1941">
        <v>-691631</v>
      </c>
      <c r="I952" s="1938">
        <f t="shared" si="14"/>
        <v>-691043.19</v>
      </c>
    </row>
    <row r="953" spans="1:9" x14ac:dyDescent="0.25">
      <c r="A953" t="s">
        <v>2806</v>
      </c>
      <c r="B953" s="1936"/>
      <c r="C953" t="s">
        <v>2099</v>
      </c>
      <c r="D953" s="1936"/>
      <c r="E953" s="1936"/>
      <c r="F953" s="1941">
        <v>-250000</v>
      </c>
      <c r="G953" s="1941">
        <v>-250000</v>
      </c>
      <c r="I953" s="1938">
        <f t="shared" si="14"/>
        <v>-250000</v>
      </c>
    </row>
    <row r="954" spans="1:9" x14ac:dyDescent="0.25">
      <c r="A954" t="s">
        <v>1231</v>
      </c>
      <c r="B954" s="1936"/>
      <c r="C954" t="s">
        <v>1231</v>
      </c>
      <c r="D954" s="1936"/>
      <c r="E954" s="1936"/>
      <c r="F954" s="1941">
        <v>-250000</v>
      </c>
      <c r="G954" s="1941">
        <v>-250000</v>
      </c>
      <c r="I954" s="1938">
        <f t="shared" si="14"/>
        <v>-250000</v>
      </c>
    </row>
    <row r="955" spans="1:9" x14ac:dyDescent="0.25">
      <c r="A955" t="s">
        <v>3642</v>
      </c>
      <c r="B955" s="1936"/>
      <c r="C955" t="s">
        <v>2100</v>
      </c>
      <c r="D955" s="1936"/>
      <c r="E955" s="1936"/>
      <c r="F955" s="1941">
        <v>-250000</v>
      </c>
      <c r="G955" s="1941">
        <v>-250000</v>
      </c>
      <c r="I955" s="1938">
        <f t="shared" si="14"/>
        <v>-250000</v>
      </c>
    </row>
    <row r="956" spans="1:9" x14ac:dyDescent="0.25">
      <c r="A956" t="s">
        <v>2807</v>
      </c>
      <c r="B956" s="1936"/>
      <c r="C956" t="s">
        <v>2808</v>
      </c>
      <c r="D956" s="1936"/>
      <c r="E956" s="1936"/>
      <c r="F956" s="1941">
        <v>-16554.7</v>
      </c>
      <c r="G956" s="1941">
        <v>-16715</v>
      </c>
      <c r="I956" s="1938">
        <f t="shared" si="14"/>
        <v>-16554.7</v>
      </c>
    </row>
    <row r="957" spans="1:9" x14ac:dyDescent="0.25">
      <c r="A957" t="s">
        <v>1231</v>
      </c>
      <c r="B957" s="1936"/>
      <c r="C957" t="s">
        <v>1231</v>
      </c>
      <c r="D957" s="1936"/>
      <c r="E957" s="1936"/>
      <c r="F957" s="1941">
        <v>-16554.7</v>
      </c>
      <c r="G957" s="1941">
        <v>-16715</v>
      </c>
      <c r="I957" s="1938">
        <f t="shared" si="14"/>
        <v>-16554.7</v>
      </c>
    </row>
    <row r="958" spans="1:9" x14ac:dyDescent="0.25">
      <c r="A958" t="s">
        <v>3756</v>
      </c>
      <c r="B958" s="1936"/>
      <c r="C958" t="s">
        <v>2809</v>
      </c>
      <c r="D958" s="1936"/>
      <c r="E958" s="1936"/>
      <c r="F958" s="1941">
        <v>-16554.7</v>
      </c>
      <c r="G958" s="1941">
        <v>-16715</v>
      </c>
      <c r="I958" s="1938">
        <f t="shared" si="14"/>
        <v>-16554.7</v>
      </c>
    </row>
    <row r="959" spans="1:9" x14ac:dyDescent="0.25">
      <c r="A959" t="s">
        <v>2810</v>
      </c>
      <c r="B959" s="1936"/>
      <c r="C959" t="s">
        <v>2108</v>
      </c>
      <c r="D959" s="1936"/>
      <c r="E959" s="1936"/>
      <c r="F959" s="1941">
        <v>0</v>
      </c>
      <c r="G959" s="1941">
        <v>-100</v>
      </c>
      <c r="I959" s="1938">
        <f t="shared" si="14"/>
        <v>0</v>
      </c>
    </row>
    <row r="960" spans="1:9" x14ac:dyDescent="0.25">
      <c r="A960" t="s">
        <v>1231</v>
      </c>
      <c r="B960" s="1936"/>
      <c r="C960" t="s">
        <v>1231</v>
      </c>
      <c r="D960" s="1936"/>
      <c r="E960" s="1936"/>
      <c r="F960" s="1941">
        <v>0</v>
      </c>
      <c r="G960" s="1941">
        <v>-100</v>
      </c>
      <c r="I960" s="1938">
        <f t="shared" si="14"/>
        <v>0</v>
      </c>
    </row>
    <row r="961" spans="1:9" x14ac:dyDescent="0.25">
      <c r="A961" t="s">
        <v>3645</v>
      </c>
      <c r="B961" s="1936"/>
      <c r="C961" t="s">
        <v>2109</v>
      </c>
      <c r="D961" s="1936"/>
      <c r="E961" s="1936"/>
      <c r="F961" s="1941">
        <v>0</v>
      </c>
      <c r="G961" s="1941">
        <v>-100</v>
      </c>
      <c r="I961" s="1938">
        <f t="shared" si="14"/>
        <v>0</v>
      </c>
    </row>
    <row r="962" spans="1:9" x14ac:dyDescent="0.25">
      <c r="A962" t="s">
        <v>3757</v>
      </c>
      <c r="B962" s="1936"/>
      <c r="C962" t="s">
        <v>2811</v>
      </c>
      <c r="D962" s="1936"/>
      <c r="E962" s="1936"/>
      <c r="F962" s="1941">
        <v>-2165.36</v>
      </c>
      <c r="G962" s="1941">
        <v>-1500</v>
      </c>
      <c r="I962" s="1938">
        <f t="shared" si="14"/>
        <v>-2165.36</v>
      </c>
    </row>
    <row r="963" spans="1:9" x14ac:dyDescent="0.25">
      <c r="A963" t="s">
        <v>1231</v>
      </c>
      <c r="B963" s="1936"/>
      <c r="C963" t="s">
        <v>1231</v>
      </c>
      <c r="D963" s="1936"/>
      <c r="E963" s="1936"/>
      <c r="F963" s="1941">
        <v>-2165.36</v>
      </c>
      <c r="G963" s="1941">
        <v>-1500</v>
      </c>
      <c r="I963" s="1938">
        <f t="shared" si="14"/>
        <v>-2165.36</v>
      </c>
    </row>
    <row r="964" spans="1:9" x14ac:dyDescent="0.25">
      <c r="A964" t="s">
        <v>749</v>
      </c>
      <c r="B964" s="1936"/>
      <c r="C964" t="s">
        <v>1124</v>
      </c>
      <c r="D964" s="1936"/>
      <c r="E964" s="1936"/>
      <c r="F964" s="1941">
        <v>-2165.36</v>
      </c>
      <c r="G964" s="1941">
        <v>-1500</v>
      </c>
      <c r="I964" s="1938">
        <f t="shared" ref="I964:I1027" si="15">IF(F964&lt;0,F964,0)</f>
        <v>-2165.36</v>
      </c>
    </row>
    <row r="965" spans="1:9" x14ac:dyDescent="0.25">
      <c r="A965" t="s">
        <v>3758</v>
      </c>
      <c r="B965" s="1936"/>
      <c r="C965" t="s">
        <v>2173</v>
      </c>
      <c r="D965" s="1936"/>
      <c r="E965" s="1936"/>
      <c r="F965" s="1941">
        <v>0</v>
      </c>
      <c r="G965" s="1941">
        <v>0</v>
      </c>
      <c r="I965" s="1938">
        <f t="shared" si="15"/>
        <v>0</v>
      </c>
    </row>
    <row r="966" spans="1:9" x14ac:dyDescent="0.25">
      <c r="A966" t="s">
        <v>1231</v>
      </c>
      <c r="B966" s="1936"/>
      <c r="C966" t="s">
        <v>1231</v>
      </c>
      <c r="D966" s="1936"/>
      <c r="E966" s="1936"/>
      <c r="F966" s="1941">
        <v>0</v>
      </c>
      <c r="G966" s="1941">
        <v>0</v>
      </c>
      <c r="I966" s="1938">
        <f t="shared" si="15"/>
        <v>0</v>
      </c>
    </row>
    <row r="967" spans="1:9" x14ac:dyDescent="0.25">
      <c r="A967" t="s">
        <v>760</v>
      </c>
      <c r="B967" s="1936"/>
      <c r="C967" t="s">
        <v>2812</v>
      </c>
      <c r="D967" s="1936"/>
      <c r="E967" s="1936"/>
      <c r="F967" s="1941">
        <v>0</v>
      </c>
      <c r="G967" s="1941">
        <v>0</v>
      </c>
      <c r="I967" s="1938">
        <f t="shared" si="15"/>
        <v>0</v>
      </c>
    </row>
    <row r="968" spans="1:9" x14ac:dyDescent="0.25">
      <c r="A968" t="s">
        <v>3759</v>
      </c>
      <c r="B968" s="1936"/>
      <c r="C968" t="s">
        <v>2152</v>
      </c>
      <c r="D968" s="1936"/>
      <c r="E968" s="1936"/>
      <c r="F968" s="1941">
        <v>-133.88</v>
      </c>
      <c r="G968" s="1941">
        <v>-1000</v>
      </c>
      <c r="I968" s="1938">
        <f t="shared" si="15"/>
        <v>-133.88</v>
      </c>
    </row>
    <row r="969" spans="1:9" x14ac:dyDescent="0.25">
      <c r="A969" t="s">
        <v>1231</v>
      </c>
      <c r="B969" s="1936"/>
      <c r="C969" t="s">
        <v>1231</v>
      </c>
      <c r="D969" s="1936"/>
      <c r="E969" s="1936"/>
      <c r="F969" s="1941">
        <v>-133.88</v>
      </c>
      <c r="G969" s="1941">
        <v>-1000</v>
      </c>
      <c r="I969" s="1938">
        <f t="shared" si="15"/>
        <v>-133.88</v>
      </c>
    </row>
    <row r="970" spans="1:9" x14ac:dyDescent="0.25">
      <c r="A970" t="s">
        <v>2813</v>
      </c>
      <c r="B970" s="1936"/>
      <c r="C970" t="s">
        <v>2814</v>
      </c>
      <c r="D970" s="1936"/>
      <c r="E970" s="1936"/>
      <c r="F970" s="1941">
        <v>-4120</v>
      </c>
      <c r="G970" s="1941">
        <v>-4120</v>
      </c>
      <c r="I970" s="1938">
        <f t="shared" si="15"/>
        <v>-4120</v>
      </c>
    </row>
    <row r="971" spans="1:9" x14ac:dyDescent="0.25">
      <c r="A971" t="s">
        <v>3760</v>
      </c>
      <c r="B971" s="1936"/>
      <c r="C971" t="s">
        <v>310</v>
      </c>
      <c r="D971" s="1936"/>
      <c r="E971" s="1936"/>
      <c r="F971" s="1941">
        <v>-4120</v>
      </c>
      <c r="G971" s="1941">
        <v>-4120</v>
      </c>
      <c r="I971" s="1938">
        <f t="shared" si="15"/>
        <v>-4120</v>
      </c>
    </row>
    <row r="972" spans="1:9" x14ac:dyDescent="0.25">
      <c r="A972" t="s">
        <v>3661</v>
      </c>
      <c r="B972" s="1936"/>
      <c r="C972" t="s">
        <v>2153</v>
      </c>
      <c r="D972" s="1936"/>
      <c r="E972" s="1936"/>
      <c r="F972" s="1941">
        <v>-4253.88</v>
      </c>
      <c r="G972" s="1941">
        <v>-5120</v>
      </c>
      <c r="I972" s="1938">
        <f t="shared" si="15"/>
        <v>-4253.88</v>
      </c>
    </row>
    <row r="973" spans="1:9" x14ac:dyDescent="0.25">
      <c r="A973" t="s">
        <v>591</v>
      </c>
      <c r="B973" s="1936"/>
      <c r="C973" t="s">
        <v>2154</v>
      </c>
      <c r="D973" s="1936"/>
      <c r="E973" s="1936"/>
      <c r="F973" s="1941">
        <v>-964017.13</v>
      </c>
      <c r="G973" s="1941">
        <v>-965066</v>
      </c>
      <c r="I973" s="1938">
        <f t="shared" si="15"/>
        <v>-964017.13</v>
      </c>
    </row>
    <row r="974" spans="1:9" x14ac:dyDescent="0.25">
      <c r="A974" t="s">
        <v>3761</v>
      </c>
      <c r="B974" s="1936"/>
      <c r="C974" t="s">
        <v>2173</v>
      </c>
      <c r="D974" s="1936"/>
      <c r="E974" s="1936"/>
      <c r="F974" s="1941">
        <v>0</v>
      </c>
      <c r="G974" s="1941">
        <v>0</v>
      </c>
      <c r="I974" s="1938">
        <f t="shared" si="15"/>
        <v>0</v>
      </c>
    </row>
    <row r="975" spans="1:9" x14ac:dyDescent="0.25">
      <c r="A975" t="s">
        <v>1231</v>
      </c>
      <c r="B975" s="1936"/>
      <c r="C975" t="s">
        <v>1231</v>
      </c>
      <c r="D975" s="1936"/>
      <c r="E975" s="1936"/>
      <c r="F975" s="1941">
        <v>0</v>
      </c>
      <c r="G975" s="1941">
        <v>0</v>
      </c>
      <c r="I975" s="1938">
        <f t="shared" si="15"/>
        <v>0</v>
      </c>
    </row>
    <row r="976" spans="1:9" x14ac:dyDescent="0.25">
      <c r="A976" t="s">
        <v>3762</v>
      </c>
      <c r="B976" s="1936"/>
      <c r="C976" t="s">
        <v>2815</v>
      </c>
      <c r="D976" s="1936"/>
      <c r="E976" s="1936"/>
      <c r="F976" s="1941">
        <v>0</v>
      </c>
      <c r="G976" s="1941">
        <v>0</v>
      </c>
      <c r="I976" s="1938">
        <f t="shared" si="15"/>
        <v>0</v>
      </c>
    </row>
    <row r="977" spans="1:9" x14ac:dyDescent="0.25">
      <c r="A977" t="s">
        <v>596</v>
      </c>
      <c r="B977" s="1936"/>
      <c r="C977" t="s">
        <v>2176</v>
      </c>
      <c r="D977" s="1936"/>
      <c r="E977" s="1936"/>
      <c r="F977" s="1941">
        <v>0</v>
      </c>
      <c r="G977" s="1941">
        <v>0</v>
      </c>
      <c r="I977" s="1938">
        <f t="shared" si="15"/>
        <v>0</v>
      </c>
    </row>
    <row r="978" spans="1:9" x14ac:dyDescent="0.25">
      <c r="A978" t="s">
        <v>3763</v>
      </c>
      <c r="B978" s="1936"/>
      <c r="C978" t="s">
        <v>2201</v>
      </c>
      <c r="D978" s="1936"/>
      <c r="E978" s="1936"/>
      <c r="F978" s="1941">
        <v>-1000000</v>
      </c>
      <c r="G978" s="1941">
        <v>-1000000</v>
      </c>
      <c r="I978" s="1938">
        <f t="shared" si="15"/>
        <v>-1000000</v>
      </c>
    </row>
    <row r="979" spans="1:9" x14ac:dyDescent="0.25">
      <c r="A979" t="s">
        <v>1231</v>
      </c>
      <c r="B979" s="1936"/>
      <c r="C979" t="s">
        <v>1231</v>
      </c>
      <c r="D979" s="1936"/>
      <c r="E979" s="1936"/>
      <c r="F979" s="1941">
        <v>-1000000</v>
      </c>
      <c r="G979" s="1941">
        <v>-1000000</v>
      </c>
      <c r="I979" s="1938">
        <f t="shared" si="15"/>
        <v>-1000000</v>
      </c>
    </row>
    <row r="980" spans="1:9" x14ac:dyDescent="0.25">
      <c r="A980" t="s">
        <v>3706</v>
      </c>
      <c r="B980" s="1936"/>
      <c r="C980" t="s">
        <v>2202</v>
      </c>
      <c r="D980" s="1936"/>
      <c r="E980" s="1936"/>
      <c r="F980" s="1941">
        <v>-1000000</v>
      </c>
      <c r="G980" s="1941">
        <v>-1000000</v>
      </c>
      <c r="I980" s="1938">
        <f t="shared" si="15"/>
        <v>-1000000</v>
      </c>
    </row>
    <row r="981" spans="1:9" x14ac:dyDescent="0.25">
      <c r="A981" t="s">
        <v>3764</v>
      </c>
      <c r="B981" s="1936"/>
      <c r="C981" t="s">
        <v>2816</v>
      </c>
      <c r="D981" s="1936"/>
      <c r="E981" s="1936"/>
      <c r="F981" s="1941">
        <v>0</v>
      </c>
      <c r="G981" s="1941">
        <v>0</v>
      </c>
      <c r="I981" s="1938">
        <f t="shared" si="15"/>
        <v>0</v>
      </c>
    </row>
    <row r="982" spans="1:9" x14ac:dyDescent="0.25">
      <c r="A982" t="s">
        <v>1231</v>
      </c>
      <c r="B982" s="1936"/>
      <c r="C982" t="s">
        <v>1231</v>
      </c>
      <c r="D982" s="1936"/>
      <c r="E982" s="1936"/>
      <c r="F982" s="1941">
        <v>0</v>
      </c>
      <c r="G982" s="1941">
        <v>0</v>
      </c>
      <c r="I982" s="1938">
        <f t="shared" si="15"/>
        <v>0</v>
      </c>
    </row>
    <row r="983" spans="1:9" x14ac:dyDescent="0.25">
      <c r="A983" t="s">
        <v>3765</v>
      </c>
      <c r="B983" s="1936"/>
      <c r="C983" t="s">
        <v>2817</v>
      </c>
      <c r="D983" s="1936"/>
      <c r="E983" s="1936"/>
      <c r="F983" s="1941">
        <v>0</v>
      </c>
      <c r="G983" s="1941">
        <v>0</v>
      </c>
      <c r="I983" s="1938">
        <f t="shared" si="15"/>
        <v>0</v>
      </c>
    </row>
    <row r="984" spans="1:9" x14ac:dyDescent="0.25">
      <c r="A984" t="s">
        <v>3766</v>
      </c>
      <c r="B984" s="1936"/>
      <c r="C984" t="s">
        <v>2818</v>
      </c>
      <c r="D984" s="1936"/>
      <c r="E984" s="1936"/>
      <c r="F984" s="1941">
        <v>0</v>
      </c>
      <c r="G984" s="1941">
        <v>-500</v>
      </c>
      <c r="I984" s="1938">
        <f t="shared" si="15"/>
        <v>0</v>
      </c>
    </row>
    <row r="985" spans="1:9" x14ac:dyDescent="0.25">
      <c r="A985" t="s">
        <v>1231</v>
      </c>
      <c r="B985" s="1936"/>
      <c r="C985" t="s">
        <v>1231</v>
      </c>
      <c r="D985" s="1936"/>
      <c r="E985" s="1936"/>
      <c r="F985" s="1941">
        <v>0</v>
      </c>
      <c r="G985" s="1941">
        <v>-500</v>
      </c>
      <c r="I985" s="1938">
        <f t="shared" si="15"/>
        <v>0</v>
      </c>
    </row>
    <row r="986" spans="1:9" x14ac:dyDescent="0.25">
      <c r="A986" t="s">
        <v>3767</v>
      </c>
      <c r="B986" s="1936"/>
      <c r="C986" t="s">
        <v>2819</v>
      </c>
      <c r="D986" s="1936"/>
      <c r="E986" s="1936"/>
      <c r="F986" s="1941">
        <v>0</v>
      </c>
      <c r="G986" s="1941">
        <v>-500</v>
      </c>
      <c r="I986" s="1938">
        <f t="shared" si="15"/>
        <v>0</v>
      </c>
    </row>
    <row r="987" spans="1:9" x14ac:dyDescent="0.25">
      <c r="A987" t="s">
        <v>3707</v>
      </c>
      <c r="B987" s="1936"/>
      <c r="C987" t="s">
        <v>2203</v>
      </c>
      <c r="D987" s="1936"/>
      <c r="E987" s="1936"/>
      <c r="F987" s="1941">
        <v>-1000000</v>
      </c>
      <c r="G987" s="1941">
        <v>-1000500</v>
      </c>
      <c r="I987" s="1938">
        <f t="shared" si="15"/>
        <v>-1000000</v>
      </c>
    </row>
    <row r="988" spans="1:9" x14ac:dyDescent="0.25">
      <c r="A988" t="s">
        <v>2204</v>
      </c>
      <c r="B988" s="1936"/>
      <c r="C988" t="s">
        <v>82</v>
      </c>
      <c r="D988" s="1936"/>
      <c r="E988" s="1936"/>
      <c r="F988" s="1941">
        <v>-1964017.13</v>
      </c>
      <c r="G988" s="1941">
        <v>-1965566</v>
      </c>
      <c r="I988" s="1938">
        <f t="shared" si="15"/>
        <v>-1964017.13</v>
      </c>
    </row>
    <row r="989" spans="1:9" x14ac:dyDescent="0.25">
      <c r="A989" t="s">
        <v>3331</v>
      </c>
      <c r="B989" s="1936"/>
      <c r="C989" t="s">
        <v>2820</v>
      </c>
      <c r="D989" s="1936"/>
      <c r="E989" s="1936"/>
      <c r="F989" s="1941">
        <v>0</v>
      </c>
      <c r="G989" s="1941">
        <v>0</v>
      </c>
      <c r="I989" s="1938">
        <f t="shared" si="15"/>
        <v>0</v>
      </c>
    </row>
    <row r="990" spans="1:9" x14ac:dyDescent="0.25">
      <c r="A990" t="s">
        <v>3711</v>
      </c>
      <c r="B990" s="1936"/>
      <c r="C990" t="s">
        <v>1157</v>
      </c>
      <c r="D990" s="1936"/>
      <c r="E990" s="1936"/>
      <c r="F990" s="1941">
        <v>0</v>
      </c>
      <c r="G990" s="1941">
        <v>0</v>
      </c>
      <c r="I990" s="1938">
        <f t="shared" si="15"/>
        <v>0</v>
      </c>
    </row>
    <row r="991" spans="1:9" x14ac:dyDescent="0.25">
      <c r="A991" t="s">
        <v>3768</v>
      </c>
      <c r="B991" s="1936"/>
      <c r="C991" t="s">
        <v>2821</v>
      </c>
      <c r="D991" s="1936"/>
      <c r="E991" s="1936"/>
      <c r="F991" s="1941">
        <v>0</v>
      </c>
      <c r="G991" s="1941">
        <v>0</v>
      </c>
      <c r="I991" s="1938">
        <f t="shared" si="15"/>
        <v>0</v>
      </c>
    </row>
    <row r="992" spans="1:9" x14ac:dyDescent="0.25">
      <c r="A992" t="s">
        <v>3330</v>
      </c>
      <c r="B992" s="1936"/>
      <c r="C992" t="s">
        <v>2822</v>
      </c>
      <c r="D992" s="1936"/>
      <c r="E992" s="1936"/>
      <c r="F992" s="1941">
        <v>1934.75</v>
      </c>
      <c r="G992" s="1941">
        <v>2000</v>
      </c>
      <c r="I992" s="1938">
        <f t="shared" si="15"/>
        <v>0</v>
      </c>
    </row>
    <row r="993" spans="1:9" x14ac:dyDescent="0.25">
      <c r="A993" t="s">
        <v>3329</v>
      </c>
      <c r="B993" s="1936"/>
      <c r="C993" t="s">
        <v>2823</v>
      </c>
      <c r="D993" s="1936"/>
      <c r="E993" s="1936"/>
      <c r="F993" s="1941">
        <v>4932.42</v>
      </c>
      <c r="G993" s="1941">
        <v>3500</v>
      </c>
      <c r="I993" s="1938">
        <f t="shared" si="15"/>
        <v>0</v>
      </c>
    </row>
    <row r="994" spans="1:9" x14ac:dyDescent="0.25">
      <c r="A994" t="s">
        <v>3329</v>
      </c>
      <c r="B994" s="1936"/>
      <c r="C994" t="s">
        <v>2824</v>
      </c>
      <c r="D994" s="1936"/>
      <c r="E994" s="1936"/>
      <c r="F994" s="1941">
        <v>3350.42</v>
      </c>
      <c r="G994" s="1941">
        <v>3300</v>
      </c>
      <c r="I994" s="1938">
        <f t="shared" si="15"/>
        <v>0</v>
      </c>
    </row>
    <row r="995" spans="1:9" x14ac:dyDescent="0.25">
      <c r="A995" t="s">
        <v>3329</v>
      </c>
      <c r="B995" s="1936"/>
      <c r="C995" t="s">
        <v>2825</v>
      </c>
      <c r="D995" s="1936"/>
      <c r="E995" s="1936"/>
      <c r="F995" s="1941">
        <v>2003.18</v>
      </c>
      <c r="G995" s="1941">
        <v>2000</v>
      </c>
      <c r="I995" s="1938">
        <f t="shared" si="15"/>
        <v>0</v>
      </c>
    </row>
    <row r="996" spans="1:9" x14ac:dyDescent="0.25">
      <c r="A996" t="s">
        <v>3329</v>
      </c>
      <c r="B996" s="1936"/>
      <c r="C996" t="s">
        <v>2826</v>
      </c>
      <c r="D996" s="1936"/>
      <c r="E996" s="1936"/>
      <c r="F996" s="1941">
        <v>3173.24</v>
      </c>
      <c r="G996" s="1941">
        <v>3000</v>
      </c>
      <c r="I996" s="1938">
        <f t="shared" si="15"/>
        <v>0</v>
      </c>
    </row>
    <row r="997" spans="1:9" x14ac:dyDescent="0.25">
      <c r="A997" t="s">
        <v>3329</v>
      </c>
      <c r="B997" s="1936"/>
      <c r="C997" t="s">
        <v>2827</v>
      </c>
      <c r="D997" s="1936"/>
      <c r="E997" s="1936"/>
      <c r="F997" s="1941">
        <v>3308.12</v>
      </c>
      <c r="G997" s="1941">
        <v>3500</v>
      </c>
      <c r="I997" s="1938">
        <f t="shared" si="15"/>
        <v>0</v>
      </c>
    </row>
    <row r="998" spans="1:9" x14ac:dyDescent="0.25">
      <c r="A998" t="s">
        <v>3329</v>
      </c>
      <c r="B998" s="1936"/>
      <c r="C998" t="s">
        <v>2828</v>
      </c>
      <c r="D998" s="1936"/>
      <c r="E998" s="1936"/>
      <c r="F998" s="1941">
        <v>244.29</v>
      </c>
      <c r="G998" s="1941">
        <v>500</v>
      </c>
      <c r="I998" s="1938">
        <f t="shared" si="15"/>
        <v>0</v>
      </c>
    </row>
    <row r="999" spans="1:9" x14ac:dyDescent="0.25">
      <c r="A999" t="s">
        <v>3709</v>
      </c>
      <c r="B999" s="1936"/>
      <c r="C999" t="s">
        <v>1162</v>
      </c>
      <c r="D999" s="1936"/>
      <c r="E999" s="1936"/>
      <c r="F999" s="1941">
        <v>18946.34</v>
      </c>
      <c r="G999" s="1941">
        <v>17800</v>
      </c>
      <c r="I999" s="1938">
        <f t="shared" si="15"/>
        <v>0</v>
      </c>
    </row>
    <row r="1000" spans="1:9" x14ac:dyDescent="0.25">
      <c r="A1000" t="s">
        <v>3328</v>
      </c>
      <c r="B1000" s="1936"/>
      <c r="C1000" t="s">
        <v>2829</v>
      </c>
      <c r="D1000" s="1936"/>
      <c r="E1000" s="1936"/>
      <c r="F1000" s="1941">
        <v>1484.58</v>
      </c>
      <c r="G1000" s="1941">
        <v>1500</v>
      </c>
      <c r="I1000" s="1938">
        <f t="shared" si="15"/>
        <v>0</v>
      </c>
    </row>
    <row r="1001" spans="1:9" x14ac:dyDescent="0.25">
      <c r="A1001" t="s">
        <v>3327</v>
      </c>
      <c r="B1001" s="1936"/>
      <c r="C1001" t="s">
        <v>2830</v>
      </c>
      <c r="D1001" s="1936"/>
      <c r="E1001" s="1936"/>
      <c r="F1001" s="1941">
        <v>3793.83</v>
      </c>
      <c r="G1001" s="1941">
        <v>4500</v>
      </c>
      <c r="I1001" s="1938">
        <f t="shared" si="15"/>
        <v>0</v>
      </c>
    </row>
    <row r="1002" spans="1:9" x14ac:dyDescent="0.25">
      <c r="A1002" t="s">
        <v>3710</v>
      </c>
      <c r="B1002" s="1936"/>
      <c r="C1002" t="s">
        <v>2300</v>
      </c>
      <c r="D1002" s="1936"/>
      <c r="E1002" s="1936"/>
      <c r="F1002" s="1941">
        <v>5278.41</v>
      </c>
      <c r="G1002" s="1941">
        <v>6000</v>
      </c>
      <c r="I1002" s="1938">
        <f t="shared" si="15"/>
        <v>0</v>
      </c>
    </row>
    <row r="1003" spans="1:9" x14ac:dyDescent="0.25">
      <c r="A1003" t="s">
        <v>3745</v>
      </c>
      <c r="B1003" s="1936"/>
      <c r="C1003" t="s">
        <v>2747</v>
      </c>
      <c r="D1003" s="1936"/>
      <c r="E1003" s="1936"/>
      <c r="F1003" s="1941">
        <v>24224.75</v>
      </c>
      <c r="G1003" s="1941">
        <v>23800</v>
      </c>
      <c r="I1003" s="1938">
        <f t="shared" si="15"/>
        <v>0</v>
      </c>
    </row>
    <row r="1004" spans="1:9" x14ac:dyDescent="0.25">
      <c r="A1004" t="s">
        <v>3326</v>
      </c>
      <c r="B1004" s="1936"/>
      <c r="C1004" t="s">
        <v>2831</v>
      </c>
      <c r="D1004" s="1936"/>
      <c r="E1004" s="1936"/>
      <c r="F1004" s="1941">
        <v>140014.21</v>
      </c>
      <c r="G1004" s="1941">
        <v>129690</v>
      </c>
      <c r="I1004" s="1938">
        <f t="shared" si="15"/>
        <v>0</v>
      </c>
    </row>
    <row r="1005" spans="1:9" x14ac:dyDescent="0.25">
      <c r="A1005" t="s">
        <v>3326</v>
      </c>
      <c r="B1005" s="1936"/>
      <c r="C1005" t="s">
        <v>2832</v>
      </c>
      <c r="D1005" s="1936"/>
      <c r="E1005" s="1936"/>
      <c r="F1005" s="1941">
        <v>90213.88</v>
      </c>
      <c r="G1005" s="1941">
        <v>91268</v>
      </c>
      <c r="I1005" s="1938">
        <f t="shared" si="15"/>
        <v>0</v>
      </c>
    </row>
    <row r="1006" spans="1:9" x14ac:dyDescent="0.25">
      <c r="A1006" t="s">
        <v>3326</v>
      </c>
      <c r="B1006" s="1936"/>
      <c r="C1006" t="s">
        <v>2833</v>
      </c>
      <c r="D1006" s="1936"/>
      <c r="E1006" s="1936"/>
      <c r="F1006" s="1941">
        <v>99640.5</v>
      </c>
      <c r="G1006" s="1941">
        <v>125437</v>
      </c>
      <c r="I1006" s="1938">
        <f t="shared" si="15"/>
        <v>0</v>
      </c>
    </row>
    <row r="1007" spans="1:9" x14ac:dyDescent="0.25">
      <c r="A1007" t="s">
        <v>3326</v>
      </c>
      <c r="B1007" s="1936"/>
      <c r="C1007" t="s">
        <v>2834</v>
      </c>
      <c r="D1007" s="1936"/>
      <c r="E1007" s="1936"/>
      <c r="F1007" s="1941">
        <v>87623.59</v>
      </c>
      <c r="G1007" s="1941">
        <v>86653</v>
      </c>
      <c r="I1007" s="1938">
        <f t="shared" si="15"/>
        <v>0</v>
      </c>
    </row>
    <row r="1008" spans="1:9" x14ac:dyDescent="0.25">
      <c r="A1008" t="s">
        <v>3326</v>
      </c>
      <c r="B1008" s="1936"/>
      <c r="C1008" t="s">
        <v>2835</v>
      </c>
      <c r="D1008" s="1936"/>
      <c r="E1008" s="1936"/>
      <c r="F1008" s="1941">
        <v>125235.21</v>
      </c>
      <c r="G1008" s="1941">
        <v>125437</v>
      </c>
      <c r="I1008" s="1938">
        <f t="shared" si="15"/>
        <v>0</v>
      </c>
    </row>
    <row r="1009" spans="1:9" x14ac:dyDescent="0.25">
      <c r="A1009" t="s">
        <v>3326</v>
      </c>
      <c r="B1009" s="1936"/>
      <c r="C1009" t="s">
        <v>2836</v>
      </c>
      <c r="D1009" s="1936"/>
      <c r="E1009" s="1936"/>
      <c r="F1009" s="1941">
        <v>207875.96</v>
      </c>
      <c r="G1009" s="1941">
        <v>207248</v>
      </c>
      <c r="I1009" s="1938">
        <f t="shared" si="15"/>
        <v>0</v>
      </c>
    </row>
    <row r="1010" spans="1:9" x14ac:dyDescent="0.25">
      <c r="A1010" t="s">
        <v>3325</v>
      </c>
      <c r="B1010" s="1936"/>
      <c r="C1010" t="s">
        <v>2837</v>
      </c>
      <c r="D1010" s="1936"/>
      <c r="E1010" s="1936"/>
      <c r="F1010" s="1941">
        <v>5547.03</v>
      </c>
      <c r="G1010" s="1941">
        <v>5000</v>
      </c>
      <c r="I1010" s="1938">
        <f t="shared" si="15"/>
        <v>0</v>
      </c>
    </row>
    <row r="1011" spans="1:9" x14ac:dyDescent="0.25">
      <c r="A1011" t="s">
        <v>3324</v>
      </c>
      <c r="B1011" s="1936"/>
      <c r="C1011" t="s">
        <v>2838</v>
      </c>
      <c r="D1011" s="1936"/>
      <c r="E1011" s="1936"/>
      <c r="F1011" s="1941">
        <v>42070.81</v>
      </c>
      <c r="G1011" s="1941">
        <v>20000</v>
      </c>
      <c r="I1011" s="1938">
        <f t="shared" si="15"/>
        <v>0</v>
      </c>
    </row>
    <row r="1012" spans="1:9" x14ac:dyDescent="0.25">
      <c r="A1012" t="s">
        <v>3323</v>
      </c>
      <c r="B1012" s="1936"/>
      <c r="C1012" t="s">
        <v>2839</v>
      </c>
      <c r="D1012" s="1936"/>
      <c r="E1012" s="1936"/>
      <c r="F1012" s="1941">
        <v>42464.85</v>
      </c>
      <c r="G1012" s="1941">
        <v>50000</v>
      </c>
      <c r="I1012" s="1938">
        <f t="shared" si="15"/>
        <v>0</v>
      </c>
    </row>
    <row r="1013" spans="1:9" x14ac:dyDescent="0.25">
      <c r="A1013" t="s">
        <v>3322</v>
      </c>
      <c r="B1013" s="1936"/>
      <c r="C1013" t="s">
        <v>2840</v>
      </c>
      <c r="D1013" s="1936"/>
      <c r="E1013" s="1936"/>
      <c r="F1013" s="1941">
        <v>2246.14</v>
      </c>
      <c r="G1013" s="1941">
        <v>2500</v>
      </c>
      <c r="I1013" s="1938">
        <f t="shared" si="15"/>
        <v>0</v>
      </c>
    </row>
    <row r="1014" spans="1:9" x14ac:dyDescent="0.25">
      <c r="A1014" t="s">
        <v>3322</v>
      </c>
      <c r="B1014" s="1936"/>
      <c r="C1014" t="s">
        <v>2841</v>
      </c>
      <c r="D1014" s="1936"/>
      <c r="E1014" s="1936"/>
      <c r="F1014" s="1941">
        <v>0</v>
      </c>
      <c r="G1014" s="1941">
        <v>100</v>
      </c>
      <c r="I1014" s="1938">
        <f t="shared" si="15"/>
        <v>0</v>
      </c>
    </row>
    <row r="1015" spans="1:9" x14ac:dyDescent="0.25">
      <c r="A1015" t="s">
        <v>3322</v>
      </c>
      <c r="B1015" s="1936"/>
      <c r="C1015" t="s">
        <v>2842</v>
      </c>
      <c r="D1015" s="1936"/>
      <c r="E1015" s="1936"/>
      <c r="F1015" s="1941">
        <v>0</v>
      </c>
      <c r="G1015" s="1941">
        <v>100</v>
      </c>
      <c r="I1015" s="1938">
        <f t="shared" si="15"/>
        <v>0</v>
      </c>
    </row>
    <row r="1016" spans="1:9" x14ac:dyDescent="0.25">
      <c r="A1016" t="s">
        <v>3322</v>
      </c>
      <c r="B1016" s="1936"/>
      <c r="C1016" t="s">
        <v>2843</v>
      </c>
      <c r="D1016" s="1936"/>
      <c r="E1016" s="1936"/>
      <c r="F1016" s="1941">
        <v>0</v>
      </c>
      <c r="G1016" s="1941">
        <v>100</v>
      </c>
      <c r="I1016" s="1938">
        <f t="shared" si="15"/>
        <v>0</v>
      </c>
    </row>
    <row r="1017" spans="1:9" x14ac:dyDescent="0.25">
      <c r="A1017" t="s">
        <v>3322</v>
      </c>
      <c r="B1017" s="1936"/>
      <c r="C1017" t="s">
        <v>2844</v>
      </c>
      <c r="D1017" s="1936"/>
      <c r="E1017" s="1936"/>
      <c r="F1017" s="1941">
        <v>988.15</v>
      </c>
      <c r="G1017" s="1941">
        <v>1000</v>
      </c>
      <c r="I1017" s="1938">
        <f t="shared" si="15"/>
        <v>0</v>
      </c>
    </row>
    <row r="1018" spans="1:9" x14ac:dyDescent="0.25">
      <c r="A1018" t="s">
        <v>3321</v>
      </c>
      <c r="B1018" s="1936"/>
      <c r="C1018" t="s">
        <v>2845</v>
      </c>
      <c r="D1018" s="1936"/>
      <c r="E1018" s="1936"/>
      <c r="F1018" s="1941">
        <v>225.98</v>
      </c>
      <c r="G1018" s="1941">
        <v>1000</v>
      </c>
      <c r="I1018" s="1938">
        <f t="shared" si="15"/>
        <v>0</v>
      </c>
    </row>
    <row r="1019" spans="1:9" x14ac:dyDescent="0.25">
      <c r="A1019" t="s">
        <v>3321</v>
      </c>
      <c r="B1019" s="1936"/>
      <c r="C1019" t="s">
        <v>2846</v>
      </c>
      <c r="D1019" s="1936"/>
      <c r="E1019" s="1936"/>
      <c r="F1019" s="1941">
        <v>705.63</v>
      </c>
      <c r="G1019" s="1941">
        <v>1000</v>
      </c>
      <c r="I1019" s="1938">
        <f t="shared" si="15"/>
        <v>0</v>
      </c>
    </row>
    <row r="1020" spans="1:9" x14ac:dyDescent="0.25">
      <c r="A1020" t="s">
        <v>3321</v>
      </c>
      <c r="B1020" s="1936"/>
      <c r="C1020" t="s">
        <v>2847</v>
      </c>
      <c r="D1020" s="1936"/>
      <c r="E1020" s="1936"/>
      <c r="F1020" s="1941">
        <v>379.91</v>
      </c>
      <c r="G1020" s="1941">
        <v>1000</v>
      </c>
      <c r="I1020" s="1938">
        <f t="shared" si="15"/>
        <v>0</v>
      </c>
    </row>
    <row r="1021" spans="1:9" x14ac:dyDescent="0.25">
      <c r="A1021" t="s">
        <v>3321</v>
      </c>
      <c r="B1021" s="1936"/>
      <c r="C1021" t="s">
        <v>2848</v>
      </c>
      <c r="D1021" s="1936"/>
      <c r="E1021" s="1936"/>
      <c r="F1021" s="1941">
        <v>505.4</v>
      </c>
      <c r="G1021" s="1941">
        <v>1000</v>
      </c>
      <c r="I1021" s="1938">
        <f t="shared" si="15"/>
        <v>0</v>
      </c>
    </row>
    <row r="1022" spans="1:9" x14ac:dyDescent="0.25">
      <c r="A1022" t="s">
        <v>3321</v>
      </c>
      <c r="B1022" s="1936"/>
      <c r="C1022" t="s">
        <v>2849</v>
      </c>
      <c r="D1022" s="1936"/>
      <c r="E1022" s="1936"/>
      <c r="F1022" s="1941">
        <v>644.20000000000005</v>
      </c>
      <c r="G1022" s="1941">
        <v>1000</v>
      </c>
      <c r="I1022" s="1938">
        <f t="shared" si="15"/>
        <v>0</v>
      </c>
    </row>
    <row r="1023" spans="1:9" x14ac:dyDescent="0.25">
      <c r="A1023" t="s">
        <v>3320</v>
      </c>
      <c r="B1023" s="1936"/>
      <c r="C1023" t="s">
        <v>2850</v>
      </c>
      <c r="D1023" s="1936"/>
      <c r="E1023" s="1936"/>
      <c r="F1023" s="1941">
        <v>3735.72</v>
      </c>
      <c r="G1023" s="1941">
        <v>4500</v>
      </c>
      <c r="I1023" s="1938">
        <f t="shared" si="15"/>
        <v>0</v>
      </c>
    </row>
    <row r="1024" spans="1:9" x14ac:dyDescent="0.25">
      <c r="A1024" t="s">
        <v>3320</v>
      </c>
      <c r="B1024" s="1936"/>
      <c r="C1024" t="s">
        <v>2851</v>
      </c>
      <c r="D1024" s="1936"/>
      <c r="E1024" s="1936"/>
      <c r="F1024" s="1941">
        <v>3736.79</v>
      </c>
      <c r="G1024" s="1941">
        <v>4500</v>
      </c>
      <c r="I1024" s="1938">
        <f t="shared" si="15"/>
        <v>0</v>
      </c>
    </row>
    <row r="1025" spans="1:9" x14ac:dyDescent="0.25">
      <c r="A1025" t="s">
        <v>3320</v>
      </c>
      <c r="B1025" s="1936"/>
      <c r="C1025" t="s">
        <v>2852</v>
      </c>
      <c r="D1025" s="1936"/>
      <c r="E1025" s="1936"/>
      <c r="F1025" s="1941">
        <v>3498.71</v>
      </c>
      <c r="G1025" s="1941">
        <v>4500</v>
      </c>
      <c r="I1025" s="1938">
        <f t="shared" si="15"/>
        <v>0</v>
      </c>
    </row>
    <row r="1026" spans="1:9" x14ac:dyDescent="0.25">
      <c r="A1026" t="s">
        <v>3320</v>
      </c>
      <c r="B1026" s="1936"/>
      <c r="C1026" t="s">
        <v>2853</v>
      </c>
      <c r="D1026" s="1936"/>
      <c r="E1026" s="1936"/>
      <c r="F1026" s="1941">
        <v>3864.68</v>
      </c>
      <c r="G1026" s="1941">
        <v>4500</v>
      </c>
      <c r="I1026" s="1938">
        <f t="shared" si="15"/>
        <v>0</v>
      </c>
    </row>
    <row r="1027" spans="1:9" x14ac:dyDescent="0.25">
      <c r="A1027" t="s">
        <v>3320</v>
      </c>
      <c r="B1027" s="1936"/>
      <c r="C1027" t="s">
        <v>2854</v>
      </c>
      <c r="D1027" s="1936"/>
      <c r="E1027" s="1936"/>
      <c r="F1027" s="1941">
        <v>3695.93</v>
      </c>
      <c r="G1027" s="1941">
        <v>4500</v>
      </c>
      <c r="I1027" s="1938">
        <f t="shared" si="15"/>
        <v>0</v>
      </c>
    </row>
    <row r="1028" spans="1:9" x14ac:dyDescent="0.25">
      <c r="A1028" t="s">
        <v>3638</v>
      </c>
      <c r="B1028" s="1936"/>
      <c r="C1028" t="s">
        <v>203</v>
      </c>
      <c r="D1028" s="1936"/>
      <c r="E1028" s="1936"/>
      <c r="F1028" s="1941">
        <v>864913.28</v>
      </c>
      <c r="G1028" s="1941">
        <v>872033</v>
      </c>
      <c r="I1028" s="1938">
        <f t="shared" ref="I1028:I1091" si="16">IF(F1028&lt;0,F1028,0)</f>
        <v>0</v>
      </c>
    </row>
    <row r="1029" spans="1:9" x14ac:dyDescent="0.25">
      <c r="A1029" t="s">
        <v>3319</v>
      </c>
      <c r="B1029" s="1936"/>
      <c r="C1029" t="s">
        <v>2855</v>
      </c>
      <c r="D1029" s="1936"/>
      <c r="E1029" s="1936"/>
      <c r="F1029" s="1941">
        <v>24644.880000000001</v>
      </c>
      <c r="G1029" s="1941">
        <v>24645</v>
      </c>
      <c r="I1029" s="1938">
        <f t="shared" si="16"/>
        <v>0</v>
      </c>
    </row>
    <row r="1030" spans="1:9" x14ac:dyDescent="0.25">
      <c r="A1030" t="s">
        <v>3319</v>
      </c>
      <c r="B1030" s="1936"/>
      <c r="C1030" t="s">
        <v>2856</v>
      </c>
      <c r="D1030" s="1936"/>
      <c r="E1030" s="1936"/>
      <c r="F1030" s="1941">
        <v>16650.2</v>
      </c>
      <c r="G1030" s="1941">
        <v>16430</v>
      </c>
      <c r="I1030" s="1938">
        <f t="shared" si="16"/>
        <v>0</v>
      </c>
    </row>
    <row r="1031" spans="1:9" x14ac:dyDescent="0.25">
      <c r="A1031" t="s">
        <v>3319</v>
      </c>
      <c r="B1031" s="1936"/>
      <c r="C1031" t="s">
        <v>2857</v>
      </c>
      <c r="D1031" s="1936"/>
      <c r="E1031" s="1936"/>
      <c r="F1031" s="1941">
        <v>22898.87</v>
      </c>
      <c r="G1031" s="1941">
        <v>28938</v>
      </c>
      <c r="I1031" s="1938">
        <f t="shared" si="16"/>
        <v>0</v>
      </c>
    </row>
    <row r="1032" spans="1:9" x14ac:dyDescent="0.25">
      <c r="A1032" t="s">
        <v>3319</v>
      </c>
      <c r="B1032" s="1936"/>
      <c r="C1032" t="s">
        <v>2858</v>
      </c>
      <c r="D1032" s="1936"/>
      <c r="E1032" s="1936"/>
      <c r="F1032" s="1941">
        <v>16314.5</v>
      </c>
      <c r="G1032" s="1941">
        <v>16430</v>
      </c>
      <c r="I1032" s="1938">
        <f t="shared" si="16"/>
        <v>0</v>
      </c>
    </row>
    <row r="1033" spans="1:9" x14ac:dyDescent="0.25">
      <c r="A1033" t="s">
        <v>3319</v>
      </c>
      <c r="B1033" s="1936"/>
      <c r="C1033" t="s">
        <v>2859</v>
      </c>
      <c r="D1033" s="1936"/>
      <c r="E1033" s="1936"/>
      <c r="F1033" s="1941">
        <v>31144.58</v>
      </c>
      <c r="G1033" s="1941">
        <v>28938</v>
      </c>
      <c r="I1033" s="1938">
        <f t="shared" si="16"/>
        <v>0</v>
      </c>
    </row>
    <row r="1034" spans="1:9" x14ac:dyDescent="0.25">
      <c r="A1034" t="s">
        <v>3319</v>
      </c>
      <c r="B1034" s="1936"/>
      <c r="C1034" t="s">
        <v>2860</v>
      </c>
      <c r="D1034" s="1936"/>
      <c r="E1034" s="1936"/>
      <c r="F1034" s="1941">
        <v>52180.54</v>
      </c>
      <c r="G1034" s="1941">
        <v>52203</v>
      </c>
      <c r="I1034" s="1938">
        <f t="shared" si="16"/>
        <v>0</v>
      </c>
    </row>
    <row r="1035" spans="1:9" x14ac:dyDescent="0.25">
      <c r="A1035" t="s">
        <v>3318</v>
      </c>
      <c r="B1035" s="1936"/>
      <c r="C1035" t="s">
        <v>2861</v>
      </c>
      <c r="D1035" s="1936"/>
      <c r="E1035" s="1936"/>
      <c r="F1035" s="1941">
        <v>9600</v>
      </c>
      <c r="G1035" s="1941">
        <v>9600</v>
      </c>
      <c r="I1035" s="1938">
        <f t="shared" si="16"/>
        <v>0</v>
      </c>
    </row>
    <row r="1036" spans="1:9" x14ac:dyDescent="0.25">
      <c r="A1036" t="s">
        <v>3317</v>
      </c>
      <c r="B1036" s="1936"/>
      <c r="C1036" t="s">
        <v>2862</v>
      </c>
      <c r="D1036" s="1936"/>
      <c r="E1036" s="1936"/>
      <c r="F1036" s="1941">
        <v>169.2</v>
      </c>
      <c r="G1036" s="1941">
        <v>169</v>
      </c>
      <c r="I1036" s="1938">
        <f t="shared" si="16"/>
        <v>0</v>
      </c>
    </row>
    <row r="1037" spans="1:9" x14ac:dyDescent="0.25">
      <c r="A1037" t="s">
        <v>3317</v>
      </c>
      <c r="B1037" s="1936"/>
      <c r="C1037" t="s">
        <v>2863</v>
      </c>
      <c r="D1037" s="1936"/>
      <c r="E1037" s="1936"/>
      <c r="F1037" s="1941">
        <v>115.72</v>
      </c>
      <c r="G1037" s="1941">
        <v>116</v>
      </c>
      <c r="I1037" s="1938">
        <f t="shared" si="16"/>
        <v>0</v>
      </c>
    </row>
    <row r="1038" spans="1:9" x14ac:dyDescent="0.25">
      <c r="A1038" t="s">
        <v>3317</v>
      </c>
      <c r="B1038" s="1936"/>
      <c r="C1038" t="s">
        <v>2864</v>
      </c>
      <c r="D1038" s="1936"/>
      <c r="E1038" s="1936"/>
      <c r="F1038" s="1941">
        <v>197.02</v>
      </c>
      <c r="G1038" s="1941">
        <v>197</v>
      </c>
      <c r="I1038" s="1938">
        <f t="shared" si="16"/>
        <v>0</v>
      </c>
    </row>
    <row r="1039" spans="1:9" x14ac:dyDescent="0.25">
      <c r="A1039" t="s">
        <v>3317</v>
      </c>
      <c r="B1039" s="1936"/>
      <c r="C1039" t="s">
        <v>2865</v>
      </c>
      <c r="D1039" s="1936"/>
      <c r="E1039" s="1936"/>
      <c r="F1039" s="1941">
        <v>111.97</v>
      </c>
      <c r="G1039" s="1941">
        <v>112</v>
      </c>
      <c r="I1039" s="1938">
        <f t="shared" si="16"/>
        <v>0</v>
      </c>
    </row>
    <row r="1040" spans="1:9" x14ac:dyDescent="0.25">
      <c r="A1040" t="s">
        <v>3317</v>
      </c>
      <c r="B1040" s="1936"/>
      <c r="C1040" t="s">
        <v>2866</v>
      </c>
      <c r="D1040" s="1936"/>
      <c r="E1040" s="1936"/>
      <c r="F1040" s="1941">
        <v>418.06</v>
      </c>
      <c r="G1040" s="1941">
        <v>418</v>
      </c>
      <c r="I1040" s="1938">
        <f t="shared" si="16"/>
        <v>0</v>
      </c>
    </row>
    <row r="1041" spans="1:9" x14ac:dyDescent="0.25">
      <c r="A1041" t="s">
        <v>3317</v>
      </c>
      <c r="B1041" s="1936"/>
      <c r="C1041" t="s">
        <v>2867</v>
      </c>
      <c r="D1041" s="1936"/>
      <c r="E1041" s="1936"/>
      <c r="F1041" s="1941">
        <v>862.49</v>
      </c>
      <c r="G1041" s="1941">
        <v>909</v>
      </c>
      <c r="I1041" s="1938">
        <f t="shared" si="16"/>
        <v>0</v>
      </c>
    </row>
    <row r="1042" spans="1:9" x14ac:dyDescent="0.25">
      <c r="A1042" t="s">
        <v>3708</v>
      </c>
      <c r="B1042" s="1936"/>
      <c r="C1042" t="s">
        <v>51</v>
      </c>
      <c r="D1042" s="1936"/>
      <c r="E1042" s="1936"/>
      <c r="F1042" s="1941">
        <v>175308.03</v>
      </c>
      <c r="G1042" s="1941">
        <v>179105</v>
      </c>
      <c r="I1042" s="1938">
        <f t="shared" si="16"/>
        <v>0</v>
      </c>
    </row>
    <row r="1043" spans="1:9" x14ac:dyDescent="0.25">
      <c r="A1043" t="s">
        <v>3316</v>
      </c>
      <c r="B1043" s="1936"/>
      <c r="C1043" t="s">
        <v>2868</v>
      </c>
      <c r="D1043" s="1936"/>
      <c r="E1043" s="1936"/>
      <c r="F1043" s="1941">
        <v>29328.19</v>
      </c>
      <c r="G1043" s="1941">
        <v>20000</v>
      </c>
      <c r="I1043" s="1938">
        <f t="shared" si="16"/>
        <v>0</v>
      </c>
    </row>
    <row r="1044" spans="1:9" x14ac:dyDescent="0.25">
      <c r="A1044" t="s">
        <v>3315</v>
      </c>
      <c r="B1044" s="1936"/>
      <c r="C1044" t="s">
        <v>2869</v>
      </c>
      <c r="D1044" s="1936"/>
      <c r="E1044" s="1936"/>
      <c r="F1044" s="1941">
        <v>24528.57</v>
      </c>
      <c r="G1044" s="1941">
        <v>24000</v>
      </c>
      <c r="I1044" s="1938">
        <f t="shared" si="16"/>
        <v>0</v>
      </c>
    </row>
    <row r="1045" spans="1:9" x14ac:dyDescent="0.25">
      <c r="A1045" t="s">
        <v>3314</v>
      </c>
      <c r="B1045" s="1936"/>
      <c r="C1045" t="s">
        <v>2870</v>
      </c>
      <c r="D1045" s="1936"/>
      <c r="E1045" s="1936"/>
      <c r="F1045" s="1941">
        <v>1067.96</v>
      </c>
      <c r="G1045" s="1941">
        <v>5000</v>
      </c>
      <c r="I1045" s="1938">
        <f t="shared" si="16"/>
        <v>0</v>
      </c>
    </row>
    <row r="1046" spans="1:9" x14ac:dyDescent="0.25">
      <c r="A1046" t="s">
        <v>3314</v>
      </c>
      <c r="B1046" s="1936"/>
      <c r="C1046" t="s">
        <v>2871</v>
      </c>
      <c r="D1046" s="1936"/>
      <c r="E1046" s="1936"/>
      <c r="F1046" s="1941">
        <v>1393.2</v>
      </c>
      <c r="G1046" s="1941">
        <v>2000</v>
      </c>
      <c r="I1046" s="1938">
        <f t="shared" si="16"/>
        <v>0</v>
      </c>
    </row>
    <row r="1047" spans="1:9" x14ac:dyDescent="0.25">
      <c r="A1047" t="s">
        <v>3314</v>
      </c>
      <c r="B1047" s="1936"/>
      <c r="C1047" t="s">
        <v>2872</v>
      </c>
      <c r="D1047" s="1936"/>
      <c r="E1047" s="1936"/>
      <c r="F1047" s="1941">
        <v>2505.2199999999998</v>
      </c>
      <c r="G1047" s="1941">
        <v>2000</v>
      </c>
      <c r="I1047" s="1938">
        <f t="shared" si="16"/>
        <v>0</v>
      </c>
    </row>
    <row r="1048" spans="1:9" x14ac:dyDescent="0.25">
      <c r="A1048" t="s">
        <v>3314</v>
      </c>
      <c r="B1048" s="1936"/>
      <c r="C1048" t="s">
        <v>2873</v>
      </c>
      <c r="D1048" s="1936"/>
      <c r="E1048" s="1936"/>
      <c r="F1048" s="1941">
        <v>394</v>
      </c>
      <c r="G1048" s="1941">
        <v>2000</v>
      </c>
      <c r="I1048" s="1938">
        <f t="shared" si="16"/>
        <v>0</v>
      </c>
    </row>
    <row r="1049" spans="1:9" x14ac:dyDescent="0.25">
      <c r="A1049" t="s">
        <v>3314</v>
      </c>
      <c r="B1049" s="1936"/>
      <c r="C1049" t="s">
        <v>2874</v>
      </c>
      <c r="D1049" s="1936"/>
      <c r="E1049" s="1936"/>
      <c r="F1049" s="1941">
        <v>2611</v>
      </c>
      <c r="G1049" s="1941">
        <v>2000</v>
      </c>
      <c r="I1049" s="1938">
        <f t="shared" si="16"/>
        <v>0</v>
      </c>
    </row>
    <row r="1050" spans="1:9" x14ac:dyDescent="0.25">
      <c r="A1050" t="s">
        <v>3314</v>
      </c>
      <c r="B1050" s="1936"/>
      <c r="C1050" t="s">
        <v>2875</v>
      </c>
      <c r="D1050" s="1936"/>
      <c r="E1050" s="1936"/>
      <c r="F1050" s="1941">
        <v>716.49</v>
      </c>
      <c r="G1050" s="1941">
        <v>3000</v>
      </c>
      <c r="I1050" s="1938">
        <f t="shared" si="16"/>
        <v>0</v>
      </c>
    </row>
    <row r="1051" spans="1:9" x14ac:dyDescent="0.25">
      <c r="A1051" t="s">
        <v>3314</v>
      </c>
      <c r="B1051" s="1936"/>
      <c r="C1051" t="s">
        <v>2876</v>
      </c>
      <c r="D1051" s="1936"/>
      <c r="E1051" s="1936"/>
      <c r="F1051" s="1941">
        <v>16248.44</v>
      </c>
      <c r="G1051" s="1941">
        <v>15800</v>
      </c>
      <c r="I1051" s="1938">
        <f t="shared" si="16"/>
        <v>0</v>
      </c>
    </row>
    <row r="1052" spans="1:9" x14ac:dyDescent="0.25">
      <c r="A1052" t="s">
        <v>3313</v>
      </c>
      <c r="B1052" s="1936"/>
      <c r="C1052" t="s">
        <v>2877</v>
      </c>
      <c r="D1052" s="1936"/>
      <c r="E1052" s="1936"/>
      <c r="F1052" s="1941">
        <v>0</v>
      </c>
      <c r="G1052" s="1941">
        <v>0</v>
      </c>
      <c r="I1052" s="1938">
        <f t="shared" si="16"/>
        <v>0</v>
      </c>
    </row>
    <row r="1053" spans="1:9" x14ac:dyDescent="0.25">
      <c r="A1053" t="s">
        <v>3312</v>
      </c>
      <c r="B1053" s="1936"/>
      <c r="C1053" t="s">
        <v>2878</v>
      </c>
      <c r="D1053" s="1936"/>
      <c r="E1053" s="1936"/>
      <c r="F1053" s="1941">
        <v>0</v>
      </c>
      <c r="G1053" s="1941">
        <v>1500</v>
      </c>
      <c r="I1053" s="1938">
        <f t="shared" si="16"/>
        <v>0</v>
      </c>
    </row>
    <row r="1054" spans="1:9" x14ac:dyDescent="0.25">
      <c r="A1054" t="s">
        <v>3311</v>
      </c>
      <c r="B1054" s="1936"/>
      <c r="C1054" t="s">
        <v>2879</v>
      </c>
      <c r="D1054" s="1936"/>
      <c r="E1054" s="1936"/>
      <c r="F1054" s="1941">
        <v>14587.74</v>
      </c>
      <c r="G1054" s="1941">
        <v>18000</v>
      </c>
      <c r="I1054" s="1938">
        <f t="shared" si="16"/>
        <v>0</v>
      </c>
    </row>
    <row r="1055" spans="1:9" x14ac:dyDescent="0.25">
      <c r="A1055" t="s">
        <v>3310</v>
      </c>
      <c r="B1055" s="1936"/>
      <c r="C1055" t="s">
        <v>2880</v>
      </c>
      <c r="D1055" s="1936"/>
      <c r="E1055" s="1936"/>
      <c r="F1055" s="1941">
        <v>1310</v>
      </c>
      <c r="G1055" s="1941">
        <v>2000</v>
      </c>
      <c r="I1055" s="1938">
        <f t="shared" si="16"/>
        <v>0</v>
      </c>
    </row>
    <row r="1056" spans="1:9" x14ac:dyDescent="0.25">
      <c r="A1056" t="s">
        <v>3309</v>
      </c>
      <c r="B1056" s="1936"/>
      <c r="C1056" t="s">
        <v>2881</v>
      </c>
      <c r="D1056" s="1936"/>
      <c r="E1056" s="1936"/>
      <c r="F1056" s="1941">
        <v>4608</v>
      </c>
      <c r="G1056" s="1941">
        <v>5000</v>
      </c>
      <c r="I1056" s="1938">
        <f t="shared" si="16"/>
        <v>0</v>
      </c>
    </row>
    <row r="1057" spans="1:9" x14ac:dyDescent="0.25">
      <c r="A1057" t="s">
        <v>3308</v>
      </c>
      <c r="B1057" s="1936"/>
      <c r="C1057" t="s">
        <v>2882</v>
      </c>
      <c r="D1057" s="1936"/>
      <c r="E1057" s="1936"/>
      <c r="F1057" s="1941">
        <v>2752.97</v>
      </c>
      <c r="G1057" s="1941">
        <v>3000</v>
      </c>
      <c r="I1057" s="1938">
        <f t="shared" si="16"/>
        <v>0</v>
      </c>
    </row>
    <row r="1058" spans="1:9" x14ac:dyDescent="0.25">
      <c r="A1058" t="s">
        <v>3709</v>
      </c>
      <c r="B1058" s="1936"/>
      <c r="C1058" t="s">
        <v>1162</v>
      </c>
      <c r="D1058" s="1936"/>
      <c r="E1058" s="1936"/>
      <c r="F1058" s="1941">
        <v>102051.78</v>
      </c>
      <c r="G1058" s="1941">
        <v>105300</v>
      </c>
      <c r="I1058" s="1938">
        <f t="shared" si="16"/>
        <v>0</v>
      </c>
    </row>
    <row r="1059" spans="1:9" x14ac:dyDescent="0.25">
      <c r="A1059" t="s">
        <v>3307</v>
      </c>
      <c r="B1059" s="1936"/>
      <c r="C1059" t="s">
        <v>2372</v>
      </c>
      <c r="D1059" s="1936"/>
      <c r="E1059" s="1936"/>
      <c r="F1059" s="1941">
        <v>12004.67</v>
      </c>
      <c r="G1059" s="1941">
        <v>15000</v>
      </c>
      <c r="I1059" s="1938">
        <f t="shared" si="16"/>
        <v>0</v>
      </c>
    </row>
    <row r="1060" spans="1:9" x14ac:dyDescent="0.25">
      <c r="A1060" t="s">
        <v>3307</v>
      </c>
      <c r="B1060" s="1936"/>
      <c r="C1060" t="s">
        <v>2374</v>
      </c>
      <c r="D1060" s="1936"/>
      <c r="E1060" s="1936"/>
      <c r="F1060" s="1941">
        <v>6642.93</v>
      </c>
      <c r="G1060" s="1941">
        <v>10000</v>
      </c>
      <c r="I1060" s="1938">
        <f t="shared" si="16"/>
        <v>0</v>
      </c>
    </row>
    <row r="1061" spans="1:9" x14ac:dyDescent="0.25">
      <c r="A1061" t="s">
        <v>3307</v>
      </c>
      <c r="B1061" s="1936"/>
      <c r="C1061" t="s">
        <v>2883</v>
      </c>
      <c r="D1061" s="1936"/>
      <c r="E1061" s="1936"/>
      <c r="F1061" s="1941">
        <v>9407.9599999999991</v>
      </c>
      <c r="G1061" s="1941">
        <v>12000</v>
      </c>
      <c r="I1061" s="1938">
        <f t="shared" si="16"/>
        <v>0</v>
      </c>
    </row>
    <row r="1062" spans="1:9" x14ac:dyDescent="0.25">
      <c r="A1062" t="s">
        <v>3307</v>
      </c>
      <c r="B1062" s="1936"/>
      <c r="C1062" t="s">
        <v>2884</v>
      </c>
      <c r="D1062" s="1936"/>
      <c r="E1062" s="1936"/>
      <c r="F1062" s="1941">
        <v>6637.64</v>
      </c>
      <c r="G1062" s="1941">
        <v>10000</v>
      </c>
      <c r="I1062" s="1938">
        <f t="shared" si="16"/>
        <v>0</v>
      </c>
    </row>
    <row r="1063" spans="1:9" x14ac:dyDescent="0.25">
      <c r="A1063" t="s">
        <v>3307</v>
      </c>
      <c r="B1063" s="1936"/>
      <c r="C1063" t="s">
        <v>2378</v>
      </c>
      <c r="D1063" s="1936"/>
      <c r="E1063" s="1936"/>
      <c r="F1063" s="1941">
        <v>10584.16</v>
      </c>
      <c r="G1063" s="1941">
        <v>14000</v>
      </c>
      <c r="I1063" s="1938">
        <f t="shared" si="16"/>
        <v>0</v>
      </c>
    </row>
    <row r="1064" spans="1:9" x14ac:dyDescent="0.25">
      <c r="A1064" t="s">
        <v>3307</v>
      </c>
      <c r="B1064" s="1936"/>
      <c r="C1064" t="s">
        <v>2885</v>
      </c>
      <c r="D1064" s="1936"/>
      <c r="E1064" s="1936"/>
      <c r="F1064" s="1941">
        <v>9269.56</v>
      </c>
      <c r="G1064" s="1941">
        <v>10000</v>
      </c>
      <c r="I1064" s="1938">
        <f t="shared" si="16"/>
        <v>0</v>
      </c>
    </row>
    <row r="1065" spans="1:9" x14ac:dyDescent="0.25">
      <c r="A1065" t="s">
        <v>3306</v>
      </c>
      <c r="B1065" s="1936"/>
      <c r="C1065" t="s">
        <v>2886</v>
      </c>
      <c r="D1065" s="1936"/>
      <c r="E1065" s="1936"/>
      <c r="F1065" s="1941">
        <v>-0.19</v>
      </c>
      <c r="G1065" s="1941">
        <v>100</v>
      </c>
      <c r="I1065" s="1938">
        <f t="shared" si="16"/>
        <v>-0.19</v>
      </c>
    </row>
    <row r="1066" spans="1:9" x14ac:dyDescent="0.25">
      <c r="A1066" t="s">
        <v>3306</v>
      </c>
      <c r="B1066" s="1936"/>
      <c r="C1066" t="s">
        <v>2887</v>
      </c>
      <c r="D1066" s="1936"/>
      <c r="E1066" s="1936"/>
      <c r="F1066" s="1941">
        <v>2540.61</v>
      </c>
      <c r="G1066" s="1941">
        <v>3000</v>
      </c>
      <c r="I1066" s="1938">
        <f t="shared" si="16"/>
        <v>0</v>
      </c>
    </row>
    <row r="1067" spans="1:9" x14ac:dyDescent="0.25">
      <c r="A1067" t="s">
        <v>3305</v>
      </c>
      <c r="B1067" s="1936"/>
      <c r="C1067" t="s">
        <v>2888</v>
      </c>
      <c r="D1067" s="1936"/>
      <c r="E1067" s="1936"/>
      <c r="F1067" s="1941">
        <v>3716.5</v>
      </c>
      <c r="G1067" s="1941">
        <v>7500</v>
      </c>
      <c r="I1067" s="1938">
        <f t="shared" si="16"/>
        <v>0</v>
      </c>
    </row>
    <row r="1068" spans="1:9" x14ac:dyDescent="0.25">
      <c r="A1068" t="s">
        <v>3710</v>
      </c>
      <c r="B1068" s="1936"/>
      <c r="C1068" t="s">
        <v>2300</v>
      </c>
      <c r="D1068" s="1936"/>
      <c r="E1068" s="1936"/>
      <c r="F1068" s="1941">
        <v>60803.839999999997</v>
      </c>
      <c r="G1068" s="1941">
        <v>81600</v>
      </c>
      <c r="I1068" s="1938">
        <f t="shared" si="16"/>
        <v>0</v>
      </c>
    </row>
    <row r="1069" spans="1:9" x14ac:dyDescent="0.25">
      <c r="A1069" t="s">
        <v>3304</v>
      </c>
      <c r="B1069" s="1936"/>
      <c r="C1069" t="s">
        <v>2889</v>
      </c>
      <c r="D1069" s="1936"/>
      <c r="E1069" s="1936"/>
      <c r="F1069" s="1941">
        <v>27079.17</v>
      </c>
      <c r="G1069" s="1941">
        <v>0</v>
      </c>
      <c r="I1069" s="1938">
        <f t="shared" si="16"/>
        <v>0</v>
      </c>
    </row>
    <row r="1070" spans="1:9" x14ac:dyDescent="0.25">
      <c r="A1070" t="s">
        <v>3304</v>
      </c>
      <c r="B1070" s="1936"/>
      <c r="C1070" t="s">
        <v>2890</v>
      </c>
      <c r="D1070" s="1936"/>
      <c r="E1070" s="1936"/>
      <c r="F1070" s="1941">
        <v>119378.17</v>
      </c>
      <c r="G1070" s="1941">
        <v>110000</v>
      </c>
      <c r="I1070" s="1938">
        <f t="shared" si="16"/>
        <v>0</v>
      </c>
    </row>
    <row r="1071" spans="1:9" x14ac:dyDescent="0.25">
      <c r="A1071" t="s">
        <v>3303</v>
      </c>
      <c r="B1071" s="1936"/>
      <c r="C1071" t="s">
        <v>2891</v>
      </c>
      <c r="D1071" s="1936"/>
      <c r="E1071" s="1936"/>
      <c r="F1071" s="1941">
        <v>0</v>
      </c>
      <c r="G1071" s="1941">
        <v>0</v>
      </c>
      <c r="I1071" s="1938">
        <f t="shared" si="16"/>
        <v>0</v>
      </c>
    </row>
    <row r="1072" spans="1:9" x14ac:dyDescent="0.25">
      <c r="A1072" t="s">
        <v>3302</v>
      </c>
      <c r="B1072" s="1936"/>
      <c r="C1072" t="s">
        <v>2892</v>
      </c>
      <c r="D1072" s="1936"/>
      <c r="E1072" s="1936"/>
      <c r="F1072" s="1941">
        <v>0</v>
      </c>
      <c r="G1072" s="1941">
        <v>0</v>
      </c>
      <c r="I1072" s="1938">
        <f t="shared" si="16"/>
        <v>0</v>
      </c>
    </row>
    <row r="1073" spans="1:9" x14ac:dyDescent="0.25">
      <c r="A1073" t="s">
        <v>3301</v>
      </c>
      <c r="B1073" s="1936"/>
      <c r="C1073" t="s">
        <v>2893</v>
      </c>
      <c r="D1073" s="1936"/>
      <c r="E1073" s="1936"/>
      <c r="F1073" s="1941">
        <v>0</v>
      </c>
      <c r="G1073" s="1941">
        <v>0</v>
      </c>
      <c r="I1073" s="1938">
        <f t="shared" si="16"/>
        <v>0</v>
      </c>
    </row>
    <row r="1074" spans="1:9" x14ac:dyDescent="0.25">
      <c r="A1074" t="s">
        <v>3300</v>
      </c>
      <c r="B1074" s="1936"/>
      <c r="C1074" t="s">
        <v>2894</v>
      </c>
      <c r="D1074" s="1936"/>
      <c r="E1074" s="1936"/>
      <c r="F1074" s="1941">
        <v>4147.17</v>
      </c>
      <c r="G1074" s="1941">
        <v>9870</v>
      </c>
      <c r="I1074" s="1938">
        <f t="shared" si="16"/>
        <v>0</v>
      </c>
    </row>
    <row r="1075" spans="1:9" x14ac:dyDescent="0.25">
      <c r="A1075" t="s">
        <v>3299</v>
      </c>
      <c r="B1075" s="1936"/>
      <c r="C1075" t="s">
        <v>2895</v>
      </c>
      <c r="D1075" s="1936"/>
      <c r="E1075" s="1936"/>
      <c r="F1075" s="1941">
        <v>0</v>
      </c>
      <c r="G1075" s="1941">
        <v>0</v>
      </c>
      <c r="I1075" s="1938">
        <f t="shared" si="16"/>
        <v>0</v>
      </c>
    </row>
    <row r="1076" spans="1:9" x14ac:dyDescent="0.25">
      <c r="A1076" t="s">
        <v>3711</v>
      </c>
      <c r="B1076" s="1936"/>
      <c r="C1076" t="s">
        <v>1157</v>
      </c>
      <c r="D1076" s="1936"/>
      <c r="E1076" s="1936"/>
      <c r="F1076" s="1941">
        <v>150604.51</v>
      </c>
      <c r="G1076" s="1941">
        <v>119870</v>
      </c>
      <c r="I1076" s="1938">
        <f t="shared" si="16"/>
        <v>0</v>
      </c>
    </row>
    <row r="1077" spans="1:9" x14ac:dyDescent="0.25">
      <c r="A1077" t="s">
        <v>3769</v>
      </c>
      <c r="B1077" s="1936"/>
      <c r="C1077" t="s">
        <v>2896</v>
      </c>
      <c r="D1077" s="1936"/>
      <c r="E1077" s="1936"/>
      <c r="F1077" s="1941">
        <v>1353681.44</v>
      </c>
      <c r="G1077" s="1941">
        <v>1357908</v>
      </c>
      <c r="I1077" s="1938">
        <f t="shared" si="16"/>
        <v>0</v>
      </c>
    </row>
    <row r="1078" spans="1:9" x14ac:dyDescent="0.25">
      <c r="A1078" t="s">
        <v>3298</v>
      </c>
      <c r="B1078" s="1936"/>
      <c r="C1078" t="s">
        <v>2897</v>
      </c>
      <c r="D1078" s="1936"/>
      <c r="E1078" s="1936"/>
      <c r="F1078" s="1941">
        <v>771.73</v>
      </c>
      <c r="G1078" s="1941">
        <v>5000</v>
      </c>
      <c r="I1078" s="1938">
        <f t="shared" si="16"/>
        <v>0</v>
      </c>
    </row>
    <row r="1079" spans="1:9" x14ac:dyDescent="0.25">
      <c r="A1079" t="s">
        <v>3709</v>
      </c>
      <c r="B1079" s="1936"/>
      <c r="C1079" t="s">
        <v>1162</v>
      </c>
      <c r="D1079" s="1936"/>
      <c r="E1079" s="1936"/>
      <c r="F1079" s="1941">
        <v>771.73</v>
      </c>
      <c r="G1079" s="1941">
        <v>5000</v>
      </c>
      <c r="I1079" s="1938">
        <f t="shared" si="16"/>
        <v>0</v>
      </c>
    </row>
    <row r="1080" spans="1:9" x14ac:dyDescent="0.25">
      <c r="A1080" t="s">
        <v>3297</v>
      </c>
      <c r="B1080" s="1936"/>
      <c r="C1080" t="s">
        <v>2898</v>
      </c>
      <c r="D1080" s="1936"/>
      <c r="E1080" s="1936"/>
      <c r="F1080" s="1941">
        <v>1677.66</v>
      </c>
      <c r="G1080" s="1941">
        <v>3000</v>
      </c>
      <c r="I1080" s="1938">
        <f t="shared" si="16"/>
        <v>0</v>
      </c>
    </row>
    <row r="1081" spans="1:9" x14ac:dyDescent="0.25">
      <c r="A1081" t="s">
        <v>3297</v>
      </c>
      <c r="B1081" s="1936"/>
      <c r="C1081" t="s">
        <v>2899</v>
      </c>
      <c r="D1081" s="1936"/>
      <c r="E1081" s="1936"/>
      <c r="F1081" s="1941">
        <v>9644.2000000000007</v>
      </c>
      <c r="G1081" s="1941">
        <v>12000</v>
      </c>
      <c r="I1081" s="1938">
        <f t="shared" si="16"/>
        <v>0</v>
      </c>
    </row>
    <row r="1082" spans="1:9" x14ac:dyDescent="0.25">
      <c r="A1082" t="s">
        <v>3296</v>
      </c>
      <c r="B1082" s="1936"/>
      <c r="C1082" t="s">
        <v>2900</v>
      </c>
      <c r="D1082" s="1936"/>
      <c r="E1082" s="1936"/>
      <c r="F1082" s="1941">
        <v>1753.3</v>
      </c>
      <c r="G1082" s="1941">
        <v>1500</v>
      </c>
      <c r="I1082" s="1938">
        <f t="shared" si="16"/>
        <v>0</v>
      </c>
    </row>
    <row r="1083" spans="1:9" x14ac:dyDescent="0.25">
      <c r="A1083" t="s">
        <v>3710</v>
      </c>
      <c r="B1083" s="1936"/>
      <c r="C1083" t="s">
        <v>2300</v>
      </c>
      <c r="D1083" s="1936"/>
      <c r="E1083" s="1936"/>
      <c r="F1083" s="1941">
        <v>13075.16</v>
      </c>
      <c r="G1083" s="1941">
        <v>16500</v>
      </c>
      <c r="I1083" s="1938">
        <f t="shared" si="16"/>
        <v>0</v>
      </c>
    </row>
    <row r="1084" spans="1:9" x14ac:dyDescent="0.25">
      <c r="A1084" t="s">
        <v>3295</v>
      </c>
      <c r="B1084" s="1936"/>
      <c r="C1084" t="s">
        <v>2901</v>
      </c>
      <c r="D1084" s="1936"/>
      <c r="E1084" s="1936"/>
      <c r="F1084" s="1941">
        <v>65226.09</v>
      </c>
      <c r="G1084" s="1941">
        <v>85000</v>
      </c>
      <c r="I1084" s="1938">
        <f t="shared" si="16"/>
        <v>0</v>
      </c>
    </row>
    <row r="1085" spans="1:9" x14ac:dyDescent="0.25">
      <c r="A1085" t="s">
        <v>3294</v>
      </c>
      <c r="B1085" s="1936"/>
      <c r="C1085" t="s">
        <v>2902</v>
      </c>
      <c r="D1085" s="1936"/>
      <c r="E1085" s="1936"/>
      <c r="F1085" s="1941">
        <v>2806</v>
      </c>
      <c r="G1085" s="1941">
        <v>2806</v>
      </c>
      <c r="I1085" s="1938">
        <f t="shared" si="16"/>
        <v>0</v>
      </c>
    </row>
    <row r="1086" spans="1:9" x14ac:dyDescent="0.25">
      <c r="A1086" t="s">
        <v>3711</v>
      </c>
      <c r="B1086" s="1936"/>
      <c r="C1086" t="s">
        <v>1157</v>
      </c>
      <c r="D1086" s="1936"/>
      <c r="E1086" s="1936"/>
      <c r="F1086" s="1941">
        <v>68032.09</v>
      </c>
      <c r="G1086" s="1941">
        <v>87806</v>
      </c>
      <c r="I1086" s="1938">
        <f t="shared" si="16"/>
        <v>0</v>
      </c>
    </row>
    <row r="1087" spans="1:9" x14ac:dyDescent="0.25">
      <c r="A1087" t="s">
        <v>3770</v>
      </c>
      <c r="B1087" s="1936"/>
      <c r="C1087" t="s">
        <v>2903</v>
      </c>
      <c r="D1087" s="1936"/>
      <c r="E1087" s="1936"/>
      <c r="F1087" s="1941">
        <v>81878.98</v>
      </c>
      <c r="G1087" s="1941">
        <v>109306</v>
      </c>
      <c r="I1087" s="1938">
        <f t="shared" si="16"/>
        <v>0</v>
      </c>
    </row>
    <row r="1088" spans="1:9" x14ac:dyDescent="0.25">
      <c r="A1088" t="s">
        <v>3293</v>
      </c>
      <c r="B1088" s="1936"/>
      <c r="C1088" t="s">
        <v>2904</v>
      </c>
      <c r="D1088" s="1936"/>
      <c r="E1088" s="1936"/>
      <c r="F1088" s="1941">
        <v>4158.22</v>
      </c>
      <c r="G1088" s="1941">
        <v>4100</v>
      </c>
      <c r="I1088" s="1938">
        <f t="shared" si="16"/>
        <v>0</v>
      </c>
    </row>
    <row r="1089" spans="1:9" x14ac:dyDescent="0.25">
      <c r="A1089" t="s">
        <v>3709</v>
      </c>
      <c r="B1089" s="1936"/>
      <c r="C1089" t="s">
        <v>1162</v>
      </c>
      <c r="D1089" s="1936"/>
      <c r="E1089" s="1936"/>
      <c r="F1089" s="1941">
        <v>4158.22</v>
      </c>
      <c r="G1089" s="1941">
        <v>4100</v>
      </c>
      <c r="I1089" s="1938">
        <f t="shared" si="16"/>
        <v>0</v>
      </c>
    </row>
    <row r="1090" spans="1:9" x14ac:dyDescent="0.25">
      <c r="A1090" t="s">
        <v>3292</v>
      </c>
      <c r="B1090" s="1936"/>
      <c r="C1090" t="s">
        <v>2905</v>
      </c>
      <c r="D1090" s="1936"/>
      <c r="E1090" s="1936"/>
      <c r="F1090" s="1941">
        <v>2895.44</v>
      </c>
      <c r="G1090" s="1941">
        <v>2000</v>
      </c>
      <c r="I1090" s="1938">
        <f t="shared" si="16"/>
        <v>0</v>
      </c>
    </row>
    <row r="1091" spans="1:9" x14ac:dyDescent="0.25">
      <c r="A1091" t="s">
        <v>3291</v>
      </c>
      <c r="B1091" s="1936"/>
      <c r="C1091" t="s">
        <v>2906</v>
      </c>
      <c r="D1091" s="1936"/>
      <c r="E1091" s="1936"/>
      <c r="F1091" s="1941">
        <v>4838.22</v>
      </c>
      <c r="G1091" s="1941">
        <v>7500</v>
      </c>
      <c r="I1091" s="1938">
        <f t="shared" si="16"/>
        <v>0</v>
      </c>
    </row>
    <row r="1092" spans="1:9" x14ac:dyDescent="0.25">
      <c r="A1092" t="s">
        <v>3710</v>
      </c>
      <c r="B1092" s="1936"/>
      <c r="C1092" t="s">
        <v>2300</v>
      </c>
      <c r="D1092" s="1936"/>
      <c r="E1092" s="1936"/>
      <c r="F1092" s="1941">
        <v>7733.66</v>
      </c>
      <c r="G1092" s="1941">
        <v>9500</v>
      </c>
      <c r="I1092" s="1938">
        <f t="shared" ref="I1092:I1155" si="17">IF(F1092&lt;0,F1092,0)</f>
        <v>0</v>
      </c>
    </row>
    <row r="1093" spans="1:9" x14ac:dyDescent="0.25">
      <c r="A1093" t="s">
        <v>3771</v>
      </c>
      <c r="B1093" s="1936"/>
      <c r="C1093" t="s">
        <v>2907</v>
      </c>
      <c r="D1093" s="1936"/>
      <c r="E1093" s="1936"/>
      <c r="F1093" s="1941">
        <v>11891.88</v>
      </c>
      <c r="G1093" s="1941">
        <v>13600</v>
      </c>
      <c r="I1093" s="1938">
        <f t="shared" si="17"/>
        <v>0</v>
      </c>
    </row>
    <row r="1094" spans="1:9" x14ac:dyDescent="0.25">
      <c r="A1094" t="s">
        <v>590</v>
      </c>
      <c r="B1094" s="1936"/>
      <c r="C1094" t="s">
        <v>477</v>
      </c>
      <c r="D1094" s="1936"/>
      <c r="E1094" s="1936"/>
      <c r="F1094" s="1941">
        <v>1471677.05</v>
      </c>
      <c r="G1094" s="1941">
        <v>1504614</v>
      </c>
      <c r="I1094" s="1938">
        <f t="shared" si="17"/>
        <v>0</v>
      </c>
    </row>
    <row r="1095" spans="1:9" x14ac:dyDescent="0.25">
      <c r="A1095" t="s">
        <v>2801</v>
      </c>
      <c r="B1095" s="1936"/>
      <c r="C1095" t="s">
        <v>2802</v>
      </c>
      <c r="D1095" s="1936"/>
      <c r="E1095" s="1936"/>
      <c r="F1095" s="1941">
        <v>1471677.05</v>
      </c>
      <c r="G1095" s="1941">
        <v>1504614</v>
      </c>
      <c r="I1095" s="1938">
        <f t="shared" si="17"/>
        <v>0</v>
      </c>
    </row>
    <row r="1096" spans="1:9" x14ac:dyDescent="0.25">
      <c r="A1096" t="s">
        <v>22</v>
      </c>
      <c r="B1096" s="1936"/>
      <c r="C1096" t="s">
        <v>2908</v>
      </c>
      <c r="D1096" s="1936"/>
      <c r="E1096" s="1936"/>
      <c r="F1096" s="1941">
        <v>-1964017.13</v>
      </c>
      <c r="G1096" s="1941">
        <v>-1965566</v>
      </c>
      <c r="I1096" s="1938">
        <f t="shared" si="17"/>
        <v>-1964017.13</v>
      </c>
    </row>
    <row r="1097" spans="1:9" x14ac:dyDescent="0.25">
      <c r="A1097" t="s">
        <v>22</v>
      </c>
      <c r="B1097" s="1936"/>
      <c r="C1097" t="s">
        <v>2908</v>
      </c>
      <c r="D1097" s="1936"/>
      <c r="E1097" s="1936"/>
      <c r="F1097" s="1941">
        <v>1471677.05</v>
      </c>
      <c r="G1097" s="1941">
        <v>1504614</v>
      </c>
      <c r="I1097" s="1938">
        <f t="shared" si="17"/>
        <v>0</v>
      </c>
    </row>
    <row r="1098" spans="1:9" x14ac:dyDescent="0.25">
      <c r="A1098" t="s">
        <v>2909</v>
      </c>
      <c r="B1098" s="1936"/>
      <c r="C1098" t="s">
        <v>2910</v>
      </c>
      <c r="D1098" s="1936"/>
      <c r="E1098" s="1936"/>
      <c r="F1098" s="1941">
        <v>0</v>
      </c>
      <c r="G1098" s="1941">
        <v>0</v>
      </c>
      <c r="I1098" s="1938">
        <f t="shared" si="17"/>
        <v>0</v>
      </c>
    </row>
    <row r="1099" spans="1:9" x14ac:dyDescent="0.25">
      <c r="A1099" t="s">
        <v>1231</v>
      </c>
      <c r="B1099" s="1936"/>
      <c r="C1099" t="s">
        <v>1231</v>
      </c>
      <c r="D1099" s="1936"/>
      <c r="E1099" s="1936"/>
      <c r="F1099" s="1941">
        <v>0</v>
      </c>
      <c r="G1099" s="1941">
        <v>0</v>
      </c>
      <c r="I1099" s="1938">
        <f t="shared" si="17"/>
        <v>0</v>
      </c>
    </row>
    <row r="1100" spans="1:9" x14ac:dyDescent="0.25">
      <c r="A1100" t="s">
        <v>3772</v>
      </c>
      <c r="B1100" s="1936"/>
      <c r="C1100" t="s">
        <v>2911</v>
      </c>
      <c r="D1100" s="1936"/>
      <c r="E1100" s="1936"/>
      <c r="F1100" s="1941">
        <v>0</v>
      </c>
      <c r="G1100" s="1941">
        <v>0</v>
      </c>
      <c r="I1100" s="1938">
        <f t="shared" si="17"/>
        <v>0</v>
      </c>
    </row>
    <row r="1101" spans="1:9" x14ac:dyDescent="0.25">
      <c r="A1101" t="s">
        <v>2912</v>
      </c>
      <c r="B1101" s="1936"/>
      <c r="C1101" t="s">
        <v>2913</v>
      </c>
      <c r="D1101" s="1936"/>
      <c r="E1101" s="1936"/>
      <c r="F1101" s="1941">
        <v>-347606.9</v>
      </c>
      <c r="G1101" s="1941">
        <v>-348825</v>
      </c>
      <c r="I1101" s="1938">
        <f t="shared" si="17"/>
        <v>-347606.9</v>
      </c>
    </row>
    <row r="1102" spans="1:9" x14ac:dyDescent="0.25">
      <c r="A1102" t="s">
        <v>1231</v>
      </c>
      <c r="B1102" s="1936"/>
      <c r="C1102" t="s">
        <v>1231</v>
      </c>
      <c r="D1102" s="1936"/>
      <c r="E1102" s="1936"/>
      <c r="F1102" s="1941">
        <v>-347606.9</v>
      </c>
      <c r="G1102" s="1941">
        <v>-348825</v>
      </c>
      <c r="I1102" s="1938">
        <f t="shared" si="17"/>
        <v>-347606.9</v>
      </c>
    </row>
    <row r="1103" spans="1:9" x14ac:dyDescent="0.25">
      <c r="A1103" t="s">
        <v>3773</v>
      </c>
      <c r="B1103" s="1936"/>
      <c r="C1103" t="s">
        <v>2914</v>
      </c>
      <c r="D1103" s="1936"/>
      <c r="E1103" s="1936"/>
      <c r="F1103" s="1941">
        <v>-347606.9</v>
      </c>
      <c r="G1103" s="1941">
        <v>-348825</v>
      </c>
      <c r="I1103" s="1938">
        <f t="shared" si="17"/>
        <v>-347606.9</v>
      </c>
    </row>
    <row r="1104" spans="1:9" x14ac:dyDescent="0.25">
      <c r="A1104" t="s">
        <v>2915</v>
      </c>
      <c r="B1104" s="1936"/>
      <c r="C1104" t="s">
        <v>2916</v>
      </c>
      <c r="D1104" s="1936"/>
      <c r="E1104" s="1936"/>
      <c r="F1104" s="1941">
        <v>-168631.67</v>
      </c>
      <c r="G1104" s="1941">
        <v>-169200</v>
      </c>
      <c r="I1104" s="1938">
        <f t="shared" si="17"/>
        <v>-168631.67</v>
      </c>
    </row>
    <row r="1105" spans="1:9" x14ac:dyDescent="0.25">
      <c r="A1105" t="s">
        <v>1231</v>
      </c>
      <c r="B1105" s="1936"/>
      <c r="C1105" t="s">
        <v>1231</v>
      </c>
      <c r="D1105" s="1936"/>
      <c r="E1105" s="1936"/>
      <c r="F1105" s="1941">
        <v>-168631.67</v>
      </c>
      <c r="G1105" s="1941">
        <v>-169200</v>
      </c>
      <c r="I1105" s="1938">
        <f t="shared" si="17"/>
        <v>-168631.67</v>
      </c>
    </row>
    <row r="1106" spans="1:9" x14ac:dyDescent="0.25">
      <c r="A1106" t="s">
        <v>1506</v>
      </c>
      <c r="B1106" s="1936"/>
      <c r="C1106" t="s">
        <v>2917</v>
      </c>
      <c r="D1106" s="1936"/>
      <c r="E1106" s="1936"/>
      <c r="F1106" s="1941">
        <v>-168631.67</v>
      </c>
      <c r="G1106" s="1941">
        <v>-169200</v>
      </c>
      <c r="I1106" s="1938">
        <f t="shared" si="17"/>
        <v>-168631.67</v>
      </c>
    </row>
    <row r="1107" spans="1:9" x14ac:dyDescent="0.25">
      <c r="A1107" t="s">
        <v>2918</v>
      </c>
      <c r="B1107" s="1936"/>
      <c r="C1107" t="s">
        <v>2919</v>
      </c>
      <c r="D1107" s="1936"/>
      <c r="E1107" s="1936"/>
      <c r="F1107" s="1941">
        <v>0</v>
      </c>
      <c r="G1107" s="1941">
        <v>0</v>
      </c>
      <c r="I1107" s="1938">
        <f t="shared" si="17"/>
        <v>0</v>
      </c>
    </row>
    <row r="1108" spans="1:9" x14ac:dyDescent="0.25">
      <c r="A1108" t="s">
        <v>1231</v>
      </c>
      <c r="B1108" s="1936"/>
      <c r="C1108" t="s">
        <v>1231</v>
      </c>
      <c r="D1108" s="1936"/>
      <c r="E1108" s="1936"/>
      <c r="F1108" s="1941">
        <v>0</v>
      </c>
      <c r="G1108" s="1941">
        <v>0</v>
      </c>
      <c r="I1108" s="1938">
        <f t="shared" si="17"/>
        <v>0</v>
      </c>
    </row>
    <row r="1109" spans="1:9" x14ac:dyDescent="0.25">
      <c r="A1109" t="s">
        <v>3774</v>
      </c>
      <c r="B1109" s="1936"/>
      <c r="C1109" t="s">
        <v>2920</v>
      </c>
      <c r="D1109" s="1936"/>
      <c r="E1109" s="1936"/>
      <c r="F1109" s="1941">
        <v>0</v>
      </c>
      <c r="G1109" s="1941">
        <v>0</v>
      </c>
      <c r="I1109" s="1938">
        <f t="shared" si="17"/>
        <v>0</v>
      </c>
    </row>
    <row r="1110" spans="1:9" x14ac:dyDescent="0.25">
      <c r="A1110" t="s">
        <v>2921</v>
      </c>
      <c r="B1110" s="1936"/>
      <c r="C1110" t="s">
        <v>2922</v>
      </c>
      <c r="D1110" s="1936"/>
      <c r="E1110" s="1936"/>
      <c r="F1110" s="1941">
        <v>-2618178.9900000002</v>
      </c>
      <c r="G1110" s="1941">
        <v>-2627006</v>
      </c>
      <c r="I1110" s="1938">
        <f t="shared" si="17"/>
        <v>-2618178.9900000002</v>
      </c>
    </row>
    <row r="1111" spans="1:9" x14ac:dyDescent="0.25">
      <c r="A1111" t="s">
        <v>1231</v>
      </c>
      <c r="B1111" s="1936"/>
      <c r="C1111" t="s">
        <v>1231</v>
      </c>
      <c r="D1111" s="1936"/>
      <c r="E1111" s="1936"/>
      <c r="F1111" s="1941">
        <v>-2618178.9900000002</v>
      </c>
      <c r="G1111" s="1941">
        <v>-2627006</v>
      </c>
      <c r="I1111" s="1938">
        <f t="shared" si="17"/>
        <v>-2618178.9900000002</v>
      </c>
    </row>
    <row r="1112" spans="1:9" x14ac:dyDescent="0.25">
      <c r="A1112" t="s">
        <v>3775</v>
      </c>
      <c r="B1112" s="1936"/>
      <c r="C1112" t="s">
        <v>2923</v>
      </c>
      <c r="D1112" s="1936"/>
      <c r="E1112" s="1936"/>
      <c r="F1112" s="1941">
        <v>-2618178.9900000002</v>
      </c>
      <c r="G1112" s="1941">
        <v>-2627006</v>
      </c>
      <c r="I1112" s="1938">
        <f t="shared" si="17"/>
        <v>-2618178.9900000002</v>
      </c>
    </row>
    <row r="1113" spans="1:9" x14ac:dyDescent="0.25">
      <c r="A1113" s="1946" t="s">
        <v>3837</v>
      </c>
      <c r="B1113" s="1936"/>
      <c r="C1113" t="s">
        <v>2108</v>
      </c>
      <c r="D1113" s="1936"/>
      <c r="E1113" s="1936"/>
      <c r="F1113" s="1941">
        <v>-1684.83</v>
      </c>
      <c r="G1113" s="1941">
        <v>-1000</v>
      </c>
      <c r="I1113" s="1938">
        <f t="shared" si="17"/>
        <v>-1684.83</v>
      </c>
    </row>
    <row r="1114" spans="1:9" x14ac:dyDescent="0.25">
      <c r="A1114" t="s">
        <v>1231</v>
      </c>
      <c r="B1114" s="1936"/>
      <c r="C1114" t="s">
        <v>1231</v>
      </c>
      <c r="D1114" s="1936"/>
      <c r="E1114" s="1936"/>
      <c r="F1114" s="1941">
        <v>-1684.83</v>
      </c>
      <c r="G1114" s="1941">
        <v>-1000</v>
      </c>
      <c r="I1114" s="1938">
        <f t="shared" si="17"/>
        <v>-1684.83</v>
      </c>
    </row>
    <row r="1115" spans="1:9" x14ac:dyDescent="0.25">
      <c r="A1115" t="s">
        <v>3645</v>
      </c>
      <c r="B1115" s="1936"/>
      <c r="C1115" t="s">
        <v>2109</v>
      </c>
      <c r="D1115" s="1936"/>
      <c r="E1115" s="1936"/>
      <c r="F1115" s="1941">
        <v>-1684.83</v>
      </c>
      <c r="G1115" s="1941">
        <v>-1000</v>
      </c>
      <c r="I1115" s="1938">
        <f t="shared" si="17"/>
        <v>-1684.83</v>
      </c>
    </row>
    <row r="1116" spans="1:9" x14ac:dyDescent="0.25">
      <c r="A1116" t="s">
        <v>3776</v>
      </c>
      <c r="B1116" s="1936"/>
      <c r="C1116" t="s">
        <v>2924</v>
      </c>
      <c r="D1116" s="1936"/>
      <c r="E1116" s="1936"/>
      <c r="F1116" s="1941">
        <v>0</v>
      </c>
      <c r="G1116" s="1941">
        <v>0</v>
      </c>
      <c r="I1116" s="1938">
        <f t="shared" si="17"/>
        <v>0</v>
      </c>
    </row>
    <row r="1117" spans="1:9" x14ac:dyDescent="0.25">
      <c r="A1117" t="s">
        <v>1231</v>
      </c>
      <c r="B1117" s="1936"/>
      <c r="C1117" t="s">
        <v>1231</v>
      </c>
      <c r="D1117" s="1936"/>
      <c r="E1117" s="1936"/>
      <c r="F1117" s="1941">
        <v>0</v>
      </c>
      <c r="G1117" s="1941">
        <v>0</v>
      </c>
      <c r="I1117" s="1938">
        <f t="shared" si="17"/>
        <v>0</v>
      </c>
    </row>
    <row r="1118" spans="1:9" x14ac:dyDescent="0.25">
      <c r="A1118" t="s">
        <v>3656</v>
      </c>
      <c r="B1118" s="1936"/>
      <c r="C1118" t="s">
        <v>2148</v>
      </c>
      <c r="D1118" s="1936"/>
      <c r="E1118" s="1936"/>
      <c r="F1118" s="1941">
        <v>0</v>
      </c>
      <c r="G1118" s="1941">
        <v>0</v>
      </c>
      <c r="I1118" s="1938">
        <f t="shared" si="17"/>
        <v>0</v>
      </c>
    </row>
    <row r="1119" spans="1:9" x14ac:dyDescent="0.25">
      <c r="A1119" t="s">
        <v>591</v>
      </c>
      <c r="B1119" s="1936"/>
      <c r="C1119" t="s">
        <v>2154</v>
      </c>
      <c r="D1119" s="1936"/>
      <c r="E1119" s="1936"/>
      <c r="F1119" s="1941">
        <v>-3136102.39</v>
      </c>
      <c r="G1119" s="1941">
        <v>-3146031</v>
      </c>
      <c r="I1119" s="1938">
        <f t="shared" si="17"/>
        <v>-3136102.39</v>
      </c>
    </row>
    <row r="1120" spans="1:9" x14ac:dyDescent="0.25">
      <c r="A1120" t="s">
        <v>3777</v>
      </c>
      <c r="B1120" s="1936"/>
      <c r="C1120" t="s">
        <v>2173</v>
      </c>
      <c r="D1120" s="1936"/>
      <c r="E1120" s="1936"/>
      <c r="F1120" s="1941">
        <v>0</v>
      </c>
      <c r="G1120" s="1941">
        <v>0</v>
      </c>
      <c r="I1120" s="1938">
        <f t="shared" si="17"/>
        <v>0</v>
      </c>
    </row>
    <row r="1121" spans="1:9" x14ac:dyDescent="0.25">
      <c r="A1121" t="s">
        <v>1231</v>
      </c>
      <c r="B1121" s="1936"/>
      <c r="C1121" t="s">
        <v>1231</v>
      </c>
      <c r="D1121" s="1936"/>
      <c r="E1121" s="1936"/>
      <c r="F1121" s="1941">
        <v>0</v>
      </c>
      <c r="G1121" s="1941">
        <v>0</v>
      </c>
      <c r="I1121" s="1938">
        <f t="shared" si="17"/>
        <v>0</v>
      </c>
    </row>
    <row r="1122" spans="1:9" x14ac:dyDescent="0.25">
      <c r="A1122" t="s">
        <v>3778</v>
      </c>
      <c r="B1122" s="1936"/>
      <c r="C1122" t="s">
        <v>2925</v>
      </c>
      <c r="D1122" s="1936"/>
      <c r="E1122" s="1936"/>
      <c r="F1122" s="1941">
        <v>0</v>
      </c>
      <c r="G1122" s="1941">
        <v>0</v>
      </c>
      <c r="I1122" s="1938">
        <f t="shared" si="17"/>
        <v>0</v>
      </c>
    </row>
    <row r="1123" spans="1:9" x14ac:dyDescent="0.25">
      <c r="A1123" t="s">
        <v>3707</v>
      </c>
      <c r="B1123" s="1936"/>
      <c r="C1123" t="s">
        <v>2203</v>
      </c>
      <c r="D1123" s="1936"/>
      <c r="E1123" s="1936"/>
      <c r="F1123" s="1941">
        <v>0</v>
      </c>
      <c r="G1123" s="1941">
        <v>0</v>
      </c>
      <c r="I1123" s="1938">
        <f t="shared" si="17"/>
        <v>0</v>
      </c>
    </row>
    <row r="1124" spans="1:9" x14ac:dyDescent="0.25">
      <c r="A1124" t="s">
        <v>2204</v>
      </c>
      <c r="B1124" s="1936"/>
      <c r="C1124" t="s">
        <v>82</v>
      </c>
      <c r="D1124" s="1936"/>
      <c r="E1124" s="1936"/>
      <c r="F1124" s="1941">
        <v>-3136102.39</v>
      </c>
      <c r="G1124" s="1941">
        <v>-3146031</v>
      </c>
      <c r="I1124" s="1938">
        <f t="shared" si="17"/>
        <v>-3136102.39</v>
      </c>
    </row>
    <row r="1125" spans="1:9" x14ac:dyDescent="0.25">
      <c r="A1125" s="1" t="s">
        <v>3996</v>
      </c>
      <c r="B1125" s="1936"/>
      <c r="C1125" t="s">
        <v>2926</v>
      </c>
      <c r="D1125" s="1936"/>
      <c r="E1125" s="1936"/>
      <c r="F1125" s="1941">
        <v>120000</v>
      </c>
      <c r="G1125" s="1941">
        <v>120000</v>
      </c>
      <c r="I1125" s="1938">
        <f t="shared" si="17"/>
        <v>0</v>
      </c>
    </row>
    <row r="1126" spans="1:9" x14ac:dyDescent="0.25">
      <c r="A1126" s="1" t="s">
        <v>3997</v>
      </c>
      <c r="B1126" s="1936"/>
      <c r="C1126" t="s">
        <v>2927</v>
      </c>
      <c r="D1126" s="1936"/>
      <c r="E1126" s="1936"/>
      <c r="F1126" s="1941">
        <v>125000</v>
      </c>
      <c r="G1126" s="1941">
        <v>125000</v>
      </c>
      <c r="I1126" s="1938">
        <f t="shared" si="17"/>
        <v>0</v>
      </c>
    </row>
    <row r="1127" spans="1:9" x14ac:dyDescent="0.25">
      <c r="A1127" s="1" t="s">
        <v>3998</v>
      </c>
      <c r="B1127" s="1936"/>
      <c r="C1127" t="s">
        <v>2928</v>
      </c>
      <c r="D1127" s="1936"/>
      <c r="E1127" s="1936"/>
      <c r="F1127" s="1941">
        <v>0</v>
      </c>
      <c r="G1127" s="1941">
        <v>0</v>
      </c>
      <c r="I1127" s="1938">
        <f t="shared" si="17"/>
        <v>0</v>
      </c>
    </row>
    <row r="1128" spans="1:9" x14ac:dyDescent="0.25">
      <c r="A1128" s="1" t="s">
        <v>3999</v>
      </c>
      <c r="B1128" s="1936"/>
      <c r="C1128" t="s">
        <v>2929</v>
      </c>
      <c r="D1128" s="1936"/>
      <c r="E1128" s="1936"/>
      <c r="F1128" s="1941">
        <v>2585000</v>
      </c>
      <c r="G1128" s="1941">
        <v>2585000</v>
      </c>
      <c r="I1128" s="1938">
        <f t="shared" si="17"/>
        <v>0</v>
      </c>
    </row>
    <row r="1129" spans="1:9" s="1987" customFormat="1" x14ac:dyDescent="0.25">
      <c r="A1129" s="1984" t="s">
        <v>3992</v>
      </c>
      <c r="B1129" s="1985"/>
      <c r="C1129" s="8" t="s">
        <v>2930</v>
      </c>
      <c r="D1129" s="1985"/>
      <c r="E1129" s="1985"/>
      <c r="F1129" s="1986">
        <v>49200</v>
      </c>
      <c r="G1129" s="1986">
        <v>49200</v>
      </c>
      <c r="I1129" s="1988">
        <f t="shared" si="17"/>
        <v>0</v>
      </c>
    </row>
    <row r="1130" spans="1:9" s="1987" customFormat="1" x14ac:dyDescent="0.25">
      <c r="A1130" s="1984" t="s">
        <v>3993</v>
      </c>
      <c r="B1130" s="1985"/>
      <c r="C1130" s="8" t="s">
        <v>2931</v>
      </c>
      <c r="D1130" s="1985"/>
      <c r="E1130" s="1985"/>
      <c r="F1130" s="1986">
        <v>223825</v>
      </c>
      <c r="G1130" s="1986">
        <v>223825</v>
      </c>
      <c r="I1130" s="1988">
        <f t="shared" si="17"/>
        <v>0</v>
      </c>
    </row>
    <row r="1131" spans="1:9" s="1987" customFormat="1" x14ac:dyDescent="0.25">
      <c r="A1131" s="1984" t="s">
        <v>3994</v>
      </c>
      <c r="B1131" s="1985"/>
      <c r="C1131" s="8" t="s">
        <v>2932</v>
      </c>
      <c r="D1131" s="1985"/>
      <c r="E1131" s="1985"/>
      <c r="F1131" s="1986">
        <v>0</v>
      </c>
      <c r="G1131" s="1986">
        <v>0</v>
      </c>
      <c r="I1131" s="1988">
        <f t="shared" si="17"/>
        <v>0</v>
      </c>
    </row>
    <row r="1132" spans="1:9" s="1987" customFormat="1" x14ac:dyDescent="0.25">
      <c r="A1132" s="1984" t="s">
        <v>3995</v>
      </c>
      <c r="B1132" s="1985"/>
      <c r="C1132" s="8" t="s">
        <v>2933</v>
      </c>
      <c r="D1132" s="1985"/>
      <c r="E1132" s="1985"/>
      <c r="F1132" s="1986">
        <v>42006.25</v>
      </c>
      <c r="G1132" s="1986">
        <v>42006.25</v>
      </c>
      <c r="I1132" s="1988">
        <f t="shared" si="17"/>
        <v>0</v>
      </c>
    </row>
    <row r="1133" spans="1:9" s="1987" customFormat="1" x14ac:dyDescent="0.25">
      <c r="A1133" s="8" t="s">
        <v>3290</v>
      </c>
      <c r="B1133" s="1985"/>
      <c r="C1133" s="8" t="s">
        <v>2934</v>
      </c>
      <c r="D1133" s="1985"/>
      <c r="E1133" s="1985"/>
      <c r="F1133" s="1986">
        <v>1500.31</v>
      </c>
      <c r="G1133" s="1986">
        <v>2000</v>
      </c>
      <c r="I1133" s="1988">
        <f t="shared" si="17"/>
        <v>0</v>
      </c>
    </row>
    <row r="1134" spans="1:9" x14ac:dyDescent="0.25">
      <c r="A1134" s="1" t="s">
        <v>3990</v>
      </c>
      <c r="B1134" s="1936"/>
      <c r="C1134" t="s">
        <v>1158</v>
      </c>
      <c r="D1134" s="1936"/>
      <c r="E1134" s="1936"/>
      <c r="F1134" s="1941">
        <v>130236.98</v>
      </c>
      <c r="G1134" s="1941">
        <v>130236.98</v>
      </c>
      <c r="I1134" s="1938">
        <f t="shared" si="17"/>
        <v>0</v>
      </c>
    </row>
    <row r="1135" spans="1:9" x14ac:dyDescent="0.25">
      <c r="A1135" s="1" t="s">
        <v>3991</v>
      </c>
      <c r="B1135" s="1936"/>
      <c r="C1135" t="s">
        <v>2935</v>
      </c>
      <c r="D1135" s="1936"/>
      <c r="E1135" s="1936"/>
      <c r="F1135" s="1941">
        <v>7745.39</v>
      </c>
      <c r="G1135" s="1941">
        <v>7745.39</v>
      </c>
      <c r="I1135" s="1938">
        <f t="shared" si="17"/>
        <v>0</v>
      </c>
    </row>
    <row r="1136" spans="1:9" x14ac:dyDescent="0.25">
      <c r="A1136" t="s">
        <v>513</v>
      </c>
      <c r="B1136" s="1936"/>
      <c r="C1136" t="s">
        <v>458</v>
      </c>
      <c r="D1136" s="1936"/>
      <c r="E1136" s="1936"/>
      <c r="F1136" s="1941">
        <v>3146531.25</v>
      </c>
      <c r="G1136" s="1941">
        <v>3147031.25</v>
      </c>
      <c r="I1136" s="1938">
        <f t="shared" si="17"/>
        <v>0</v>
      </c>
    </row>
    <row r="1137" spans="1:9" x14ac:dyDescent="0.25">
      <c r="A1137" t="s">
        <v>3289</v>
      </c>
      <c r="B1137" s="1936"/>
      <c r="C1137" t="s">
        <v>2936</v>
      </c>
      <c r="D1137" s="1936"/>
      <c r="E1137" s="1936"/>
      <c r="F1137" s="1941">
        <v>0</v>
      </c>
      <c r="G1137" s="1941">
        <v>0</v>
      </c>
      <c r="I1137" s="1938">
        <f t="shared" si="17"/>
        <v>0</v>
      </c>
    </row>
    <row r="1138" spans="1:9" x14ac:dyDescent="0.25">
      <c r="A1138" t="s">
        <v>3288</v>
      </c>
      <c r="B1138" s="1936"/>
      <c r="C1138" t="s">
        <v>2937</v>
      </c>
      <c r="D1138" s="1936"/>
      <c r="E1138" s="1936"/>
      <c r="F1138" s="1941">
        <v>0</v>
      </c>
      <c r="G1138" s="1941">
        <v>0</v>
      </c>
      <c r="I1138" s="1938">
        <f t="shared" si="17"/>
        <v>0</v>
      </c>
    </row>
    <row r="1139" spans="1:9" x14ac:dyDescent="0.25">
      <c r="A1139" t="s">
        <v>3714</v>
      </c>
      <c r="B1139" s="1936"/>
      <c r="C1139" t="s">
        <v>1158</v>
      </c>
      <c r="D1139" s="1936"/>
      <c r="E1139" s="1936"/>
      <c r="F1139" s="1941">
        <v>0</v>
      </c>
      <c r="G1139" s="1941">
        <v>0</v>
      </c>
      <c r="I1139" s="1938">
        <f t="shared" si="17"/>
        <v>0</v>
      </c>
    </row>
    <row r="1140" spans="1:9" x14ac:dyDescent="0.25">
      <c r="A1140" t="s">
        <v>3779</v>
      </c>
      <c r="B1140" s="1936"/>
      <c r="C1140" t="s">
        <v>2938</v>
      </c>
      <c r="D1140" s="1936"/>
      <c r="E1140" s="1936"/>
      <c r="F1140" s="1941">
        <v>0</v>
      </c>
      <c r="G1140" s="1941">
        <v>0</v>
      </c>
      <c r="I1140" s="1938">
        <f t="shared" si="17"/>
        <v>0</v>
      </c>
    </row>
    <row r="1141" spans="1:9" x14ac:dyDescent="0.25">
      <c r="A1141" t="s">
        <v>3780</v>
      </c>
      <c r="B1141" s="1936"/>
      <c r="C1141" t="s">
        <v>2939</v>
      </c>
      <c r="D1141" s="1936"/>
      <c r="E1141" s="1936"/>
      <c r="F1141" s="1941">
        <v>0</v>
      </c>
      <c r="G1141" s="1941">
        <v>0</v>
      </c>
      <c r="I1141" s="1938">
        <f t="shared" si="17"/>
        <v>0</v>
      </c>
    </row>
    <row r="1142" spans="1:9" x14ac:dyDescent="0.25">
      <c r="A1142" t="s">
        <v>2801</v>
      </c>
      <c r="B1142" s="1936"/>
      <c r="C1142" t="s">
        <v>2802</v>
      </c>
      <c r="D1142" s="1936"/>
      <c r="E1142" s="1936"/>
      <c r="F1142" s="1941">
        <v>3146531.25</v>
      </c>
      <c r="G1142" s="1941">
        <v>3147031.25</v>
      </c>
      <c r="I1142" s="1938">
        <f t="shared" si="17"/>
        <v>0</v>
      </c>
    </row>
    <row r="1143" spans="1:9" x14ac:dyDescent="0.25">
      <c r="A1143" t="s">
        <v>998</v>
      </c>
      <c r="B1143" s="1936"/>
      <c r="C1143" t="s">
        <v>2940</v>
      </c>
      <c r="D1143" s="1936"/>
      <c r="E1143" s="1936"/>
      <c r="F1143" s="1941">
        <v>-3136102.39</v>
      </c>
      <c r="G1143" s="1941">
        <v>-3146031</v>
      </c>
      <c r="I1143" s="1938">
        <f t="shared" si="17"/>
        <v>-3136102.39</v>
      </c>
    </row>
    <row r="1144" spans="1:9" x14ac:dyDescent="0.25">
      <c r="A1144" t="s">
        <v>998</v>
      </c>
      <c r="B1144" s="1936"/>
      <c r="C1144" t="s">
        <v>2940</v>
      </c>
      <c r="D1144" s="1936"/>
      <c r="E1144" s="1936"/>
      <c r="F1144" s="1941">
        <v>3146531.25</v>
      </c>
      <c r="G1144" s="1941">
        <v>3147031.25</v>
      </c>
      <c r="I1144" s="1938">
        <f t="shared" si="17"/>
        <v>0</v>
      </c>
    </row>
    <row r="1145" spans="1:9" x14ac:dyDescent="0.25">
      <c r="A1145" t="s">
        <v>2941</v>
      </c>
      <c r="B1145" s="1936"/>
      <c r="C1145" t="s">
        <v>2088</v>
      </c>
      <c r="D1145" s="1936"/>
      <c r="E1145" s="1936"/>
      <c r="F1145" s="1941">
        <f>-330446.49-1</f>
        <v>-330447.49</v>
      </c>
      <c r="G1145" s="1941">
        <v>-331982</v>
      </c>
      <c r="I1145" s="1938">
        <f t="shared" si="17"/>
        <v>-330447.49</v>
      </c>
    </row>
    <row r="1146" spans="1:9" x14ac:dyDescent="0.25">
      <c r="A1146" t="s">
        <v>1231</v>
      </c>
      <c r="B1146" s="1936"/>
      <c r="C1146" t="s">
        <v>1231</v>
      </c>
      <c r="D1146" s="1936"/>
      <c r="E1146" s="1936"/>
      <c r="F1146" s="1941">
        <f t="shared" ref="F1146:F1147" si="18">-330446.49-1</f>
        <v>-330447.49</v>
      </c>
      <c r="G1146" s="1941">
        <v>-331982</v>
      </c>
      <c r="I1146" s="1938">
        <f t="shared" si="17"/>
        <v>-330447.49</v>
      </c>
    </row>
    <row r="1147" spans="1:9" x14ac:dyDescent="0.25">
      <c r="A1147" t="s">
        <v>3755</v>
      </c>
      <c r="B1147" s="1936"/>
      <c r="C1147" t="s">
        <v>2805</v>
      </c>
      <c r="D1147" s="1936"/>
      <c r="E1147" s="1936"/>
      <c r="F1147" s="1941">
        <f t="shared" si="18"/>
        <v>-330447.49</v>
      </c>
      <c r="G1147" s="1941">
        <v>-331982</v>
      </c>
      <c r="I1147" s="1938">
        <f t="shared" si="17"/>
        <v>-330447.49</v>
      </c>
    </row>
    <row r="1148" spans="1:9" x14ac:dyDescent="0.25">
      <c r="A1148" t="s">
        <v>2942</v>
      </c>
      <c r="B1148" s="1936"/>
      <c r="C1148" t="s">
        <v>2943</v>
      </c>
      <c r="D1148" s="1936"/>
      <c r="E1148" s="1936"/>
      <c r="F1148" s="1941">
        <v>-858317.5</v>
      </c>
      <c r="G1148" s="1941">
        <v>-850000</v>
      </c>
      <c r="I1148" s="1938">
        <f t="shared" si="17"/>
        <v>-858317.5</v>
      </c>
    </row>
    <row r="1149" spans="1:9" x14ac:dyDescent="0.25">
      <c r="A1149" t="s">
        <v>1231</v>
      </c>
      <c r="B1149" s="1936"/>
      <c r="C1149" t="s">
        <v>1231</v>
      </c>
      <c r="D1149" s="1936"/>
      <c r="E1149" s="1936"/>
      <c r="F1149" s="1941">
        <v>-858317.5</v>
      </c>
      <c r="G1149" s="1941">
        <v>-850000</v>
      </c>
      <c r="I1149" s="1938">
        <f t="shared" si="17"/>
        <v>-858317.5</v>
      </c>
    </row>
    <row r="1150" spans="1:9" x14ac:dyDescent="0.25">
      <c r="A1150" t="s">
        <v>3781</v>
      </c>
      <c r="B1150" s="1936"/>
      <c r="C1150" t="s">
        <v>2944</v>
      </c>
      <c r="D1150" s="1936"/>
      <c r="E1150" s="1936"/>
      <c r="F1150" s="1941">
        <v>-858317.5</v>
      </c>
      <c r="G1150" s="1941">
        <v>-850000</v>
      </c>
      <c r="I1150" s="1938">
        <f t="shared" si="17"/>
        <v>-858317.5</v>
      </c>
    </row>
    <row r="1151" spans="1:9" x14ac:dyDescent="0.25">
      <c r="A1151" t="s">
        <v>2945</v>
      </c>
      <c r="B1151" s="1936"/>
      <c r="C1151" t="s">
        <v>2108</v>
      </c>
      <c r="D1151" s="1936"/>
      <c r="E1151" s="1936"/>
      <c r="F1151" s="1941">
        <v>0</v>
      </c>
      <c r="G1151" s="1941">
        <v>-50</v>
      </c>
      <c r="I1151" s="1938">
        <f t="shared" si="17"/>
        <v>0</v>
      </c>
    </row>
    <row r="1152" spans="1:9" x14ac:dyDescent="0.25">
      <c r="A1152" t="s">
        <v>1231</v>
      </c>
      <c r="B1152" s="1936"/>
      <c r="C1152" t="s">
        <v>1231</v>
      </c>
      <c r="D1152" s="1936"/>
      <c r="E1152" s="1936"/>
      <c r="F1152" s="1941">
        <v>0</v>
      </c>
      <c r="G1152" s="1941">
        <v>-50</v>
      </c>
      <c r="I1152" s="1938">
        <f t="shared" si="17"/>
        <v>0</v>
      </c>
    </row>
    <row r="1153" spans="1:9" x14ac:dyDescent="0.25">
      <c r="A1153" t="s">
        <v>3645</v>
      </c>
      <c r="B1153" s="1936"/>
      <c r="C1153" t="s">
        <v>2109</v>
      </c>
      <c r="D1153" s="1936"/>
      <c r="E1153" s="1936"/>
      <c r="F1153" s="1941">
        <v>0</v>
      </c>
      <c r="G1153" s="1941">
        <v>-50</v>
      </c>
      <c r="I1153" s="1938">
        <f t="shared" si="17"/>
        <v>0</v>
      </c>
    </row>
    <row r="1154" spans="1:9" x14ac:dyDescent="0.25">
      <c r="A1154" t="s">
        <v>3782</v>
      </c>
      <c r="B1154" s="1936"/>
      <c r="C1154" t="s">
        <v>2946</v>
      </c>
      <c r="D1154" s="1936"/>
      <c r="E1154" s="1936"/>
      <c r="F1154" s="1941">
        <v>-13546</v>
      </c>
      <c r="G1154" s="1941">
        <v>-20000</v>
      </c>
      <c r="I1154" s="1938">
        <f t="shared" si="17"/>
        <v>-13546</v>
      </c>
    </row>
    <row r="1155" spans="1:9" x14ac:dyDescent="0.25">
      <c r="A1155" t="s">
        <v>1231</v>
      </c>
      <c r="B1155" s="1936"/>
      <c r="C1155" t="s">
        <v>1231</v>
      </c>
      <c r="D1155" s="1936"/>
      <c r="E1155" s="1936"/>
      <c r="F1155" s="1941">
        <v>-13546</v>
      </c>
      <c r="G1155" s="1941">
        <v>-20000</v>
      </c>
      <c r="I1155" s="1938">
        <f t="shared" si="17"/>
        <v>-13546</v>
      </c>
    </row>
    <row r="1156" spans="1:9" x14ac:dyDescent="0.25">
      <c r="A1156" t="s">
        <v>3656</v>
      </c>
      <c r="B1156" s="1936"/>
      <c r="C1156" t="s">
        <v>2148</v>
      </c>
      <c r="D1156" s="1936"/>
      <c r="E1156" s="1936"/>
      <c r="F1156" s="1941">
        <v>-13546</v>
      </c>
      <c r="G1156" s="1941">
        <v>-20000</v>
      </c>
      <c r="I1156" s="1938">
        <f t="shared" ref="I1156:I1219" si="19">IF(F1156&lt;0,F1156,0)</f>
        <v>-13546</v>
      </c>
    </row>
    <row r="1157" spans="1:9" x14ac:dyDescent="0.25">
      <c r="A1157" t="s">
        <v>3783</v>
      </c>
      <c r="B1157" s="1936"/>
      <c r="C1157" t="s">
        <v>2152</v>
      </c>
      <c r="D1157" s="1936"/>
      <c r="E1157" s="1936"/>
      <c r="F1157" s="1941">
        <v>-16237</v>
      </c>
      <c r="G1157" s="1941">
        <v>-1000</v>
      </c>
      <c r="I1157" s="1938">
        <f t="shared" si="19"/>
        <v>-16237</v>
      </c>
    </row>
    <row r="1158" spans="1:9" x14ac:dyDescent="0.25">
      <c r="A1158" t="s">
        <v>1231</v>
      </c>
      <c r="B1158" s="1936"/>
      <c r="C1158" t="s">
        <v>1231</v>
      </c>
      <c r="D1158" s="1936"/>
      <c r="E1158" s="1936"/>
      <c r="F1158" s="1941">
        <v>-16237</v>
      </c>
      <c r="G1158" s="1941">
        <v>-1000</v>
      </c>
      <c r="I1158" s="1938">
        <f t="shared" si="19"/>
        <v>-16237</v>
      </c>
    </row>
    <row r="1159" spans="1:9" x14ac:dyDescent="0.25">
      <c r="A1159" t="s">
        <v>3661</v>
      </c>
      <c r="B1159" s="1936"/>
      <c r="C1159" t="s">
        <v>2153</v>
      </c>
      <c r="D1159" s="1936"/>
      <c r="E1159" s="1936"/>
      <c r="F1159" s="1941">
        <v>-16237</v>
      </c>
      <c r="G1159" s="1941">
        <v>-1000</v>
      </c>
      <c r="I1159" s="1938">
        <f t="shared" si="19"/>
        <v>-16237</v>
      </c>
    </row>
    <row r="1160" spans="1:9" x14ac:dyDescent="0.25">
      <c r="A1160" t="s">
        <v>591</v>
      </c>
      <c r="B1160" s="1936"/>
      <c r="C1160" t="s">
        <v>2154</v>
      </c>
      <c r="D1160" s="1936"/>
      <c r="E1160" s="1936"/>
      <c r="F1160" s="1941">
        <v>-1218545.99</v>
      </c>
      <c r="G1160" s="1941">
        <v>-1203032</v>
      </c>
      <c r="I1160" s="1938">
        <f t="shared" si="19"/>
        <v>-1218545.99</v>
      </c>
    </row>
    <row r="1161" spans="1:9" x14ac:dyDescent="0.25">
      <c r="A1161" t="s">
        <v>3784</v>
      </c>
      <c r="B1161" s="1936"/>
      <c r="C1161" t="s">
        <v>2947</v>
      </c>
      <c r="D1161" s="1936"/>
      <c r="E1161" s="1936"/>
      <c r="F1161" s="1941">
        <v>-140450.22</v>
      </c>
      <c r="G1161" s="1941">
        <v>-140450</v>
      </c>
      <c r="I1161" s="1938">
        <f t="shared" si="19"/>
        <v>-140450.22</v>
      </c>
    </row>
    <row r="1162" spans="1:9" x14ac:dyDescent="0.25">
      <c r="A1162" t="s">
        <v>1231</v>
      </c>
      <c r="B1162" s="1936"/>
      <c r="C1162" t="s">
        <v>1231</v>
      </c>
      <c r="D1162" s="1936"/>
      <c r="E1162" s="1936"/>
      <c r="F1162" s="1941">
        <v>-140450.22</v>
      </c>
      <c r="G1162" s="1941">
        <v>-140450</v>
      </c>
      <c r="I1162" s="1938">
        <f t="shared" si="19"/>
        <v>-140450.22</v>
      </c>
    </row>
    <row r="1163" spans="1:9" x14ac:dyDescent="0.25">
      <c r="A1163" t="s">
        <v>1425</v>
      </c>
      <c r="B1163" s="1936"/>
      <c r="C1163" t="s">
        <v>2948</v>
      </c>
      <c r="D1163" s="1936"/>
      <c r="E1163" s="1936"/>
      <c r="F1163" s="1941">
        <v>-140450.22</v>
      </c>
      <c r="G1163" s="1941">
        <v>-140450</v>
      </c>
      <c r="I1163" s="1938">
        <f t="shared" si="19"/>
        <v>-140450.22</v>
      </c>
    </row>
    <row r="1164" spans="1:9" x14ac:dyDescent="0.25">
      <c r="A1164" t="s">
        <v>3785</v>
      </c>
      <c r="B1164" s="1936"/>
      <c r="C1164" t="s">
        <v>2949</v>
      </c>
      <c r="D1164" s="1936"/>
      <c r="E1164" s="1936"/>
      <c r="F1164" s="1941">
        <v>-117892.11</v>
      </c>
      <c r="G1164" s="1941">
        <v>-117892</v>
      </c>
      <c r="I1164" s="1938">
        <f t="shared" si="19"/>
        <v>-117892.11</v>
      </c>
    </row>
    <row r="1165" spans="1:9" x14ac:dyDescent="0.25">
      <c r="A1165" t="s">
        <v>1231</v>
      </c>
      <c r="B1165" s="1936"/>
      <c r="C1165" t="s">
        <v>1231</v>
      </c>
      <c r="D1165" s="1936"/>
      <c r="E1165" s="1936"/>
      <c r="F1165" s="1941">
        <v>-117892.11</v>
      </c>
      <c r="G1165" s="1941">
        <v>-117892</v>
      </c>
      <c r="I1165" s="1938">
        <f t="shared" si="19"/>
        <v>-117892.11</v>
      </c>
    </row>
    <row r="1166" spans="1:9" x14ac:dyDescent="0.25">
      <c r="A1166" t="s">
        <v>1426</v>
      </c>
      <c r="B1166" s="1936"/>
      <c r="C1166" t="s">
        <v>2950</v>
      </c>
      <c r="D1166" s="1936"/>
      <c r="E1166" s="1936"/>
      <c r="F1166" s="1941">
        <v>-117892.11</v>
      </c>
      <c r="G1166" s="1941">
        <v>-117892</v>
      </c>
      <c r="I1166" s="1938">
        <f t="shared" si="19"/>
        <v>-117892.11</v>
      </c>
    </row>
    <row r="1167" spans="1:9" x14ac:dyDescent="0.25">
      <c r="A1167" t="s">
        <v>596</v>
      </c>
      <c r="B1167" s="1936"/>
      <c r="C1167" t="s">
        <v>2176</v>
      </c>
      <c r="D1167" s="1936"/>
      <c r="E1167" s="1936"/>
      <c r="F1167" s="1941">
        <v>-258342.33</v>
      </c>
      <c r="G1167" s="1941">
        <v>-258342</v>
      </c>
      <c r="I1167" s="1938">
        <f t="shared" si="19"/>
        <v>-258342.33</v>
      </c>
    </row>
    <row r="1168" spans="1:9" x14ac:dyDescent="0.25">
      <c r="A1168" t="s">
        <v>3786</v>
      </c>
      <c r="B1168" s="1936"/>
      <c r="C1168" t="s">
        <v>2951</v>
      </c>
      <c r="D1168" s="1936"/>
      <c r="E1168" s="1936"/>
      <c r="F1168" s="1941">
        <v>-772509</v>
      </c>
      <c r="G1168" s="1941">
        <v>-772509</v>
      </c>
      <c r="I1168" s="1938">
        <f t="shared" si="19"/>
        <v>-772509</v>
      </c>
    </row>
    <row r="1169" spans="1:9" x14ac:dyDescent="0.25">
      <c r="A1169" t="s">
        <v>1231</v>
      </c>
      <c r="B1169" s="1936"/>
      <c r="C1169" t="s">
        <v>1231</v>
      </c>
      <c r="D1169" s="1936"/>
      <c r="E1169" s="1936"/>
      <c r="F1169" s="1941">
        <v>-772509</v>
      </c>
      <c r="G1169" s="1941">
        <v>-772509</v>
      </c>
      <c r="I1169" s="1938">
        <f t="shared" si="19"/>
        <v>-772509</v>
      </c>
    </row>
    <row r="1170" spans="1:9" x14ac:dyDescent="0.25">
      <c r="A1170" t="s">
        <v>3706</v>
      </c>
      <c r="B1170" s="1936"/>
      <c r="C1170" t="s">
        <v>2202</v>
      </c>
      <c r="D1170" s="1936"/>
      <c r="E1170" s="1936"/>
      <c r="F1170" s="1941">
        <v>-772509</v>
      </c>
      <c r="G1170" s="1941">
        <v>-772509</v>
      </c>
      <c r="I1170" s="1938">
        <f t="shared" si="19"/>
        <v>-772509</v>
      </c>
    </row>
    <row r="1171" spans="1:9" x14ac:dyDescent="0.25">
      <c r="A1171" t="s">
        <v>3787</v>
      </c>
      <c r="B1171" s="1936"/>
      <c r="C1171" t="s">
        <v>2173</v>
      </c>
      <c r="D1171" s="1936"/>
      <c r="E1171" s="1936"/>
      <c r="F1171" s="1941">
        <v>0</v>
      </c>
      <c r="G1171" s="1941">
        <v>0</v>
      </c>
      <c r="I1171" s="1938">
        <f t="shared" si="19"/>
        <v>0</v>
      </c>
    </row>
    <row r="1172" spans="1:9" x14ac:dyDescent="0.25">
      <c r="A1172" t="s">
        <v>1231</v>
      </c>
      <c r="B1172" s="1936"/>
      <c r="C1172" t="s">
        <v>1231</v>
      </c>
      <c r="D1172" s="1936"/>
      <c r="E1172" s="1936"/>
      <c r="F1172" s="1941">
        <v>0</v>
      </c>
      <c r="G1172" s="1941">
        <v>0</v>
      </c>
      <c r="I1172" s="1938">
        <f t="shared" si="19"/>
        <v>0</v>
      </c>
    </row>
    <row r="1173" spans="1:9" x14ac:dyDescent="0.25">
      <c r="A1173" t="s">
        <v>3767</v>
      </c>
      <c r="B1173" s="1936"/>
      <c r="C1173" t="s">
        <v>2819</v>
      </c>
      <c r="D1173" s="1936"/>
      <c r="E1173" s="1936"/>
      <c r="F1173" s="1941">
        <v>0</v>
      </c>
      <c r="G1173" s="1941">
        <v>0</v>
      </c>
      <c r="I1173" s="1938">
        <f t="shared" si="19"/>
        <v>0</v>
      </c>
    </row>
    <row r="1174" spans="1:9" x14ac:dyDescent="0.25">
      <c r="A1174" t="s">
        <v>3707</v>
      </c>
      <c r="B1174" s="1936"/>
      <c r="C1174" t="s">
        <v>2203</v>
      </c>
      <c r="D1174" s="1936"/>
      <c r="E1174" s="1936"/>
      <c r="F1174" s="1941">
        <v>-772509</v>
      </c>
      <c r="G1174" s="1941">
        <v>-772509</v>
      </c>
      <c r="I1174" s="1938">
        <f t="shared" si="19"/>
        <v>-772509</v>
      </c>
    </row>
    <row r="1175" spans="1:9" x14ac:dyDescent="0.25">
      <c r="A1175" t="s">
        <v>2204</v>
      </c>
      <c r="B1175" s="1936"/>
      <c r="C1175" t="s">
        <v>82</v>
      </c>
      <c r="D1175" s="1936"/>
      <c r="E1175" s="1936"/>
      <c r="F1175" s="1941">
        <v>-2249397.3199999998</v>
      </c>
      <c r="G1175" s="1941">
        <v>-2233883</v>
      </c>
      <c r="I1175" s="1938">
        <f t="shared" si="19"/>
        <v>-2249397.3199999998</v>
      </c>
    </row>
    <row r="1176" spans="1:9" x14ac:dyDescent="0.25">
      <c r="A1176" t="s">
        <v>3287</v>
      </c>
      <c r="B1176" s="1936"/>
      <c r="C1176" t="s">
        <v>2952</v>
      </c>
      <c r="D1176" s="1936"/>
      <c r="E1176" s="1936"/>
      <c r="F1176" s="1941">
        <v>54851.55</v>
      </c>
      <c r="G1176" s="1941">
        <v>54832</v>
      </c>
      <c r="I1176" s="1938">
        <f t="shared" si="19"/>
        <v>0</v>
      </c>
    </row>
    <row r="1177" spans="1:9" x14ac:dyDescent="0.25">
      <c r="A1177" t="s">
        <v>3286</v>
      </c>
      <c r="B1177" s="1936"/>
      <c r="C1177" t="s">
        <v>2953</v>
      </c>
      <c r="D1177" s="1936"/>
      <c r="E1177" s="1936"/>
      <c r="F1177" s="1941">
        <v>9510.51</v>
      </c>
      <c r="G1177" s="1941">
        <v>5000</v>
      </c>
      <c r="I1177" s="1938">
        <f t="shared" si="19"/>
        <v>0</v>
      </c>
    </row>
    <row r="1178" spans="1:9" x14ac:dyDescent="0.25">
      <c r="A1178" t="s">
        <v>3285</v>
      </c>
      <c r="B1178" s="1936"/>
      <c r="C1178" t="s">
        <v>2954</v>
      </c>
      <c r="D1178" s="1936"/>
      <c r="E1178" s="1936"/>
      <c r="F1178" s="1941">
        <v>45768</v>
      </c>
      <c r="G1178" s="1941">
        <v>45768</v>
      </c>
      <c r="I1178" s="1938">
        <f t="shared" si="19"/>
        <v>0</v>
      </c>
    </row>
    <row r="1179" spans="1:9" x14ac:dyDescent="0.25">
      <c r="A1179" t="s">
        <v>3284</v>
      </c>
      <c r="B1179" s="1936"/>
      <c r="C1179" t="s">
        <v>2955</v>
      </c>
      <c r="D1179" s="1936"/>
      <c r="E1179" s="1936"/>
      <c r="F1179" s="1941">
        <v>269702.68</v>
      </c>
      <c r="G1179" s="1941">
        <v>250000</v>
      </c>
      <c r="I1179" s="1938">
        <f t="shared" si="19"/>
        <v>0</v>
      </c>
    </row>
    <row r="1180" spans="1:9" x14ac:dyDescent="0.25">
      <c r="A1180" t="s">
        <v>3284</v>
      </c>
      <c r="B1180" s="1936"/>
      <c r="C1180" t="s">
        <v>2956</v>
      </c>
      <c r="D1180" s="1936"/>
      <c r="E1180" s="1936"/>
      <c r="F1180" s="1941">
        <v>97793.84</v>
      </c>
      <c r="G1180" s="1941">
        <v>96000</v>
      </c>
      <c r="I1180" s="1938">
        <f t="shared" si="19"/>
        <v>0</v>
      </c>
    </row>
    <row r="1181" spans="1:9" x14ac:dyDescent="0.25">
      <c r="A1181" t="s">
        <v>3283</v>
      </c>
      <c r="B1181" s="1936"/>
      <c r="C1181" t="s">
        <v>2957</v>
      </c>
      <c r="D1181" s="1936"/>
      <c r="E1181" s="1936"/>
      <c r="F1181" s="1941">
        <v>31666.09</v>
      </c>
      <c r="G1181" s="1941">
        <v>31650</v>
      </c>
      <c r="I1181" s="1938">
        <f t="shared" si="19"/>
        <v>0</v>
      </c>
    </row>
    <row r="1182" spans="1:9" x14ac:dyDescent="0.25">
      <c r="A1182" t="s">
        <v>3282</v>
      </c>
      <c r="B1182" s="1936"/>
      <c r="C1182" t="s">
        <v>2958</v>
      </c>
      <c r="D1182" s="1936"/>
      <c r="E1182" s="1936"/>
      <c r="F1182" s="1941">
        <v>138424.04999999999</v>
      </c>
      <c r="G1182" s="1941">
        <v>140000</v>
      </c>
      <c r="I1182" s="1938">
        <f t="shared" si="19"/>
        <v>0</v>
      </c>
    </row>
    <row r="1183" spans="1:9" x14ac:dyDescent="0.25">
      <c r="A1183" t="s">
        <v>3282</v>
      </c>
      <c r="B1183" s="1936"/>
      <c r="C1183" t="s">
        <v>2959</v>
      </c>
      <c r="D1183" s="1936"/>
      <c r="E1183" s="1936"/>
      <c r="F1183" s="1941">
        <v>73168.05</v>
      </c>
      <c r="G1183" s="1941">
        <v>71000</v>
      </c>
      <c r="I1183" s="1938">
        <f t="shared" si="19"/>
        <v>0</v>
      </c>
    </row>
    <row r="1184" spans="1:9" x14ac:dyDescent="0.25">
      <c r="A1184" t="s">
        <v>3281</v>
      </c>
      <c r="B1184" s="1936"/>
      <c r="C1184" t="s">
        <v>2960</v>
      </c>
      <c r="D1184" s="1936"/>
      <c r="E1184" s="1936"/>
      <c r="F1184" s="1941">
        <v>15261</v>
      </c>
      <c r="G1184" s="1941">
        <v>13000</v>
      </c>
      <c r="I1184" s="1938">
        <f t="shared" si="19"/>
        <v>0</v>
      </c>
    </row>
    <row r="1185" spans="1:9" x14ac:dyDescent="0.25">
      <c r="A1185" t="s">
        <v>3280</v>
      </c>
      <c r="B1185" s="1936"/>
      <c r="C1185" t="s">
        <v>2961</v>
      </c>
      <c r="D1185" s="1936"/>
      <c r="E1185" s="1936"/>
      <c r="F1185" s="1941">
        <v>12125</v>
      </c>
      <c r="G1185" s="1941">
        <v>14500</v>
      </c>
      <c r="I1185" s="1938">
        <f t="shared" si="19"/>
        <v>0</v>
      </c>
    </row>
    <row r="1186" spans="1:9" x14ac:dyDescent="0.25">
      <c r="A1186" t="s">
        <v>3279</v>
      </c>
      <c r="B1186" s="1936"/>
      <c r="C1186" t="s">
        <v>2962</v>
      </c>
      <c r="D1186" s="1936"/>
      <c r="E1186" s="1936"/>
      <c r="F1186" s="1941">
        <v>55923.01</v>
      </c>
      <c r="G1186" s="1941">
        <v>75000</v>
      </c>
      <c r="I1186" s="1938">
        <f t="shared" si="19"/>
        <v>0</v>
      </c>
    </row>
    <row r="1187" spans="1:9" x14ac:dyDescent="0.25">
      <c r="A1187" t="s">
        <v>3278</v>
      </c>
      <c r="B1187" s="1936"/>
      <c r="C1187" t="s">
        <v>2963</v>
      </c>
      <c r="D1187" s="1936"/>
      <c r="E1187" s="1936"/>
      <c r="F1187" s="1941">
        <v>47753.88</v>
      </c>
      <c r="G1187" s="1941">
        <v>50000</v>
      </c>
      <c r="I1187" s="1938">
        <f t="shared" si="19"/>
        <v>0</v>
      </c>
    </row>
    <row r="1188" spans="1:9" x14ac:dyDescent="0.25">
      <c r="A1188" t="s">
        <v>3277</v>
      </c>
      <c r="B1188" s="1936"/>
      <c r="C1188" t="s">
        <v>2964</v>
      </c>
      <c r="D1188" s="1936"/>
      <c r="E1188" s="1936"/>
      <c r="F1188" s="1941">
        <v>0</v>
      </c>
      <c r="G1188" s="1941">
        <v>5000</v>
      </c>
      <c r="I1188" s="1938">
        <f t="shared" si="19"/>
        <v>0</v>
      </c>
    </row>
    <row r="1189" spans="1:9" x14ac:dyDescent="0.25">
      <c r="A1189" t="s">
        <v>3638</v>
      </c>
      <c r="B1189" s="1936"/>
      <c r="C1189" t="s">
        <v>203</v>
      </c>
      <c r="D1189" s="1936"/>
      <c r="E1189" s="1936"/>
      <c r="F1189" s="1941">
        <v>851947.88</v>
      </c>
      <c r="G1189" s="1941">
        <v>851750</v>
      </c>
      <c r="I1189" s="1938">
        <f t="shared" si="19"/>
        <v>0</v>
      </c>
    </row>
    <row r="1190" spans="1:9" x14ac:dyDescent="0.25">
      <c r="A1190" t="s">
        <v>3276</v>
      </c>
      <c r="B1190" s="1936"/>
      <c r="C1190" t="s">
        <v>2965</v>
      </c>
      <c r="D1190" s="1936"/>
      <c r="E1190" s="1936"/>
      <c r="F1190" s="1941">
        <v>54059.98</v>
      </c>
      <c r="G1190" s="1941">
        <v>54745</v>
      </c>
      <c r="I1190" s="1938">
        <f t="shared" si="19"/>
        <v>0</v>
      </c>
    </row>
    <row r="1191" spans="1:9" x14ac:dyDescent="0.25">
      <c r="A1191" t="s">
        <v>3275</v>
      </c>
      <c r="B1191" s="1936"/>
      <c r="C1191" t="s">
        <v>2966</v>
      </c>
      <c r="D1191" s="1936"/>
      <c r="E1191" s="1936"/>
      <c r="F1191" s="1941">
        <v>1656.72</v>
      </c>
      <c r="G1191" s="1941">
        <v>1667</v>
      </c>
      <c r="I1191" s="1938">
        <f t="shared" si="19"/>
        <v>0</v>
      </c>
    </row>
    <row r="1192" spans="1:9" x14ac:dyDescent="0.25">
      <c r="A1192" t="s">
        <v>3708</v>
      </c>
      <c r="B1192" s="1936"/>
      <c r="C1192" t="s">
        <v>51</v>
      </c>
      <c r="D1192" s="1936"/>
      <c r="E1192" s="1936"/>
      <c r="F1192" s="1941">
        <v>55716.7</v>
      </c>
      <c r="G1192" s="1941">
        <v>56412</v>
      </c>
      <c r="I1192" s="1938">
        <f t="shared" si="19"/>
        <v>0</v>
      </c>
    </row>
    <row r="1193" spans="1:9" x14ac:dyDescent="0.25">
      <c r="A1193" t="s">
        <v>3274</v>
      </c>
      <c r="B1193" s="1936"/>
      <c r="C1193" t="s">
        <v>2967</v>
      </c>
      <c r="D1193" s="1936"/>
      <c r="E1193" s="1936"/>
      <c r="F1193" s="1941">
        <v>9086.25</v>
      </c>
      <c r="G1193" s="1941">
        <v>9000</v>
      </c>
      <c r="I1193" s="1938">
        <f t="shared" si="19"/>
        <v>0</v>
      </c>
    </row>
    <row r="1194" spans="1:9" x14ac:dyDescent="0.25">
      <c r="A1194" t="s">
        <v>3273</v>
      </c>
      <c r="B1194" s="1936"/>
      <c r="C1194" t="s">
        <v>2968</v>
      </c>
      <c r="D1194" s="1936"/>
      <c r="E1194" s="1936"/>
      <c r="F1194" s="1941">
        <v>946.27</v>
      </c>
      <c r="G1194" s="1941">
        <v>1200</v>
      </c>
      <c r="I1194" s="1938">
        <f t="shared" si="19"/>
        <v>0</v>
      </c>
    </row>
    <row r="1195" spans="1:9" x14ac:dyDescent="0.25">
      <c r="A1195" t="s">
        <v>3272</v>
      </c>
      <c r="B1195" s="1936"/>
      <c r="C1195" t="s">
        <v>2969</v>
      </c>
      <c r="D1195" s="1936"/>
      <c r="E1195" s="1936"/>
      <c r="F1195" s="1941">
        <v>13852.23</v>
      </c>
      <c r="G1195" s="1941">
        <v>40000</v>
      </c>
      <c r="I1195" s="1938">
        <f t="shared" si="19"/>
        <v>0</v>
      </c>
    </row>
    <row r="1196" spans="1:9" x14ac:dyDescent="0.25">
      <c r="A1196" t="s">
        <v>3271</v>
      </c>
      <c r="B1196" s="1936"/>
      <c r="C1196" t="s">
        <v>2970</v>
      </c>
      <c r="D1196" s="1936"/>
      <c r="E1196" s="1936"/>
      <c r="F1196" s="1941">
        <v>4700</v>
      </c>
      <c r="G1196" s="1941">
        <v>5000</v>
      </c>
      <c r="I1196" s="1938">
        <f t="shared" si="19"/>
        <v>0</v>
      </c>
    </row>
    <row r="1197" spans="1:9" x14ac:dyDescent="0.25">
      <c r="A1197" t="s">
        <v>3270</v>
      </c>
      <c r="B1197" s="1936"/>
      <c r="C1197" t="s">
        <v>2971</v>
      </c>
      <c r="D1197" s="1936"/>
      <c r="E1197" s="1936"/>
      <c r="F1197" s="1941">
        <v>1609.03</v>
      </c>
      <c r="G1197" s="1941">
        <v>750</v>
      </c>
      <c r="I1197" s="1938">
        <f t="shared" si="19"/>
        <v>0</v>
      </c>
    </row>
    <row r="1198" spans="1:9" x14ac:dyDescent="0.25">
      <c r="A1198" t="s">
        <v>3269</v>
      </c>
      <c r="B1198" s="1936"/>
      <c r="C1198" t="s">
        <v>2972</v>
      </c>
      <c r="D1198" s="1936"/>
      <c r="E1198" s="1936"/>
      <c r="F1198" s="1941">
        <v>1100.0999999999999</v>
      </c>
      <c r="G1198" s="1941">
        <v>900</v>
      </c>
      <c r="I1198" s="1938">
        <f t="shared" si="19"/>
        <v>0</v>
      </c>
    </row>
    <row r="1199" spans="1:9" x14ac:dyDescent="0.25">
      <c r="A1199" t="s">
        <v>3268</v>
      </c>
      <c r="B1199" s="1936"/>
      <c r="C1199" t="s">
        <v>2973</v>
      </c>
      <c r="D1199" s="1936"/>
      <c r="E1199" s="1936"/>
      <c r="F1199" s="1941">
        <v>424.24</v>
      </c>
      <c r="G1199" s="1941">
        <v>500</v>
      </c>
      <c r="I1199" s="1938">
        <f t="shared" si="19"/>
        <v>0</v>
      </c>
    </row>
    <row r="1200" spans="1:9" x14ac:dyDescent="0.25">
      <c r="A1200" t="s">
        <v>3267</v>
      </c>
      <c r="B1200" s="1936"/>
      <c r="C1200" t="s">
        <v>2974</v>
      </c>
      <c r="D1200" s="1936"/>
      <c r="E1200" s="1936"/>
      <c r="F1200" s="1941">
        <v>366.32</v>
      </c>
      <c r="G1200" s="1941">
        <v>500</v>
      </c>
      <c r="I1200" s="1938">
        <f t="shared" si="19"/>
        <v>0</v>
      </c>
    </row>
    <row r="1201" spans="1:9" x14ac:dyDescent="0.25">
      <c r="A1201" t="s">
        <v>3266</v>
      </c>
      <c r="B1201" s="1936"/>
      <c r="C1201" t="s">
        <v>2975</v>
      </c>
      <c r="D1201" s="1936"/>
      <c r="E1201" s="1936"/>
      <c r="F1201" s="1941">
        <v>34169</v>
      </c>
      <c r="G1201" s="1941">
        <v>35000</v>
      </c>
      <c r="I1201" s="1938">
        <f t="shared" si="19"/>
        <v>0</v>
      </c>
    </row>
    <row r="1202" spans="1:9" x14ac:dyDescent="0.25">
      <c r="A1202" t="s">
        <v>3709</v>
      </c>
      <c r="B1202" s="1936"/>
      <c r="C1202" t="s">
        <v>1162</v>
      </c>
      <c r="D1202" s="1936"/>
      <c r="E1202" s="1936"/>
      <c r="F1202" s="1941">
        <v>66253.440000000002</v>
      </c>
      <c r="G1202" s="1941">
        <v>92850</v>
      </c>
      <c r="I1202" s="1938">
        <f t="shared" si="19"/>
        <v>0</v>
      </c>
    </row>
    <row r="1203" spans="1:9" x14ac:dyDescent="0.25">
      <c r="A1203" t="s">
        <v>3265</v>
      </c>
      <c r="B1203" s="1936"/>
      <c r="C1203" t="s">
        <v>2976</v>
      </c>
      <c r="D1203" s="1936"/>
      <c r="E1203" s="1936"/>
      <c r="F1203" s="1941">
        <v>68471.63</v>
      </c>
      <c r="G1203" s="1941">
        <v>95000</v>
      </c>
      <c r="I1203" s="1938">
        <f t="shared" si="19"/>
        <v>0</v>
      </c>
    </row>
    <row r="1204" spans="1:9" x14ac:dyDescent="0.25">
      <c r="A1204" t="s">
        <v>3264</v>
      </c>
      <c r="B1204" s="1936"/>
      <c r="C1204" t="s">
        <v>2977</v>
      </c>
      <c r="D1204" s="1936"/>
      <c r="E1204" s="1936"/>
      <c r="F1204" s="1941">
        <v>86405.41</v>
      </c>
      <c r="G1204" s="1941">
        <v>85000</v>
      </c>
      <c r="I1204" s="1938">
        <f t="shared" si="19"/>
        <v>0</v>
      </c>
    </row>
    <row r="1205" spans="1:9" x14ac:dyDescent="0.25">
      <c r="A1205" t="s">
        <v>3263</v>
      </c>
      <c r="B1205" s="1936"/>
      <c r="C1205" t="s">
        <v>2978</v>
      </c>
      <c r="D1205" s="1936"/>
      <c r="E1205" s="1936"/>
      <c r="F1205" s="1941">
        <v>2226.88</v>
      </c>
      <c r="G1205" s="1941">
        <v>2300</v>
      </c>
      <c r="I1205" s="1938">
        <f t="shared" si="19"/>
        <v>0</v>
      </c>
    </row>
    <row r="1206" spans="1:9" x14ac:dyDescent="0.25">
      <c r="A1206" t="s">
        <v>3262</v>
      </c>
      <c r="B1206" s="1936"/>
      <c r="C1206" t="s">
        <v>2979</v>
      </c>
      <c r="D1206" s="1936"/>
      <c r="E1206" s="1936"/>
      <c r="F1206" s="1941">
        <v>5865.35</v>
      </c>
      <c r="G1206" s="1941">
        <v>6000</v>
      </c>
      <c r="I1206" s="1938">
        <f t="shared" si="19"/>
        <v>0</v>
      </c>
    </row>
    <row r="1207" spans="1:9" x14ac:dyDescent="0.25">
      <c r="A1207" t="s">
        <v>3710</v>
      </c>
      <c r="B1207" s="1936"/>
      <c r="C1207" t="s">
        <v>2300</v>
      </c>
      <c r="D1207" s="1936"/>
      <c r="E1207" s="1936"/>
      <c r="F1207" s="1941">
        <v>162969.26999999999</v>
      </c>
      <c r="G1207" s="1941">
        <v>188300</v>
      </c>
      <c r="I1207" s="1938">
        <f t="shared" si="19"/>
        <v>0</v>
      </c>
    </row>
    <row r="1208" spans="1:9" x14ac:dyDescent="0.25">
      <c r="A1208" t="s">
        <v>3261</v>
      </c>
      <c r="B1208" s="1936"/>
      <c r="C1208" t="s">
        <v>2980</v>
      </c>
      <c r="D1208" s="1936"/>
      <c r="E1208" s="1936"/>
      <c r="F1208" s="1941">
        <v>640534</v>
      </c>
      <c r="G1208" s="1941">
        <v>828750</v>
      </c>
      <c r="I1208" s="1938">
        <f t="shared" si="19"/>
        <v>0</v>
      </c>
    </row>
    <row r="1209" spans="1:9" x14ac:dyDescent="0.25">
      <c r="A1209" t="s">
        <v>3711</v>
      </c>
      <c r="B1209" s="1936"/>
      <c r="C1209" t="s">
        <v>1157</v>
      </c>
      <c r="D1209" s="1936"/>
      <c r="E1209" s="1936"/>
      <c r="F1209" s="1941">
        <v>640534</v>
      </c>
      <c r="G1209" s="1941">
        <v>828750</v>
      </c>
      <c r="I1209" s="1938">
        <f t="shared" si="19"/>
        <v>0</v>
      </c>
    </row>
    <row r="1210" spans="1:9" x14ac:dyDescent="0.25">
      <c r="A1210" t="s">
        <v>3788</v>
      </c>
      <c r="B1210" s="1936"/>
      <c r="C1210" t="s">
        <v>2981</v>
      </c>
      <c r="D1210" s="1936"/>
      <c r="E1210" s="1936"/>
      <c r="F1210" s="1941">
        <v>1927686.25</v>
      </c>
      <c r="G1210" s="1941">
        <v>2018062</v>
      </c>
      <c r="I1210" s="1938">
        <f t="shared" si="19"/>
        <v>0</v>
      </c>
    </row>
    <row r="1211" spans="1:9" x14ac:dyDescent="0.25">
      <c r="A1211" t="s">
        <v>3260</v>
      </c>
      <c r="B1211" s="1936"/>
      <c r="C1211" t="s">
        <v>2982</v>
      </c>
      <c r="D1211" s="1936"/>
      <c r="E1211" s="1936"/>
      <c r="F1211" s="1941">
        <v>10297.25</v>
      </c>
      <c r="G1211" s="1941">
        <v>6000</v>
      </c>
      <c r="I1211" s="1938">
        <f t="shared" si="19"/>
        <v>0</v>
      </c>
    </row>
    <row r="1212" spans="1:9" x14ac:dyDescent="0.25">
      <c r="A1212" t="s">
        <v>3709</v>
      </c>
      <c r="B1212" s="1936"/>
      <c r="C1212" t="s">
        <v>1162</v>
      </c>
      <c r="D1212" s="1936"/>
      <c r="E1212" s="1936"/>
      <c r="F1212" s="1941">
        <v>10297.25</v>
      </c>
      <c r="G1212" s="1941">
        <v>6000</v>
      </c>
      <c r="I1212" s="1938">
        <f t="shared" si="19"/>
        <v>0</v>
      </c>
    </row>
    <row r="1213" spans="1:9" x14ac:dyDescent="0.25">
      <c r="A1213" t="s">
        <v>3789</v>
      </c>
      <c r="B1213" s="1936"/>
      <c r="C1213" t="s">
        <v>2983</v>
      </c>
      <c r="D1213" s="1936"/>
      <c r="E1213" s="1936"/>
      <c r="F1213" s="1941">
        <v>10297.25</v>
      </c>
      <c r="G1213" s="1941">
        <v>6000</v>
      </c>
      <c r="I1213" s="1938">
        <f t="shared" si="19"/>
        <v>0</v>
      </c>
    </row>
    <row r="1214" spans="1:9" x14ac:dyDescent="0.25">
      <c r="A1214" t="s">
        <v>590</v>
      </c>
      <c r="B1214" s="1936"/>
      <c r="C1214" t="s">
        <v>477</v>
      </c>
      <c r="D1214" s="1936"/>
      <c r="E1214" s="1936"/>
      <c r="F1214" s="1941">
        <v>1937983.5</v>
      </c>
      <c r="G1214" s="1941">
        <v>2024062</v>
      </c>
      <c r="I1214" s="1938">
        <f t="shared" si="19"/>
        <v>0</v>
      </c>
    </row>
    <row r="1215" spans="1:9" x14ac:dyDescent="0.25">
      <c r="A1215" t="s">
        <v>2801</v>
      </c>
      <c r="B1215" s="1936"/>
      <c r="C1215" t="s">
        <v>2802</v>
      </c>
      <c r="D1215" s="1936"/>
      <c r="E1215" s="1936"/>
      <c r="F1215" s="1941">
        <v>1937983.5</v>
      </c>
      <c r="G1215" s="1941">
        <v>2024062</v>
      </c>
      <c r="I1215" s="1938">
        <f t="shared" si="19"/>
        <v>0</v>
      </c>
    </row>
    <row r="1216" spans="1:9" x14ac:dyDescent="0.25">
      <c r="A1216" t="s">
        <v>999</v>
      </c>
      <c r="B1216" s="1936"/>
      <c r="C1216" t="s">
        <v>359</v>
      </c>
      <c r="D1216" s="1936"/>
      <c r="E1216" s="1936"/>
      <c r="F1216" s="1941">
        <v>-2249397.3199999998</v>
      </c>
      <c r="G1216" s="1941">
        <v>-2233883</v>
      </c>
      <c r="I1216" s="1938">
        <f t="shared" si="19"/>
        <v>-2249397.3199999998</v>
      </c>
    </row>
    <row r="1217" spans="1:9" x14ac:dyDescent="0.25">
      <c r="A1217" t="s">
        <v>999</v>
      </c>
      <c r="B1217" s="1936"/>
      <c r="C1217" t="s">
        <v>359</v>
      </c>
      <c r="D1217" s="1936"/>
      <c r="E1217" s="1936"/>
      <c r="F1217" s="1941">
        <v>1937983.5</v>
      </c>
      <c r="G1217" s="1941">
        <v>2024062</v>
      </c>
      <c r="I1217" s="1938">
        <f t="shared" si="19"/>
        <v>0</v>
      </c>
    </row>
    <row r="1218" spans="1:9" x14ac:dyDescent="0.25">
      <c r="A1218" t="s">
        <v>2984</v>
      </c>
      <c r="B1218" s="1936"/>
      <c r="C1218" t="s">
        <v>2088</v>
      </c>
      <c r="D1218" s="1936"/>
      <c r="E1218" s="1936"/>
      <c r="F1218" s="1941">
        <v>-343712.58</v>
      </c>
      <c r="G1218" s="1941">
        <v>-345013</v>
      </c>
      <c r="I1218" s="1938">
        <f t="shared" si="19"/>
        <v>-343712.58</v>
      </c>
    </row>
    <row r="1219" spans="1:9" x14ac:dyDescent="0.25">
      <c r="A1219" t="s">
        <v>1231</v>
      </c>
      <c r="B1219" s="1936"/>
      <c r="C1219" t="s">
        <v>1231</v>
      </c>
      <c r="D1219" s="1936"/>
      <c r="E1219" s="1936"/>
      <c r="F1219" s="1941">
        <v>-343712.58</v>
      </c>
      <c r="G1219" s="1941">
        <v>-345013</v>
      </c>
      <c r="I1219" s="1938">
        <f t="shared" si="19"/>
        <v>-343712.58</v>
      </c>
    </row>
    <row r="1220" spans="1:9" x14ac:dyDescent="0.25">
      <c r="A1220" t="s">
        <v>3755</v>
      </c>
      <c r="B1220" s="1936"/>
      <c r="C1220" t="s">
        <v>2805</v>
      </c>
      <c r="D1220" s="1936"/>
      <c r="E1220" s="1936"/>
      <c r="F1220" s="1941">
        <v>-343712.58</v>
      </c>
      <c r="G1220" s="1941">
        <v>-345013</v>
      </c>
      <c r="I1220" s="1938">
        <f t="shared" ref="I1220:I1283" si="20">IF(F1220&lt;0,F1220,0)</f>
        <v>-343712.58</v>
      </c>
    </row>
    <row r="1221" spans="1:9" x14ac:dyDescent="0.25">
      <c r="A1221" t="s">
        <v>2985</v>
      </c>
      <c r="B1221" s="1936"/>
      <c r="C1221" t="s">
        <v>2986</v>
      </c>
      <c r="D1221" s="1936"/>
      <c r="E1221" s="1936"/>
      <c r="F1221" s="1941">
        <v>-418485.15</v>
      </c>
      <c r="G1221" s="1941">
        <v>-420013</v>
      </c>
      <c r="I1221" s="1938">
        <f t="shared" si="20"/>
        <v>-418485.15</v>
      </c>
    </row>
    <row r="1222" spans="1:9" x14ac:dyDescent="0.25">
      <c r="A1222" t="s">
        <v>1231</v>
      </c>
      <c r="B1222" s="1936"/>
      <c r="C1222" t="s">
        <v>1231</v>
      </c>
      <c r="D1222" s="1936"/>
      <c r="E1222" s="1936"/>
      <c r="F1222" s="1941">
        <v>-418485.15</v>
      </c>
      <c r="G1222" s="1941">
        <v>-420013</v>
      </c>
      <c r="I1222" s="1938">
        <f t="shared" si="20"/>
        <v>-418485.15</v>
      </c>
    </row>
    <row r="1223" spans="1:9" x14ac:dyDescent="0.25">
      <c r="A1223" t="s">
        <v>3790</v>
      </c>
      <c r="B1223" s="1936"/>
      <c r="C1223" t="s">
        <v>2987</v>
      </c>
      <c r="D1223" s="1936"/>
      <c r="E1223" s="1936"/>
      <c r="F1223" s="1941">
        <v>-418485.15</v>
      </c>
      <c r="G1223" s="1941">
        <v>-420013</v>
      </c>
      <c r="I1223" s="1938">
        <f t="shared" si="20"/>
        <v>-418485.15</v>
      </c>
    </row>
    <row r="1224" spans="1:9" x14ac:dyDescent="0.25">
      <c r="A1224" t="s">
        <v>2988</v>
      </c>
      <c r="B1224" s="1936"/>
      <c r="C1224" t="s">
        <v>2099</v>
      </c>
      <c r="D1224" s="1936"/>
      <c r="E1224" s="1936"/>
      <c r="F1224" s="1941">
        <v>-146574</v>
      </c>
      <c r="G1224" s="1941">
        <v>-158075</v>
      </c>
      <c r="I1224" s="1938">
        <f t="shared" si="20"/>
        <v>-146574</v>
      </c>
    </row>
    <row r="1225" spans="1:9" x14ac:dyDescent="0.25">
      <c r="A1225" t="s">
        <v>1231</v>
      </c>
      <c r="B1225" s="1936"/>
      <c r="C1225" t="s">
        <v>1231</v>
      </c>
      <c r="D1225" s="1936"/>
      <c r="E1225" s="1936"/>
      <c r="F1225" s="1941">
        <v>-146574</v>
      </c>
      <c r="G1225" s="1941">
        <v>-158075</v>
      </c>
      <c r="I1225" s="1938">
        <f t="shared" si="20"/>
        <v>-146574</v>
      </c>
    </row>
    <row r="1226" spans="1:9" x14ac:dyDescent="0.25">
      <c r="A1226" t="s">
        <v>3642</v>
      </c>
      <c r="B1226" s="1936"/>
      <c r="C1226" t="s">
        <v>2100</v>
      </c>
      <c r="D1226" s="1936"/>
      <c r="E1226" s="1936"/>
      <c r="F1226" s="1941">
        <v>-146574</v>
      </c>
      <c r="G1226" s="1941">
        <v>-158075</v>
      </c>
      <c r="I1226" s="1938">
        <f t="shared" si="20"/>
        <v>-146574</v>
      </c>
    </row>
    <row r="1227" spans="1:9" x14ac:dyDescent="0.25">
      <c r="A1227" t="s">
        <v>2989</v>
      </c>
      <c r="B1227" s="1936"/>
      <c r="C1227" t="s">
        <v>2108</v>
      </c>
      <c r="D1227" s="1936"/>
      <c r="E1227" s="1936"/>
      <c r="F1227" s="1941">
        <v>0</v>
      </c>
      <c r="G1227" s="1941">
        <v>-100</v>
      </c>
      <c r="I1227" s="1938">
        <f t="shared" si="20"/>
        <v>0</v>
      </c>
    </row>
    <row r="1228" spans="1:9" x14ac:dyDescent="0.25">
      <c r="A1228" t="s">
        <v>1231</v>
      </c>
      <c r="B1228" s="1936"/>
      <c r="C1228" t="s">
        <v>1231</v>
      </c>
      <c r="D1228" s="1936"/>
      <c r="E1228" s="1936"/>
      <c r="F1228" s="1941">
        <v>0</v>
      </c>
      <c r="G1228" s="1941">
        <v>-100</v>
      </c>
      <c r="I1228" s="1938">
        <f t="shared" si="20"/>
        <v>0</v>
      </c>
    </row>
    <row r="1229" spans="1:9" x14ac:dyDescent="0.25">
      <c r="A1229" t="s">
        <v>3645</v>
      </c>
      <c r="B1229" s="1936"/>
      <c r="C1229" t="s">
        <v>2109</v>
      </c>
      <c r="D1229" s="1936"/>
      <c r="E1229" s="1936"/>
      <c r="F1229" s="1941">
        <v>0</v>
      </c>
      <c r="G1229" s="1941">
        <v>-100</v>
      </c>
      <c r="I1229" s="1938">
        <f t="shared" si="20"/>
        <v>0</v>
      </c>
    </row>
    <row r="1230" spans="1:9" x14ac:dyDescent="0.25">
      <c r="A1230" t="s">
        <v>591</v>
      </c>
      <c r="B1230" s="1936"/>
      <c r="C1230" t="s">
        <v>2154</v>
      </c>
      <c r="D1230" s="1936"/>
      <c r="E1230" s="1936"/>
      <c r="F1230" s="1941">
        <v>-920272.73</v>
      </c>
      <c r="G1230" s="1941">
        <v>-923201</v>
      </c>
      <c r="I1230" s="1938">
        <f t="shared" si="20"/>
        <v>-920272.73</v>
      </c>
    </row>
    <row r="1231" spans="1:9" x14ac:dyDescent="0.25">
      <c r="A1231" t="s">
        <v>2204</v>
      </c>
      <c r="B1231" s="1936"/>
      <c r="C1231" t="s">
        <v>82</v>
      </c>
      <c r="D1231" s="1936"/>
      <c r="E1231" s="1936"/>
      <c r="F1231" s="1941">
        <v>-920272.73</v>
      </c>
      <c r="G1231" s="1941">
        <v>-923201</v>
      </c>
      <c r="I1231" s="1938">
        <f t="shared" si="20"/>
        <v>-920272.73</v>
      </c>
    </row>
    <row r="1232" spans="1:9" x14ac:dyDescent="0.25">
      <c r="A1232" t="s">
        <v>3923</v>
      </c>
      <c r="B1232" s="1936"/>
      <c r="C1232" t="s">
        <v>2990</v>
      </c>
      <c r="D1232" s="1936"/>
      <c r="E1232" s="1936"/>
      <c r="F1232" s="1941">
        <v>6964.48</v>
      </c>
      <c r="G1232" s="1941">
        <v>6955</v>
      </c>
      <c r="I1232" s="1938">
        <f t="shared" si="20"/>
        <v>0</v>
      </c>
    </row>
    <row r="1233" spans="1:9" x14ac:dyDescent="0.25">
      <c r="A1233" t="s">
        <v>3924</v>
      </c>
      <c r="B1233" s="1936"/>
      <c r="C1233" t="s">
        <v>2770</v>
      </c>
      <c r="D1233" s="1983">
        <f>SUMIF(A1232:A1444,"5-*-212",F1232:F1444)</f>
        <v>457160.85</v>
      </c>
      <c r="E1233" s="1936"/>
      <c r="F1233" s="1941">
        <v>0</v>
      </c>
      <c r="G1233" s="1941">
        <v>0</v>
      </c>
      <c r="I1233" s="1938">
        <f t="shared" si="20"/>
        <v>0</v>
      </c>
    </row>
    <row r="1234" spans="1:9" x14ac:dyDescent="0.25">
      <c r="A1234" t="s">
        <v>3924</v>
      </c>
      <c r="B1234" s="1936"/>
      <c r="C1234" t="s">
        <v>2770</v>
      </c>
      <c r="D1234" s="1936"/>
      <c r="E1234" s="1936"/>
      <c r="F1234" s="1941">
        <v>0</v>
      </c>
      <c r="G1234" s="1941">
        <v>0</v>
      </c>
      <c r="I1234" s="1938">
        <f t="shared" si="20"/>
        <v>0</v>
      </c>
    </row>
    <row r="1235" spans="1:9" x14ac:dyDescent="0.25">
      <c r="A1235" t="s">
        <v>3924</v>
      </c>
      <c r="B1235" s="1936"/>
      <c r="C1235" t="s">
        <v>2770</v>
      </c>
      <c r="D1235" s="1936"/>
      <c r="E1235" s="1936"/>
      <c r="F1235" s="1941">
        <v>0</v>
      </c>
      <c r="G1235" s="1941">
        <v>0</v>
      </c>
      <c r="I1235" s="1938">
        <f t="shared" si="20"/>
        <v>0</v>
      </c>
    </row>
    <row r="1236" spans="1:9" x14ac:dyDescent="0.25">
      <c r="A1236" t="s">
        <v>3924</v>
      </c>
      <c r="B1236" s="1936"/>
      <c r="C1236" t="s">
        <v>2770</v>
      </c>
      <c r="D1236" s="1936"/>
      <c r="E1236" s="1936"/>
      <c r="F1236" s="1941">
        <v>0</v>
      </c>
      <c r="G1236" s="1941">
        <v>0</v>
      </c>
      <c r="I1236" s="1938">
        <f t="shared" si="20"/>
        <v>0</v>
      </c>
    </row>
    <row r="1237" spans="1:9" x14ac:dyDescent="0.25">
      <c r="A1237" t="s">
        <v>3924</v>
      </c>
      <c r="B1237" s="1936"/>
      <c r="C1237" t="s">
        <v>2770</v>
      </c>
      <c r="D1237" s="1936"/>
      <c r="E1237" s="1936"/>
      <c r="F1237" s="1941">
        <v>0</v>
      </c>
      <c r="G1237" s="1941">
        <v>0</v>
      </c>
      <c r="I1237" s="1938">
        <f t="shared" si="20"/>
        <v>0</v>
      </c>
    </row>
    <row r="1238" spans="1:9" x14ac:dyDescent="0.25">
      <c r="A1238" t="s">
        <v>3924</v>
      </c>
      <c r="B1238" s="1936"/>
      <c r="C1238" t="s">
        <v>2991</v>
      </c>
      <c r="D1238" s="1936"/>
      <c r="E1238" s="1936"/>
      <c r="F1238" s="1941">
        <v>7603.89</v>
      </c>
      <c r="G1238" s="1941">
        <v>7712</v>
      </c>
      <c r="I1238" s="1938">
        <f t="shared" si="20"/>
        <v>0</v>
      </c>
    </row>
    <row r="1239" spans="1:9" x14ac:dyDescent="0.25">
      <c r="A1239" t="s">
        <v>3925</v>
      </c>
      <c r="B1239" s="1936"/>
      <c r="C1239" t="s">
        <v>2992</v>
      </c>
      <c r="D1239" s="1936"/>
      <c r="E1239" s="1936"/>
      <c r="F1239" s="1941">
        <v>13371.64</v>
      </c>
      <c r="G1239" s="1941">
        <v>13372</v>
      </c>
      <c r="I1239" s="1938">
        <f t="shared" si="20"/>
        <v>0</v>
      </c>
    </row>
    <row r="1240" spans="1:9" x14ac:dyDescent="0.25">
      <c r="A1240" t="s">
        <v>3925</v>
      </c>
      <c r="B1240" s="1936"/>
      <c r="C1240" t="s">
        <v>2993</v>
      </c>
      <c r="D1240" s="1936"/>
      <c r="E1240" s="1936"/>
      <c r="F1240" s="1941">
        <v>10900.37</v>
      </c>
      <c r="G1240" s="1941">
        <v>10902</v>
      </c>
      <c r="I1240" s="1938">
        <f t="shared" si="20"/>
        <v>0</v>
      </c>
    </row>
    <row r="1241" spans="1:9" x14ac:dyDescent="0.25">
      <c r="A1241" t="s">
        <v>3925</v>
      </c>
      <c r="B1241" s="1936"/>
      <c r="C1241" t="s">
        <v>2994</v>
      </c>
      <c r="D1241" s="1936"/>
      <c r="E1241" s="1936"/>
      <c r="F1241" s="1941">
        <v>12402.97</v>
      </c>
      <c r="G1241" s="1941">
        <v>12433</v>
      </c>
      <c r="I1241" s="1938">
        <f t="shared" si="20"/>
        <v>0</v>
      </c>
    </row>
    <row r="1242" spans="1:9" x14ac:dyDescent="0.25">
      <c r="A1242" t="s">
        <v>3925</v>
      </c>
      <c r="B1242" s="1936"/>
      <c r="C1242" t="s">
        <v>2995</v>
      </c>
      <c r="D1242" s="1936"/>
      <c r="E1242" s="1936"/>
      <c r="F1242" s="1941">
        <v>11146.47</v>
      </c>
      <c r="G1242" s="1941">
        <v>11145</v>
      </c>
      <c r="I1242" s="1938">
        <f t="shared" si="20"/>
        <v>0</v>
      </c>
    </row>
    <row r="1243" spans="1:9" x14ac:dyDescent="0.25">
      <c r="A1243" t="s">
        <v>3925</v>
      </c>
      <c r="B1243" s="1936"/>
      <c r="C1243" t="s">
        <v>2996</v>
      </c>
      <c r="D1243" s="1936"/>
      <c r="E1243" s="1936"/>
      <c r="F1243" s="1941">
        <v>19154.14</v>
      </c>
      <c r="G1243" s="1941">
        <v>19082</v>
      </c>
      <c r="I1243" s="1938">
        <f t="shared" si="20"/>
        <v>0</v>
      </c>
    </row>
    <row r="1244" spans="1:9" x14ac:dyDescent="0.25">
      <c r="A1244" t="s">
        <v>3925</v>
      </c>
      <c r="B1244" s="1936"/>
      <c r="C1244" t="s">
        <v>2997</v>
      </c>
      <c r="D1244" s="1936"/>
      <c r="E1244" s="1936"/>
      <c r="F1244" s="1941">
        <v>8430.51</v>
      </c>
      <c r="G1244" s="1941">
        <v>8288</v>
      </c>
      <c r="I1244" s="1938">
        <f t="shared" si="20"/>
        <v>0</v>
      </c>
    </row>
    <row r="1245" spans="1:9" x14ac:dyDescent="0.25">
      <c r="A1245" t="s">
        <v>3708</v>
      </c>
      <c r="B1245" s="1936"/>
      <c r="C1245" t="s">
        <v>51</v>
      </c>
      <c r="D1245" s="1936"/>
      <c r="E1245" s="1936"/>
      <c r="F1245" s="1941">
        <v>89974.29</v>
      </c>
      <c r="G1245" s="1941">
        <v>89889</v>
      </c>
      <c r="I1245" s="1938">
        <f t="shared" si="20"/>
        <v>0</v>
      </c>
    </row>
    <row r="1246" spans="1:9" x14ac:dyDescent="0.25">
      <c r="A1246" t="s">
        <v>3639</v>
      </c>
      <c r="B1246" s="1936"/>
      <c r="C1246" t="s">
        <v>1018</v>
      </c>
      <c r="D1246" s="1936"/>
      <c r="E1246" s="1936"/>
      <c r="F1246" s="1941">
        <v>89974.29</v>
      </c>
      <c r="G1246" s="1941">
        <v>89889</v>
      </c>
      <c r="I1246" s="1938">
        <f t="shared" si="20"/>
        <v>0</v>
      </c>
    </row>
    <row r="1247" spans="1:9" x14ac:dyDescent="0.25">
      <c r="A1247" t="s">
        <v>3861</v>
      </c>
      <c r="B1247" s="1936"/>
      <c r="C1247" t="s">
        <v>2998</v>
      </c>
      <c r="D1247" s="1936"/>
      <c r="E1247" s="1936"/>
      <c r="F1247" s="1941">
        <v>2421.2399999999998</v>
      </c>
      <c r="G1247" s="1941">
        <v>2409</v>
      </c>
      <c r="I1247" s="1938">
        <f t="shared" si="20"/>
        <v>0</v>
      </c>
    </row>
    <row r="1248" spans="1:9" x14ac:dyDescent="0.25">
      <c r="A1248" t="s">
        <v>3862</v>
      </c>
      <c r="B1248" s="1936"/>
      <c r="C1248" t="s">
        <v>2999</v>
      </c>
      <c r="D1248" s="1936"/>
      <c r="E1248" s="1936"/>
      <c r="F1248" s="1941">
        <v>1538.4</v>
      </c>
      <c r="G1248" s="1941">
        <v>1538</v>
      </c>
      <c r="I1248" s="1938">
        <f t="shared" si="20"/>
        <v>0</v>
      </c>
    </row>
    <row r="1249" spans="1:9" x14ac:dyDescent="0.25">
      <c r="A1249" t="s">
        <v>3863</v>
      </c>
      <c r="B1249" s="1936"/>
      <c r="C1249" t="s">
        <v>3000</v>
      </c>
      <c r="D1249" s="1936"/>
      <c r="E1249" s="1936"/>
      <c r="F1249" s="1941">
        <v>671.24</v>
      </c>
      <c r="G1249" s="1941">
        <v>672</v>
      </c>
      <c r="I1249" s="1938">
        <f t="shared" si="20"/>
        <v>0</v>
      </c>
    </row>
    <row r="1250" spans="1:9" x14ac:dyDescent="0.25">
      <c r="A1250" t="s">
        <v>3708</v>
      </c>
      <c r="B1250" s="1936"/>
      <c r="C1250" t="s">
        <v>51</v>
      </c>
      <c r="D1250" s="1936"/>
      <c r="E1250" s="1936"/>
      <c r="F1250" s="1941">
        <v>4630.88</v>
      </c>
      <c r="G1250" s="1941">
        <v>4619</v>
      </c>
      <c r="I1250" s="1938">
        <f t="shared" si="20"/>
        <v>0</v>
      </c>
    </row>
    <row r="1251" spans="1:9" x14ac:dyDescent="0.25">
      <c r="A1251" t="s">
        <v>3712</v>
      </c>
      <c r="B1251" s="1936"/>
      <c r="C1251" t="s">
        <v>2310</v>
      </c>
      <c r="D1251" s="1936"/>
      <c r="E1251" s="1936"/>
      <c r="F1251" s="1941">
        <v>4630.88</v>
      </c>
      <c r="G1251" s="1941">
        <v>4619</v>
      </c>
      <c r="I1251" s="1938">
        <f t="shared" si="20"/>
        <v>0</v>
      </c>
    </row>
    <row r="1252" spans="1:9" x14ac:dyDescent="0.25">
      <c r="A1252" t="s">
        <v>3861</v>
      </c>
      <c r="B1252" s="1936"/>
      <c r="C1252" t="s">
        <v>3001</v>
      </c>
      <c r="D1252" s="1936"/>
      <c r="E1252" s="1936"/>
      <c r="F1252" s="1941">
        <v>62876.4</v>
      </c>
      <c r="G1252" s="1941">
        <v>62433</v>
      </c>
      <c r="I1252" s="1938">
        <f t="shared" si="20"/>
        <v>0</v>
      </c>
    </row>
    <row r="1253" spans="1:9" x14ac:dyDescent="0.25">
      <c r="A1253" t="s">
        <v>3862</v>
      </c>
      <c r="B1253" s="1936"/>
      <c r="C1253" t="s">
        <v>3002</v>
      </c>
      <c r="D1253" s="1936"/>
      <c r="E1253" s="1936"/>
      <c r="F1253" s="1941">
        <v>40166.43</v>
      </c>
      <c r="G1253" s="1941">
        <v>39874</v>
      </c>
      <c r="I1253" s="1938">
        <f t="shared" si="20"/>
        <v>0</v>
      </c>
    </row>
    <row r="1254" spans="1:9" x14ac:dyDescent="0.25">
      <c r="A1254" t="s">
        <v>3863</v>
      </c>
      <c r="B1254" s="1936"/>
      <c r="C1254" t="s">
        <v>3003</v>
      </c>
      <c r="D1254" s="1936"/>
      <c r="E1254" s="1936"/>
      <c r="F1254" s="1941">
        <v>12794.07</v>
      </c>
      <c r="G1254" s="1941">
        <v>11708</v>
      </c>
      <c r="I1254" s="1938">
        <f t="shared" si="20"/>
        <v>0</v>
      </c>
    </row>
    <row r="1255" spans="1:9" x14ac:dyDescent="0.25">
      <c r="A1255" t="s">
        <v>3708</v>
      </c>
      <c r="B1255" s="1936"/>
      <c r="C1255" t="s">
        <v>51</v>
      </c>
      <c r="D1255" s="1936"/>
      <c r="E1255" s="1936"/>
      <c r="F1255" s="1941">
        <v>115836.9</v>
      </c>
      <c r="G1255" s="1941">
        <v>114015</v>
      </c>
      <c r="I1255" s="1938">
        <f t="shared" si="20"/>
        <v>0</v>
      </c>
    </row>
    <row r="1256" spans="1:9" x14ac:dyDescent="0.25">
      <c r="A1256" t="s">
        <v>3713</v>
      </c>
      <c r="B1256" s="1936"/>
      <c r="C1256" t="s">
        <v>2319</v>
      </c>
      <c r="D1256" s="1936"/>
      <c r="E1256" s="1936"/>
      <c r="F1256" s="1941">
        <v>115836.9</v>
      </c>
      <c r="G1256" s="1941">
        <v>114015</v>
      </c>
      <c r="I1256" s="1938">
        <f t="shared" si="20"/>
        <v>0</v>
      </c>
    </row>
    <row r="1257" spans="1:9" x14ac:dyDescent="0.25">
      <c r="A1257" t="s">
        <v>3861</v>
      </c>
      <c r="B1257" s="1936"/>
      <c r="C1257" t="s">
        <v>3004</v>
      </c>
      <c r="D1257" s="1936"/>
      <c r="E1257" s="1936"/>
      <c r="F1257" s="1941">
        <v>6024.3</v>
      </c>
      <c r="G1257" s="1941">
        <v>6074</v>
      </c>
      <c r="I1257" s="1938">
        <f t="shared" si="20"/>
        <v>0</v>
      </c>
    </row>
    <row r="1258" spans="1:9" x14ac:dyDescent="0.25">
      <c r="A1258" t="s">
        <v>3862</v>
      </c>
      <c r="B1258" s="1936"/>
      <c r="C1258" t="s">
        <v>3005</v>
      </c>
      <c r="D1258" s="1936"/>
      <c r="E1258" s="1936"/>
      <c r="F1258" s="1941">
        <v>3845.25</v>
      </c>
      <c r="G1258" s="1941">
        <v>3865</v>
      </c>
      <c r="I1258" s="1938">
        <f t="shared" si="20"/>
        <v>0</v>
      </c>
    </row>
    <row r="1259" spans="1:9" x14ac:dyDescent="0.25">
      <c r="A1259" t="s">
        <v>3863</v>
      </c>
      <c r="B1259" s="1936"/>
      <c r="C1259" t="s">
        <v>3006</v>
      </c>
      <c r="D1259" s="1936"/>
      <c r="E1259" s="1936"/>
      <c r="F1259" s="1941">
        <v>1584.42</v>
      </c>
      <c r="G1259" s="1941">
        <v>1584</v>
      </c>
      <c r="I1259" s="1938">
        <f t="shared" si="20"/>
        <v>0</v>
      </c>
    </row>
    <row r="1260" spans="1:9" x14ac:dyDescent="0.25">
      <c r="A1260" t="s">
        <v>3708</v>
      </c>
      <c r="B1260" s="1936"/>
      <c r="C1260" t="s">
        <v>51</v>
      </c>
      <c r="D1260" s="1936"/>
      <c r="E1260" s="1936"/>
      <c r="F1260" s="1941">
        <v>11453.97</v>
      </c>
      <c r="G1260" s="1941">
        <v>11523</v>
      </c>
      <c r="I1260" s="1938">
        <f t="shared" si="20"/>
        <v>0</v>
      </c>
    </row>
    <row r="1261" spans="1:9" x14ac:dyDescent="0.25">
      <c r="A1261" t="s">
        <v>3717</v>
      </c>
      <c r="B1261" s="1936"/>
      <c r="C1261" t="s">
        <v>2335</v>
      </c>
      <c r="D1261" s="1936"/>
      <c r="E1261" s="1936"/>
      <c r="F1261" s="1941">
        <v>11453.97</v>
      </c>
      <c r="G1261" s="1941">
        <v>11523</v>
      </c>
      <c r="I1261" s="1938">
        <f t="shared" si="20"/>
        <v>0</v>
      </c>
    </row>
    <row r="1262" spans="1:9" x14ac:dyDescent="0.25">
      <c r="A1262" t="s">
        <v>3259</v>
      </c>
      <c r="B1262" s="1936"/>
      <c r="C1262" t="s">
        <v>3007</v>
      </c>
      <c r="D1262" s="1936"/>
      <c r="E1262" s="1936"/>
      <c r="F1262" s="1941">
        <v>29029</v>
      </c>
      <c r="G1262" s="1941">
        <v>29069</v>
      </c>
      <c r="I1262" s="1938">
        <f t="shared" si="20"/>
        <v>0</v>
      </c>
    </row>
    <row r="1263" spans="1:9" x14ac:dyDescent="0.25">
      <c r="A1263" t="s">
        <v>3258</v>
      </c>
      <c r="B1263" s="1936"/>
      <c r="C1263" t="s">
        <v>3008</v>
      </c>
      <c r="D1263" s="1936"/>
      <c r="E1263" s="1936"/>
      <c r="F1263" s="1941">
        <v>18830.02</v>
      </c>
      <c r="G1263" s="1941">
        <v>18856</v>
      </c>
      <c r="I1263" s="1938">
        <f t="shared" si="20"/>
        <v>0</v>
      </c>
    </row>
    <row r="1264" spans="1:9" x14ac:dyDescent="0.25">
      <c r="A1264" t="s">
        <v>3257</v>
      </c>
      <c r="B1264" s="1936"/>
      <c r="C1264" t="s">
        <v>3009</v>
      </c>
      <c r="D1264" s="1936"/>
      <c r="E1264" s="1936"/>
      <c r="F1264" s="1941">
        <v>2041.64</v>
      </c>
      <c r="G1264" s="1941">
        <v>2034</v>
      </c>
      <c r="I1264" s="1938">
        <f t="shared" si="20"/>
        <v>0</v>
      </c>
    </row>
    <row r="1265" spans="1:9" x14ac:dyDescent="0.25">
      <c r="A1265" t="s">
        <v>3708</v>
      </c>
      <c r="B1265" s="1936"/>
      <c r="C1265" t="s">
        <v>51</v>
      </c>
      <c r="D1265" s="1936"/>
      <c r="E1265" s="1936"/>
      <c r="F1265" s="1941">
        <v>49900.66</v>
      </c>
      <c r="G1265" s="1941">
        <v>49959</v>
      </c>
      <c r="I1265" s="1938">
        <f t="shared" si="20"/>
        <v>0</v>
      </c>
    </row>
    <row r="1266" spans="1:9" x14ac:dyDescent="0.25">
      <c r="A1266" t="s">
        <v>3718</v>
      </c>
      <c r="B1266" s="1936"/>
      <c r="C1266" t="s">
        <v>2345</v>
      </c>
      <c r="D1266" s="1936"/>
      <c r="E1266" s="1936"/>
      <c r="F1266" s="1941">
        <v>49900.66</v>
      </c>
      <c r="G1266" s="1941">
        <v>49959</v>
      </c>
      <c r="I1266" s="1938">
        <f t="shared" si="20"/>
        <v>0</v>
      </c>
    </row>
    <row r="1267" spans="1:9" x14ac:dyDescent="0.25">
      <c r="A1267" t="s">
        <v>3256</v>
      </c>
      <c r="B1267" s="1936"/>
      <c r="C1267" t="s">
        <v>3010</v>
      </c>
      <c r="D1267" s="1936"/>
      <c r="E1267" s="1936"/>
      <c r="F1267" s="1941">
        <v>1768.84</v>
      </c>
      <c r="G1267" s="1941">
        <v>1768</v>
      </c>
      <c r="I1267" s="1938">
        <f t="shared" si="20"/>
        <v>0</v>
      </c>
    </row>
    <row r="1268" spans="1:9" x14ac:dyDescent="0.25">
      <c r="A1268" t="s">
        <v>3255</v>
      </c>
      <c r="B1268" s="1936"/>
      <c r="C1268" t="s">
        <v>3011</v>
      </c>
      <c r="D1268" s="1936"/>
      <c r="E1268" s="1936"/>
      <c r="F1268" s="1941">
        <v>1133.27</v>
      </c>
      <c r="G1268" s="1941">
        <v>1134</v>
      </c>
      <c r="I1268" s="1938">
        <f t="shared" si="20"/>
        <v>0</v>
      </c>
    </row>
    <row r="1269" spans="1:9" x14ac:dyDescent="0.25">
      <c r="A1269" t="s">
        <v>3254</v>
      </c>
      <c r="B1269" s="1936"/>
      <c r="C1269" t="s">
        <v>3012</v>
      </c>
      <c r="D1269" s="1936"/>
      <c r="E1269" s="1936"/>
      <c r="F1269" s="1941">
        <v>1069.95</v>
      </c>
      <c r="G1269" s="1941">
        <v>1099</v>
      </c>
      <c r="I1269" s="1938">
        <f t="shared" si="20"/>
        <v>0</v>
      </c>
    </row>
    <row r="1270" spans="1:9" x14ac:dyDescent="0.25">
      <c r="A1270" t="s">
        <v>3708</v>
      </c>
      <c r="B1270" s="1936"/>
      <c r="C1270" t="s">
        <v>51</v>
      </c>
      <c r="D1270" s="1936"/>
      <c r="E1270" s="1936"/>
      <c r="F1270" s="1941">
        <v>3972.06</v>
      </c>
      <c r="G1270" s="1941">
        <v>4001</v>
      </c>
      <c r="I1270" s="1938">
        <f t="shared" si="20"/>
        <v>0</v>
      </c>
    </row>
    <row r="1271" spans="1:9" x14ac:dyDescent="0.25">
      <c r="A1271" t="s">
        <v>3719</v>
      </c>
      <c r="B1271" s="1936"/>
      <c r="C1271" t="s">
        <v>2352</v>
      </c>
      <c r="D1271" s="1936"/>
      <c r="E1271" s="1936"/>
      <c r="F1271" s="1941">
        <v>3972.06</v>
      </c>
      <c r="G1271" s="1941">
        <v>4001</v>
      </c>
      <c r="I1271" s="1938">
        <f t="shared" si="20"/>
        <v>0</v>
      </c>
    </row>
    <row r="1272" spans="1:9" x14ac:dyDescent="0.25">
      <c r="A1272" s="1943" t="s">
        <v>3253</v>
      </c>
      <c r="B1272" s="1942"/>
      <c r="C1272" s="1943" t="s">
        <v>2173</v>
      </c>
      <c r="D1272" s="1942"/>
      <c r="E1272" s="1942"/>
      <c r="F1272" s="1940">
        <v>7.63</v>
      </c>
      <c r="G1272" s="1940">
        <v>0</v>
      </c>
      <c r="I1272" s="1938">
        <f t="shared" si="20"/>
        <v>0</v>
      </c>
    </row>
    <row r="1273" spans="1:9" x14ac:dyDescent="0.25">
      <c r="A1273" s="1943" t="s">
        <v>3252</v>
      </c>
      <c r="B1273" s="1942"/>
      <c r="C1273" s="1943" t="s">
        <v>2173</v>
      </c>
      <c r="D1273" s="1942"/>
      <c r="E1273" s="1942"/>
      <c r="F1273" s="1940">
        <v>4.71</v>
      </c>
      <c r="G1273" s="1940">
        <v>0</v>
      </c>
      <c r="I1273" s="1938">
        <f t="shared" si="20"/>
        <v>0</v>
      </c>
    </row>
    <row r="1274" spans="1:9" x14ac:dyDescent="0.25">
      <c r="A1274" t="s">
        <v>3251</v>
      </c>
      <c r="B1274" s="1936"/>
      <c r="C1274" t="s">
        <v>3013</v>
      </c>
      <c r="D1274" s="1936"/>
      <c r="E1274" s="1936"/>
      <c r="F1274" s="1941">
        <v>7455.09</v>
      </c>
      <c r="G1274" s="1941">
        <v>7455</v>
      </c>
      <c r="I1274" s="1938">
        <f t="shared" si="20"/>
        <v>0</v>
      </c>
    </row>
    <row r="1275" spans="1:9" x14ac:dyDescent="0.25">
      <c r="A1275" t="s">
        <v>3251</v>
      </c>
      <c r="B1275" s="1936"/>
      <c r="C1275" t="s">
        <v>3014</v>
      </c>
      <c r="D1275" s="1936"/>
      <c r="E1275" s="1936"/>
      <c r="F1275" s="1941">
        <v>0</v>
      </c>
      <c r="G1275" s="1941">
        <v>0</v>
      </c>
      <c r="I1275" s="1938">
        <f t="shared" si="20"/>
        <v>0</v>
      </c>
    </row>
    <row r="1276" spans="1:9" x14ac:dyDescent="0.25">
      <c r="A1276" t="s">
        <v>3708</v>
      </c>
      <c r="B1276" s="1936"/>
      <c r="C1276" t="s">
        <v>51</v>
      </c>
      <c r="D1276" s="1936"/>
      <c r="E1276" s="1936"/>
      <c r="F1276" s="1941">
        <v>7467.43</v>
      </c>
      <c r="G1276" s="1941">
        <v>7455</v>
      </c>
      <c r="I1276" s="1938">
        <f t="shared" si="20"/>
        <v>0</v>
      </c>
    </row>
    <row r="1277" spans="1:9" x14ac:dyDescent="0.25">
      <c r="A1277" t="s">
        <v>3720</v>
      </c>
      <c r="B1277" s="1936"/>
      <c r="C1277" t="s">
        <v>2386</v>
      </c>
      <c r="D1277" s="1936"/>
      <c r="E1277" s="1936"/>
      <c r="F1277" s="1941">
        <v>7467.43</v>
      </c>
      <c r="G1277" s="1941">
        <v>7455</v>
      </c>
      <c r="I1277" s="1938">
        <f t="shared" si="20"/>
        <v>0</v>
      </c>
    </row>
    <row r="1278" spans="1:9" x14ac:dyDescent="0.25">
      <c r="A1278" t="s">
        <v>3250</v>
      </c>
      <c r="B1278" s="1936"/>
      <c r="C1278" t="s">
        <v>3015</v>
      </c>
      <c r="D1278" s="1936"/>
      <c r="E1278" s="1936"/>
      <c r="F1278" s="1941">
        <v>16736.37</v>
      </c>
      <c r="G1278" s="1941">
        <v>16699</v>
      </c>
      <c r="I1278" s="1938">
        <f t="shared" si="20"/>
        <v>0</v>
      </c>
    </row>
    <row r="1279" spans="1:9" x14ac:dyDescent="0.25">
      <c r="A1279" t="s">
        <v>3250</v>
      </c>
      <c r="B1279" s="1936"/>
      <c r="C1279" t="s">
        <v>3016</v>
      </c>
      <c r="D1279" s="1936"/>
      <c r="E1279" s="1936"/>
      <c r="F1279" s="1941">
        <v>0</v>
      </c>
      <c r="G1279" s="1941">
        <v>0</v>
      </c>
      <c r="I1279" s="1938">
        <f t="shared" si="20"/>
        <v>0</v>
      </c>
    </row>
    <row r="1280" spans="1:9" x14ac:dyDescent="0.25">
      <c r="A1280" t="s">
        <v>3249</v>
      </c>
      <c r="B1280" s="1936"/>
      <c r="C1280" t="s">
        <v>3017</v>
      </c>
      <c r="D1280" s="1936"/>
      <c r="E1280" s="1936"/>
      <c r="F1280" s="1941">
        <v>10676.89</v>
      </c>
      <c r="G1280" s="1941">
        <v>10655</v>
      </c>
      <c r="I1280" s="1938">
        <f t="shared" si="20"/>
        <v>0</v>
      </c>
    </row>
    <row r="1281" spans="1:9" x14ac:dyDescent="0.25">
      <c r="A1281" t="s">
        <v>3249</v>
      </c>
      <c r="B1281" s="1936"/>
      <c r="C1281" t="s">
        <v>3018</v>
      </c>
      <c r="D1281" s="1936"/>
      <c r="E1281" s="1936"/>
      <c r="F1281" s="1941">
        <v>0</v>
      </c>
      <c r="G1281" s="1941">
        <v>0</v>
      </c>
      <c r="I1281" s="1938">
        <f t="shared" si="20"/>
        <v>0</v>
      </c>
    </row>
    <row r="1282" spans="1:9" x14ac:dyDescent="0.25">
      <c r="A1282" t="s">
        <v>3248</v>
      </c>
      <c r="B1282" s="1936"/>
      <c r="C1282" t="s">
        <v>3019</v>
      </c>
      <c r="D1282" s="1936"/>
      <c r="E1282" s="1936"/>
      <c r="F1282" s="1941">
        <v>2854</v>
      </c>
      <c r="G1282" s="1941">
        <v>2853</v>
      </c>
      <c r="I1282" s="1938">
        <f t="shared" si="20"/>
        <v>0</v>
      </c>
    </row>
    <row r="1283" spans="1:9" x14ac:dyDescent="0.25">
      <c r="A1283" t="s">
        <v>3248</v>
      </c>
      <c r="B1283" s="1936"/>
      <c r="C1283" t="s">
        <v>3020</v>
      </c>
      <c r="D1283" s="1936"/>
      <c r="E1283" s="1936"/>
      <c r="F1283" s="1941">
        <v>0</v>
      </c>
      <c r="G1283" s="1941">
        <v>0</v>
      </c>
      <c r="I1283" s="1938">
        <f t="shared" si="20"/>
        <v>0</v>
      </c>
    </row>
    <row r="1284" spans="1:9" x14ac:dyDescent="0.25">
      <c r="A1284" t="s">
        <v>3708</v>
      </c>
      <c r="B1284" s="1936"/>
      <c r="C1284" t="s">
        <v>51</v>
      </c>
      <c r="D1284" s="1936"/>
      <c r="E1284" s="1936"/>
      <c r="F1284" s="1941">
        <v>30267.26</v>
      </c>
      <c r="G1284" s="1941">
        <v>30207</v>
      </c>
      <c r="I1284" s="1938">
        <f t="shared" ref="I1284:I1347" si="21">IF(F1284&lt;0,F1284,0)</f>
        <v>0</v>
      </c>
    </row>
    <row r="1285" spans="1:9" x14ac:dyDescent="0.25">
      <c r="A1285" t="s">
        <v>163</v>
      </c>
      <c r="B1285" s="1936"/>
      <c r="C1285" t="s">
        <v>1192</v>
      </c>
      <c r="D1285" s="1936"/>
      <c r="E1285" s="1936"/>
      <c r="F1285" s="1941">
        <v>30267.26</v>
      </c>
      <c r="G1285" s="1941">
        <v>30207</v>
      </c>
      <c r="I1285" s="1938">
        <f t="shared" si="21"/>
        <v>0</v>
      </c>
    </row>
    <row r="1286" spans="1:9" x14ac:dyDescent="0.25">
      <c r="A1286" t="s">
        <v>3878</v>
      </c>
      <c r="B1286" s="1936"/>
      <c r="C1286" t="s">
        <v>3021</v>
      </c>
      <c r="D1286" s="1936"/>
      <c r="E1286" s="1936"/>
      <c r="F1286" s="1941">
        <v>34.799999999999997</v>
      </c>
      <c r="G1286" s="1941">
        <v>35</v>
      </c>
      <c r="I1286" s="1938">
        <f t="shared" si="21"/>
        <v>0</v>
      </c>
    </row>
    <row r="1287" spans="1:9" x14ac:dyDescent="0.25">
      <c r="A1287" t="s">
        <v>3708</v>
      </c>
      <c r="B1287" s="1936"/>
      <c r="C1287" t="s">
        <v>51</v>
      </c>
      <c r="D1287" s="1936"/>
      <c r="E1287" s="1936"/>
      <c r="F1287" s="1941">
        <v>34.799999999999997</v>
      </c>
      <c r="G1287" s="1941">
        <v>35</v>
      </c>
      <c r="I1287" s="1938">
        <f t="shared" si="21"/>
        <v>0</v>
      </c>
    </row>
    <row r="1288" spans="1:9" x14ac:dyDescent="0.25">
      <c r="A1288" t="s">
        <v>3722</v>
      </c>
      <c r="B1288" s="1936"/>
      <c r="C1288" t="s">
        <v>2423</v>
      </c>
      <c r="D1288" s="1936"/>
      <c r="E1288" s="1936"/>
      <c r="F1288" s="1941">
        <v>34.799999999999997</v>
      </c>
      <c r="G1288" s="1941">
        <v>35</v>
      </c>
      <c r="I1288" s="1938">
        <f t="shared" si="21"/>
        <v>0</v>
      </c>
    </row>
    <row r="1289" spans="1:9" x14ac:dyDescent="0.25">
      <c r="A1289" t="s">
        <v>3878</v>
      </c>
      <c r="B1289" s="1936"/>
      <c r="C1289" t="s">
        <v>3022</v>
      </c>
      <c r="D1289" s="1936"/>
      <c r="E1289" s="1936"/>
      <c r="F1289" s="1941">
        <v>1717.11</v>
      </c>
      <c r="G1289" s="1941">
        <v>1880</v>
      </c>
      <c r="I1289" s="1938">
        <f t="shared" si="21"/>
        <v>0</v>
      </c>
    </row>
    <row r="1290" spans="1:9" x14ac:dyDescent="0.25">
      <c r="A1290" t="s">
        <v>3708</v>
      </c>
      <c r="B1290" s="1936"/>
      <c r="C1290" t="s">
        <v>51</v>
      </c>
      <c r="D1290" s="1936"/>
      <c r="E1290" s="1936"/>
      <c r="F1290" s="1941">
        <v>1717.11</v>
      </c>
      <c r="G1290" s="1941">
        <v>1880</v>
      </c>
      <c r="I1290" s="1938">
        <f t="shared" si="21"/>
        <v>0</v>
      </c>
    </row>
    <row r="1291" spans="1:9" x14ac:dyDescent="0.25">
      <c r="A1291" t="s">
        <v>3723</v>
      </c>
      <c r="B1291" s="1936"/>
      <c r="C1291" t="s">
        <v>2434</v>
      </c>
      <c r="D1291" s="1936"/>
      <c r="E1291" s="1936"/>
      <c r="F1291" s="1941">
        <v>1717.11</v>
      </c>
      <c r="G1291" s="1941">
        <v>1880</v>
      </c>
      <c r="I1291" s="1938">
        <f t="shared" si="21"/>
        <v>0</v>
      </c>
    </row>
    <row r="1292" spans="1:9" x14ac:dyDescent="0.25">
      <c r="A1292" t="s">
        <v>3889</v>
      </c>
      <c r="B1292" s="1936"/>
      <c r="C1292" t="s">
        <v>3023</v>
      </c>
      <c r="D1292" s="1936"/>
      <c r="E1292" s="1936"/>
      <c r="F1292" s="1941">
        <v>88.18</v>
      </c>
      <c r="G1292" s="1941">
        <v>225</v>
      </c>
      <c r="I1292" s="1938">
        <f t="shared" si="21"/>
        <v>0</v>
      </c>
    </row>
    <row r="1293" spans="1:9" x14ac:dyDescent="0.25">
      <c r="A1293" t="s">
        <v>3890</v>
      </c>
      <c r="B1293" s="1936"/>
      <c r="C1293" t="s">
        <v>3024</v>
      </c>
      <c r="D1293" s="1936"/>
      <c r="E1293" s="1936"/>
      <c r="F1293" s="1941">
        <v>696</v>
      </c>
      <c r="G1293" s="1941">
        <v>550</v>
      </c>
      <c r="I1293" s="1938">
        <f t="shared" si="21"/>
        <v>0</v>
      </c>
    </row>
    <row r="1294" spans="1:9" x14ac:dyDescent="0.25">
      <c r="A1294" t="s">
        <v>3878</v>
      </c>
      <c r="B1294" s="1936"/>
      <c r="C1294" t="s">
        <v>3025</v>
      </c>
      <c r="D1294" s="1936"/>
      <c r="E1294" s="1936"/>
      <c r="F1294" s="1941">
        <v>335.05</v>
      </c>
      <c r="G1294" s="1941">
        <v>450</v>
      </c>
      <c r="I1294" s="1938">
        <f t="shared" si="21"/>
        <v>0</v>
      </c>
    </row>
    <row r="1295" spans="1:9" x14ac:dyDescent="0.25">
      <c r="A1295" t="s">
        <v>3708</v>
      </c>
      <c r="B1295" s="1936"/>
      <c r="C1295" t="s">
        <v>51</v>
      </c>
      <c r="D1295" s="1936"/>
      <c r="E1295" s="1936"/>
      <c r="F1295" s="1941">
        <v>1119.23</v>
      </c>
      <c r="G1295" s="1941">
        <v>1225</v>
      </c>
      <c r="I1295" s="1938">
        <f t="shared" si="21"/>
        <v>0</v>
      </c>
    </row>
    <row r="1296" spans="1:9" x14ac:dyDescent="0.25">
      <c r="A1296" t="s">
        <v>3724</v>
      </c>
      <c r="B1296" s="1936"/>
      <c r="C1296" t="s">
        <v>2448</v>
      </c>
      <c r="D1296" s="1936"/>
      <c r="E1296" s="1936"/>
      <c r="F1296" s="1941">
        <v>1119.23</v>
      </c>
      <c r="G1296" s="1941">
        <v>1225</v>
      </c>
      <c r="I1296" s="1938">
        <f t="shared" si="21"/>
        <v>0</v>
      </c>
    </row>
    <row r="1297" spans="1:9" x14ac:dyDescent="0.25">
      <c r="A1297" t="s">
        <v>3889</v>
      </c>
      <c r="B1297" s="1936"/>
      <c r="C1297" t="s">
        <v>3026</v>
      </c>
      <c r="D1297" s="1936"/>
      <c r="E1297" s="1936"/>
      <c r="F1297" s="1941">
        <v>136.28</v>
      </c>
      <c r="G1297" s="1941">
        <v>100</v>
      </c>
      <c r="I1297" s="1938">
        <f t="shared" si="21"/>
        <v>0</v>
      </c>
    </row>
    <row r="1298" spans="1:9" x14ac:dyDescent="0.25">
      <c r="A1298" t="s">
        <v>3890</v>
      </c>
      <c r="B1298" s="1936"/>
      <c r="C1298" t="s">
        <v>3027</v>
      </c>
      <c r="D1298" s="1936"/>
      <c r="E1298" s="1936"/>
      <c r="F1298" s="1941">
        <v>250.15</v>
      </c>
      <c r="G1298" s="1941">
        <v>50</v>
      </c>
      <c r="I1298" s="1938">
        <f t="shared" si="21"/>
        <v>0</v>
      </c>
    </row>
    <row r="1299" spans="1:9" x14ac:dyDescent="0.25">
      <c r="A1299" t="s">
        <v>3878</v>
      </c>
      <c r="B1299" s="1936"/>
      <c r="C1299" t="s">
        <v>3028</v>
      </c>
      <c r="D1299" s="1936"/>
      <c r="E1299" s="1936"/>
      <c r="F1299" s="1941">
        <v>66.489999999999995</v>
      </c>
      <c r="G1299" s="1941">
        <v>100</v>
      </c>
      <c r="I1299" s="1938">
        <f t="shared" si="21"/>
        <v>0</v>
      </c>
    </row>
    <row r="1300" spans="1:9" x14ac:dyDescent="0.25">
      <c r="A1300" t="s">
        <v>3708</v>
      </c>
      <c r="B1300" s="1936"/>
      <c r="C1300" t="s">
        <v>51</v>
      </c>
      <c r="D1300" s="1936"/>
      <c r="E1300" s="1936"/>
      <c r="F1300" s="1941">
        <v>452.92</v>
      </c>
      <c r="G1300" s="1941">
        <v>250</v>
      </c>
      <c r="I1300" s="1938">
        <f t="shared" si="21"/>
        <v>0</v>
      </c>
    </row>
    <row r="1301" spans="1:9" x14ac:dyDescent="0.25">
      <c r="A1301" t="s">
        <v>3725</v>
      </c>
      <c r="B1301" s="1936"/>
      <c r="C1301" t="s">
        <v>2452</v>
      </c>
      <c r="D1301" s="1936"/>
      <c r="E1301" s="1936"/>
      <c r="F1301" s="1941">
        <v>452.92</v>
      </c>
      <c r="G1301" s="1941">
        <v>250</v>
      </c>
      <c r="I1301" s="1938">
        <f t="shared" si="21"/>
        <v>0</v>
      </c>
    </row>
    <row r="1302" spans="1:9" x14ac:dyDescent="0.25">
      <c r="A1302" t="s">
        <v>591</v>
      </c>
      <c r="B1302" s="1936"/>
      <c r="C1302" t="s">
        <v>476</v>
      </c>
      <c r="D1302" s="1936"/>
      <c r="E1302" s="1936"/>
      <c r="F1302" s="1941">
        <v>316827.51</v>
      </c>
      <c r="G1302" s="1941">
        <v>315058</v>
      </c>
      <c r="I1302" s="1938">
        <f t="shared" si="21"/>
        <v>0</v>
      </c>
    </row>
    <row r="1303" spans="1:9" x14ac:dyDescent="0.25">
      <c r="A1303" t="s">
        <v>3247</v>
      </c>
      <c r="B1303" s="1936"/>
      <c r="C1303" t="s">
        <v>3029</v>
      </c>
      <c r="D1303" s="1936"/>
      <c r="E1303" s="1936"/>
      <c r="F1303" s="1941">
        <v>0</v>
      </c>
      <c r="G1303" s="1941">
        <v>0</v>
      </c>
      <c r="I1303" s="1938">
        <f t="shared" si="21"/>
        <v>0</v>
      </c>
    </row>
    <row r="1304" spans="1:9" x14ac:dyDescent="0.25">
      <c r="A1304" t="s">
        <v>3247</v>
      </c>
      <c r="B1304" s="1936"/>
      <c r="C1304" t="s">
        <v>3030</v>
      </c>
      <c r="D1304" s="1936"/>
      <c r="E1304" s="1936"/>
      <c r="F1304" s="1941">
        <v>0</v>
      </c>
      <c r="G1304" s="1941">
        <v>0</v>
      </c>
      <c r="I1304" s="1938">
        <f t="shared" si="21"/>
        <v>0</v>
      </c>
    </row>
    <row r="1305" spans="1:9" x14ac:dyDescent="0.25">
      <c r="A1305" t="s">
        <v>3247</v>
      </c>
      <c r="B1305" s="1936"/>
      <c r="C1305" t="s">
        <v>3031</v>
      </c>
      <c r="D1305" s="1936"/>
      <c r="E1305" s="1936"/>
      <c r="F1305" s="1941">
        <v>891.84</v>
      </c>
      <c r="G1305" s="1941">
        <v>891</v>
      </c>
      <c r="I1305" s="1938">
        <f t="shared" si="21"/>
        <v>0</v>
      </c>
    </row>
    <row r="1306" spans="1:9" x14ac:dyDescent="0.25">
      <c r="A1306" t="s">
        <v>3708</v>
      </c>
      <c r="B1306" s="1936"/>
      <c r="C1306" t="s">
        <v>51</v>
      </c>
      <c r="D1306" s="1936"/>
      <c r="E1306" s="1936"/>
      <c r="F1306" s="1941">
        <v>891.84</v>
      </c>
      <c r="G1306" s="1941">
        <v>891</v>
      </c>
      <c r="I1306" s="1938">
        <f t="shared" si="21"/>
        <v>0</v>
      </c>
    </row>
    <row r="1307" spans="1:9" x14ac:dyDescent="0.25">
      <c r="A1307" t="s">
        <v>3726</v>
      </c>
      <c r="B1307" s="1936"/>
      <c r="C1307" t="s">
        <v>2470</v>
      </c>
      <c r="D1307" s="1936"/>
      <c r="E1307" s="1936"/>
      <c r="F1307" s="1941">
        <v>891.84</v>
      </c>
      <c r="G1307" s="1941">
        <v>891</v>
      </c>
      <c r="I1307" s="1938">
        <f t="shared" si="21"/>
        <v>0</v>
      </c>
    </row>
    <row r="1308" spans="1:9" x14ac:dyDescent="0.25">
      <c r="A1308" t="s">
        <v>3246</v>
      </c>
      <c r="B1308" s="1936"/>
      <c r="C1308" t="s">
        <v>3032</v>
      </c>
      <c r="D1308" s="1936"/>
      <c r="E1308" s="1936"/>
      <c r="F1308" s="1941">
        <v>0</v>
      </c>
      <c r="G1308" s="1941">
        <v>0</v>
      </c>
      <c r="I1308" s="1938">
        <f t="shared" si="21"/>
        <v>0</v>
      </c>
    </row>
    <row r="1309" spans="1:9" x14ac:dyDescent="0.25">
      <c r="A1309" t="s">
        <v>3245</v>
      </c>
      <c r="B1309" s="1936"/>
      <c r="C1309" t="s">
        <v>3033</v>
      </c>
      <c r="D1309" s="1936"/>
      <c r="E1309" s="1936"/>
      <c r="F1309" s="1941">
        <v>0</v>
      </c>
      <c r="G1309" s="1941">
        <v>0</v>
      </c>
      <c r="I1309" s="1938">
        <f t="shared" si="21"/>
        <v>0</v>
      </c>
    </row>
    <row r="1310" spans="1:9" x14ac:dyDescent="0.25">
      <c r="A1310" t="s">
        <v>3244</v>
      </c>
      <c r="B1310" s="1936"/>
      <c r="C1310" t="s">
        <v>3034</v>
      </c>
      <c r="D1310" s="1936"/>
      <c r="E1310" s="1936"/>
      <c r="F1310" s="1941">
        <v>2452.94</v>
      </c>
      <c r="G1310" s="1941">
        <v>2811</v>
      </c>
      <c r="I1310" s="1938">
        <f t="shared" si="21"/>
        <v>0</v>
      </c>
    </row>
    <row r="1311" spans="1:9" x14ac:dyDescent="0.25">
      <c r="A1311" t="s">
        <v>3708</v>
      </c>
      <c r="B1311" s="1936"/>
      <c r="C1311" t="s">
        <v>51</v>
      </c>
      <c r="D1311" s="1936"/>
      <c r="E1311" s="1936"/>
      <c r="F1311" s="1941">
        <v>2452.94</v>
      </c>
      <c r="G1311" s="1941">
        <v>2811</v>
      </c>
      <c r="I1311" s="1938">
        <f t="shared" si="21"/>
        <v>0</v>
      </c>
    </row>
    <row r="1312" spans="1:9" x14ac:dyDescent="0.25">
      <c r="A1312" t="s">
        <v>3727</v>
      </c>
      <c r="B1312" s="1936"/>
      <c r="C1312" t="s">
        <v>2479</v>
      </c>
      <c r="D1312" s="1936"/>
      <c r="E1312" s="1936"/>
      <c r="F1312" s="1941">
        <v>2452.94</v>
      </c>
      <c r="G1312" s="1941">
        <v>2811</v>
      </c>
      <c r="I1312" s="1938">
        <f t="shared" si="21"/>
        <v>0</v>
      </c>
    </row>
    <row r="1313" spans="1:9" x14ac:dyDescent="0.25">
      <c r="A1313" t="s">
        <v>3243</v>
      </c>
      <c r="B1313" s="1936"/>
      <c r="C1313" t="s">
        <v>3035</v>
      </c>
      <c r="D1313" s="1936"/>
      <c r="E1313" s="1936"/>
      <c r="F1313" s="1941">
        <v>1211.52</v>
      </c>
      <c r="G1313" s="1941">
        <v>1211</v>
      </c>
      <c r="I1313" s="1938">
        <f t="shared" si="21"/>
        <v>0</v>
      </c>
    </row>
    <row r="1314" spans="1:9" x14ac:dyDescent="0.25">
      <c r="A1314" t="s">
        <v>3708</v>
      </c>
      <c r="B1314" s="1936"/>
      <c r="C1314" t="s">
        <v>51</v>
      </c>
      <c r="D1314" s="1936"/>
      <c r="E1314" s="1936"/>
      <c r="F1314" s="1941">
        <v>1211.52</v>
      </c>
      <c r="G1314" s="1941">
        <v>1211</v>
      </c>
      <c r="I1314" s="1938">
        <f t="shared" si="21"/>
        <v>0</v>
      </c>
    </row>
    <row r="1315" spans="1:9" x14ac:dyDescent="0.25">
      <c r="A1315" t="s">
        <v>3728</v>
      </c>
      <c r="B1315" s="1936"/>
      <c r="C1315" t="s">
        <v>2487</v>
      </c>
      <c r="D1315" s="1936"/>
      <c r="E1315" s="1936"/>
      <c r="F1315" s="1941">
        <v>1211.52</v>
      </c>
      <c r="G1315" s="1941">
        <v>1211</v>
      </c>
      <c r="I1315" s="1938">
        <f t="shared" si="21"/>
        <v>0</v>
      </c>
    </row>
    <row r="1316" spans="1:9" x14ac:dyDescent="0.25">
      <c r="A1316" t="s">
        <v>3242</v>
      </c>
      <c r="B1316" s="1936"/>
      <c r="C1316" t="s">
        <v>3036</v>
      </c>
      <c r="D1316" s="1936"/>
      <c r="E1316" s="1936"/>
      <c r="F1316" s="1941">
        <v>943.69</v>
      </c>
      <c r="G1316" s="1941">
        <v>1068</v>
      </c>
      <c r="I1316" s="1938">
        <f t="shared" si="21"/>
        <v>0</v>
      </c>
    </row>
    <row r="1317" spans="1:9" x14ac:dyDescent="0.25">
      <c r="A1317" t="s">
        <v>3242</v>
      </c>
      <c r="B1317" s="1936"/>
      <c r="C1317" t="s">
        <v>3036</v>
      </c>
      <c r="D1317" s="1936"/>
      <c r="E1317" s="1936"/>
      <c r="F1317" s="1941">
        <v>1050.8399999999999</v>
      </c>
      <c r="G1317" s="1941">
        <v>1183</v>
      </c>
      <c r="I1317" s="1938">
        <f t="shared" si="21"/>
        <v>0</v>
      </c>
    </row>
    <row r="1318" spans="1:9" x14ac:dyDescent="0.25">
      <c r="A1318" t="s">
        <v>3708</v>
      </c>
      <c r="B1318" s="1936"/>
      <c r="C1318" t="s">
        <v>51</v>
      </c>
      <c r="D1318" s="1936"/>
      <c r="E1318" s="1936"/>
      <c r="F1318" s="1941">
        <v>1994.53</v>
      </c>
      <c r="G1318" s="1941">
        <v>2251</v>
      </c>
      <c r="I1318" s="1938">
        <f t="shared" si="21"/>
        <v>0</v>
      </c>
    </row>
    <row r="1319" spans="1:9" x14ac:dyDescent="0.25">
      <c r="A1319" t="s">
        <v>3729</v>
      </c>
      <c r="B1319" s="1936"/>
      <c r="C1319" t="s">
        <v>2498</v>
      </c>
      <c r="D1319" s="1936"/>
      <c r="E1319" s="1936"/>
      <c r="F1319" s="1941">
        <v>1994.53</v>
      </c>
      <c r="G1319" s="1941">
        <v>2251</v>
      </c>
      <c r="I1319" s="1938">
        <f t="shared" si="21"/>
        <v>0</v>
      </c>
    </row>
    <row r="1320" spans="1:9" x14ac:dyDescent="0.25">
      <c r="A1320" t="s">
        <v>3241</v>
      </c>
      <c r="B1320" s="1936"/>
      <c r="C1320" t="s">
        <v>3037</v>
      </c>
      <c r="D1320" s="1936"/>
      <c r="E1320" s="1936"/>
      <c r="F1320" s="1941">
        <v>2397.84</v>
      </c>
      <c r="G1320" s="1941">
        <v>2327</v>
      </c>
      <c r="I1320" s="1938">
        <f t="shared" si="21"/>
        <v>0</v>
      </c>
    </row>
    <row r="1321" spans="1:9" x14ac:dyDescent="0.25">
      <c r="A1321" t="s">
        <v>3240</v>
      </c>
      <c r="B1321" s="1936"/>
      <c r="C1321" t="s">
        <v>3038</v>
      </c>
      <c r="D1321" s="1936"/>
      <c r="E1321" s="1936"/>
      <c r="F1321" s="1941">
        <v>1531.54</v>
      </c>
      <c r="G1321" s="1941">
        <v>1522</v>
      </c>
      <c r="I1321" s="1938">
        <f t="shared" si="21"/>
        <v>0</v>
      </c>
    </row>
    <row r="1322" spans="1:9" x14ac:dyDescent="0.25">
      <c r="A1322" t="s">
        <v>3239</v>
      </c>
      <c r="B1322" s="1936"/>
      <c r="C1322" t="s">
        <v>3039</v>
      </c>
      <c r="D1322" s="1936"/>
      <c r="E1322" s="1936"/>
      <c r="F1322" s="1941">
        <v>0</v>
      </c>
      <c r="G1322" s="1941">
        <v>0</v>
      </c>
      <c r="I1322" s="1938">
        <f t="shared" si="21"/>
        <v>0</v>
      </c>
    </row>
    <row r="1323" spans="1:9" x14ac:dyDescent="0.25">
      <c r="A1323" t="s">
        <v>3708</v>
      </c>
      <c r="B1323" s="1936"/>
      <c r="C1323" t="s">
        <v>51</v>
      </c>
      <c r="D1323" s="1936"/>
      <c r="E1323" s="1936"/>
      <c r="F1323" s="1941">
        <v>3929.38</v>
      </c>
      <c r="G1323" s="1941">
        <v>3849</v>
      </c>
      <c r="I1323" s="1938">
        <f t="shared" si="21"/>
        <v>0</v>
      </c>
    </row>
    <row r="1324" spans="1:9" x14ac:dyDescent="0.25">
      <c r="A1324" t="s">
        <v>3730</v>
      </c>
      <c r="B1324" s="1936"/>
      <c r="C1324" t="s">
        <v>2502</v>
      </c>
      <c r="D1324" s="1936"/>
      <c r="E1324" s="1936"/>
      <c r="F1324" s="1941">
        <v>3929.38</v>
      </c>
      <c r="G1324" s="1941">
        <v>3849</v>
      </c>
      <c r="I1324" s="1938">
        <f t="shared" si="21"/>
        <v>0</v>
      </c>
    </row>
    <row r="1325" spans="1:9" x14ac:dyDescent="0.25">
      <c r="A1325" t="s">
        <v>3238</v>
      </c>
      <c r="B1325" s="1936"/>
      <c r="C1325" t="s">
        <v>3040</v>
      </c>
      <c r="D1325" s="1936"/>
      <c r="E1325" s="1936"/>
      <c r="F1325" s="1941">
        <v>11995</v>
      </c>
      <c r="G1325" s="1941">
        <v>11764</v>
      </c>
      <c r="I1325" s="1938">
        <f t="shared" si="21"/>
        <v>0</v>
      </c>
    </row>
    <row r="1326" spans="1:9" x14ac:dyDescent="0.25">
      <c r="A1326" t="s">
        <v>3237</v>
      </c>
      <c r="B1326" s="1936"/>
      <c r="C1326" t="s">
        <v>3041</v>
      </c>
      <c r="D1326" s="1936"/>
      <c r="E1326" s="1936"/>
      <c r="F1326" s="1941">
        <v>7658.92</v>
      </c>
      <c r="G1326" s="1941">
        <v>7658</v>
      </c>
      <c r="I1326" s="1938">
        <f t="shared" si="21"/>
        <v>0</v>
      </c>
    </row>
    <row r="1327" spans="1:9" x14ac:dyDescent="0.25">
      <c r="A1327" t="s">
        <v>3236</v>
      </c>
      <c r="B1327" s="1936"/>
      <c r="C1327" t="s">
        <v>3042</v>
      </c>
      <c r="D1327" s="1936"/>
      <c r="E1327" s="1936"/>
      <c r="F1327" s="1941">
        <v>0</v>
      </c>
      <c r="G1327" s="1941">
        <v>0</v>
      </c>
      <c r="I1327" s="1938">
        <f t="shared" si="21"/>
        <v>0</v>
      </c>
    </row>
    <row r="1328" spans="1:9" x14ac:dyDescent="0.25">
      <c r="A1328" t="s">
        <v>3708</v>
      </c>
      <c r="B1328" s="1936"/>
      <c r="C1328" t="s">
        <v>51</v>
      </c>
      <c r="D1328" s="1936"/>
      <c r="E1328" s="1936"/>
      <c r="F1328" s="1941">
        <v>19653.919999999998</v>
      </c>
      <c r="G1328" s="1941">
        <v>19422</v>
      </c>
      <c r="I1328" s="1938">
        <f t="shared" si="21"/>
        <v>0</v>
      </c>
    </row>
    <row r="1329" spans="1:9" x14ac:dyDescent="0.25">
      <c r="A1329" t="s">
        <v>3731</v>
      </c>
      <c r="B1329" s="1936"/>
      <c r="C1329" t="s">
        <v>2509</v>
      </c>
      <c r="D1329" s="1936"/>
      <c r="E1329" s="1936"/>
      <c r="F1329" s="1941">
        <v>19653.919999999998</v>
      </c>
      <c r="G1329" s="1941">
        <v>19422</v>
      </c>
      <c r="I1329" s="1938">
        <f t="shared" si="21"/>
        <v>0</v>
      </c>
    </row>
    <row r="1330" spans="1:9" x14ac:dyDescent="0.25">
      <c r="A1330" t="s">
        <v>3235</v>
      </c>
      <c r="B1330" s="1936"/>
      <c r="C1330" t="s">
        <v>3043</v>
      </c>
      <c r="D1330" s="1936"/>
      <c r="E1330" s="1936"/>
      <c r="F1330" s="1941">
        <v>4553.2299999999996</v>
      </c>
      <c r="G1330" s="1941">
        <v>4510</v>
      </c>
      <c r="I1330" s="1938">
        <f t="shared" si="21"/>
        <v>0</v>
      </c>
    </row>
    <row r="1331" spans="1:9" x14ac:dyDescent="0.25">
      <c r="A1331" t="s">
        <v>3234</v>
      </c>
      <c r="B1331" s="1936"/>
      <c r="C1331" t="s">
        <v>3044</v>
      </c>
      <c r="D1331" s="1936"/>
      <c r="E1331" s="1936"/>
      <c r="F1331" s="1941">
        <v>3595.15</v>
      </c>
      <c r="G1331" s="1941">
        <v>3595</v>
      </c>
      <c r="I1331" s="1938">
        <f t="shared" si="21"/>
        <v>0</v>
      </c>
    </row>
    <row r="1332" spans="1:9" x14ac:dyDescent="0.25">
      <c r="A1332" t="s">
        <v>3233</v>
      </c>
      <c r="B1332" s="1936"/>
      <c r="C1332" t="s">
        <v>3045</v>
      </c>
      <c r="D1332" s="1936"/>
      <c r="E1332" s="1936"/>
      <c r="F1332" s="1941">
        <v>2208.67</v>
      </c>
      <c r="G1332" s="1941">
        <v>2199</v>
      </c>
      <c r="I1332" s="1938">
        <f t="shared" si="21"/>
        <v>0</v>
      </c>
    </row>
    <row r="1333" spans="1:9" x14ac:dyDescent="0.25">
      <c r="A1333" t="s">
        <v>3708</v>
      </c>
      <c r="B1333" s="1936"/>
      <c r="C1333" t="s">
        <v>51</v>
      </c>
      <c r="D1333" s="1936"/>
      <c r="E1333" s="1936"/>
      <c r="F1333" s="1941">
        <v>10357.049999999999</v>
      </c>
      <c r="G1333" s="1941">
        <v>10304</v>
      </c>
      <c r="I1333" s="1938">
        <f t="shared" si="21"/>
        <v>0</v>
      </c>
    </row>
    <row r="1334" spans="1:9" x14ac:dyDescent="0.25">
      <c r="A1334" t="s">
        <v>3732</v>
      </c>
      <c r="B1334" s="1936"/>
      <c r="C1334" t="s">
        <v>208</v>
      </c>
      <c r="D1334" s="1936"/>
      <c r="E1334" s="1936"/>
      <c r="F1334" s="1941">
        <v>10357.049999999999</v>
      </c>
      <c r="G1334" s="1941">
        <v>10304</v>
      </c>
      <c r="I1334" s="1938">
        <f t="shared" si="21"/>
        <v>0</v>
      </c>
    </row>
    <row r="1335" spans="1:9" x14ac:dyDescent="0.25">
      <c r="A1335" t="s">
        <v>3232</v>
      </c>
      <c r="B1335" s="1936"/>
      <c r="C1335" t="s">
        <v>3046</v>
      </c>
      <c r="D1335" s="1936"/>
      <c r="E1335" s="1936"/>
      <c r="F1335" s="1941">
        <v>4818.05</v>
      </c>
      <c r="G1335" s="1941">
        <v>5410</v>
      </c>
      <c r="I1335" s="1938">
        <f t="shared" si="21"/>
        <v>0</v>
      </c>
    </row>
    <row r="1336" spans="1:9" x14ac:dyDescent="0.25">
      <c r="A1336" t="s">
        <v>3708</v>
      </c>
      <c r="B1336" s="1936"/>
      <c r="C1336" t="s">
        <v>51</v>
      </c>
      <c r="D1336" s="1936"/>
      <c r="E1336" s="1936"/>
      <c r="F1336" s="1941">
        <v>4818.05</v>
      </c>
      <c r="G1336" s="1941">
        <v>5410</v>
      </c>
      <c r="I1336" s="1938">
        <f t="shared" si="21"/>
        <v>0</v>
      </c>
    </row>
    <row r="1337" spans="1:9" x14ac:dyDescent="0.25">
      <c r="A1337" t="s">
        <v>3733</v>
      </c>
      <c r="B1337" s="1936"/>
      <c r="C1337" t="s">
        <v>2542</v>
      </c>
      <c r="D1337" s="1936"/>
      <c r="E1337" s="1936"/>
      <c r="F1337" s="1941">
        <v>4818.05</v>
      </c>
      <c r="G1337" s="1941">
        <v>5410</v>
      </c>
      <c r="I1337" s="1938">
        <f t="shared" si="21"/>
        <v>0</v>
      </c>
    </row>
    <row r="1338" spans="1:9" x14ac:dyDescent="0.25">
      <c r="A1338" t="s">
        <v>3231</v>
      </c>
      <c r="B1338" s="1936"/>
      <c r="C1338" t="s">
        <v>3047</v>
      </c>
      <c r="D1338" s="1936"/>
      <c r="E1338" s="1936"/>
      <c r="F1338" s="1941">
        <v>342.43</v>
      </c>
      <c r="G1338" s="1941">
        <v>500</v>
      </c>
      <c r="I1338" s="1938">
        <f t="shared" si="21"/>
        <v>0</v>
      </c>
    </row>
    <row r="1339" spans="1:9" x14ac:dyDescent="0.25">
      <c r="A1339" t="s">
        <v>3230</v>
      </c>
      <c r="B1339" s="1936"/>
      <c r="C1339" t="s">
        <v>3048</v>
      </c>
      <c r="D1339" s="1936"/>
      <c r="E1339" s="1936"/>
      <c r="F1339" s="1941">
        <v>2517.11</v>
      </c>
      <c r="G1339" s="1941">
        <v>2516</v>
      </c>
      <c r="I1339" s="1938">
        <f t="shared" si="21"/>
        <v>0</v>
      </c>
    </row>
    <row r="1340" spans="1:9" x14ac:dyDescent="0.25">
      <c r="A1340" t="s">
        <v>3229</v>
      </c>
      <c r="B1340" s="1936"/>
      <c r="C1340" t="s">
        <v>3049</v>
      </c>
      <c r="D1340" s="1936"/>
      <c r="E1340" s="1936"/>
      <c r="F1340" s="1941">
        <v>0</v>
      </c>
      <c r="G1340" s="1941">
        <v>0</v>
      </c>
      <c r="I1340" s="1938">
        <f t="shared" si="21"/>
        <v>0</v>
      </c>
    </row>
    <row r="1341" spans="1:9" x14ac:dyDescent="0.25">
      <c r="A1341" t="s">
        <v>3708</v>
      </c>
      <c r="B1341" s="1936"/>
      <c r="C1341" t="s">
        <v>51</v>
      </c>
      <c r="D1341" s="1936"/>
      <c r="E1341" s="1936"/>
      <c r="F1341" s="1941">
        <v>2859.54</v>
      </c>
      <c r="G1341" s="1941">
        <v>3016</v>
      </c>
      <c r="I1341" s="1938">
        <f t="shared" si="21"/>
        <v>0</v>
      </c>
    </row>
    <row r="1342" spans="1:9" x14ac:dyDescent="0.25">
      <c r="A1342" t="s">
        <v>3791</v>
      </c>
      <c r="B1342" s="1936"/>
      <c r="C1342" t="s">
        <v>3050</v>
      </c>
      <c r="D1342" s="1936"/>
      <c r="E1342" s="1936"/>
      <c r="F1342" s="1941">
        <v>2859.54</v>
      </c>
      <c r="G1342" s="1941">
        <v>3016</v>
      </c>
      <c r="I1342" s="1938">
        <f t="shared" si="21"/>
        <v>0</v>
      </c>
    </row>
    <row r="1343" spans="1:9" x14ac:dyDescent="0.25">
      <c r="A1343" t="s">
        <v>3228</v>
      </c>
      <c r="B1343" s="1936"/>
      <c r="C1343" t="s">
        <v>3051</v>
      </c>
      <c r="D1343" s="1936"/>
      <c r="E1343" s="1936"/>
      <c r="F1343" s="1941">
        <v>27.55</v>
      </c>
      <c r="G1343" s="1941">
        <v>94</v>
      </c>
      <c r="I1343" s="1938">
        <f t="shared" si="21"/>
        <v>0</v>
      </c>
    </row>
    <row r="1344" spans="1:9" x14ac:dyDescent="0.25">
      <c r="A1344" t="s">
        <v>3708</v>
      </c>
      <c r="B1344" s="1936"/>
      <c r="C1344" t="s">
        <v>51</v>
      </c>
      <c r="D1344" s="1936"/>
      <c r="E1344" s="1936"/>
      <c r="F1344" s="1941">
        <v>27.55</v>
      </c>
      <c r="G1344" s="1941">
        <v>94</v>
      </c>
      <c r="I1344" s="1938">
        <f t="shared" si="21"/>
        <v>0</v>
      </c>
    </row>
    <row r="1345" spans="1:9" x14ac:dyDescent="0.25">
      <c r="A1345" t="s">
        <v>3734</v>
      </c>
      <c r="B1345" s="1936"/>
      <c r="C1345" t="s">
        <v>2555</v>
      </c>
      <c r="D1345" s="1936"/>
      <c r="E1345" s="1936"/>
      <c r="F1345" s="1941">
        <v>27.55</v>
      </c>
      <c r="G1345" s="1941">
        <v>94</v>
      </c>
      <c r="I1345" s="1938">
        <f t="shared" si="21"/>
        <v>0</v>
      </c>
    </row>
    <row r="1346" spans="1:9" x14ac:dyDescent="0.25">
      <c r="A1346" t="s">
        <v>3227</v>
      </c>
      <c r="B1346" s="1936"/>
      <c r="C1346" t="s">
        <v>3052</v>
      </c>
      <c r="D1346" s="1936"/>
      <c r="E1346" s="1936"/>
      <c r="F1346" s="1941">
        <v>8.39</v>
      </c>
      <c r="G1346" s="1941">
        <v>10</v>
      </c>
      <c r="I1346" s="1938">
        <f t="shared" si="21"/>
        <v>0</v>
      </c>
    </row>
    <row r="1347" spans="1:9" x14ac:dyDescent="0.25">
      <c r="A1347" t="s">
        <v>3226</v>
      </c>
      <c r="B1347" s="1936"/>
      <c r="C1347" t="s">
        <v>3053</v>
      </c>
      <c r="D1347" s="1936"/>
      <c r="E1347" s="1936"/>
      <c r="F1347" s="1941">
        <v>5.55</v>
      </c>
      <c r="G1347" s="1941">
        <v>10</v>
      </c>
      <c r="I1347" s="1938">
        <f t="shared" si="21"/>
        <v>0</v>
      </c>
    </row>
    <row r="1348" spans="1:9" x14ac:dyDescent="0.25">
      <c r="A1348" t="s">
        <v>3225</v>
      </c>
      <c r="B1348" s="1936"/>
      <c r="C1348" t="s">
        <v>3054</v>
      </c>
      <c r="D1348" s="1936"/>
      <c r="E1348" s="1936"/>
      <c r="F1348" s="1941">
        <v>51.96</v>
      </c>
      <c r="G1348" s="1941">
        <v>60</v>
      </c>
      <c r="I1348" s="1938">
        <f t="shared" ref="I1348:I1411" si="22">IF(F1348&lt;0,F1348,0)</f>
        <v>0</v>
      </c>
    </row>
    <row r="1349" spans="1:9" x14ac:dyDescent="0.25">
      <c r="A1349" t="s">
        <v>3708</v>
      </c>
      <c r="B1349" s="1936"/>
      <c r="C1349" t="s">
        <v>51</v>
      </c>
      <c r="D1349" s="1936"/>
      <c r="E1349" s="1936"/>
      <c r="F1349" s="1941">
        <v>65.900000000000006</v>
      </c>
      <c r="G1349" s="1941">
        <v>80</v>
      </c>
      <c r="I1349" s="1938">
        <f t="shared" si="22"/>
        <v>0</v>
      </c>
    </row>
    <row r="1350" spans="1:9" x14ac:dyDescent="0.25">
      <c r="A1350" t="s">
        <v>3736</v>
      </c>
      <c r="B1350" s="1936"/>
      <c r="C1350" t="s">
        <v>2571</v>
      </c>
      <c r="D1350" s="1936"/>
      <c r="E1350" s="1936"/>
      <c r="F1350" s="1941">
        <v>65.900000000000006</v>
      </c>
      <c r="G1350" s="1941">
        <v>80</v>
      </c>
      <c r="I1350" s="1938">
        <f t="shared" si="22"/>
        <v>0</v>
      </c>
    </row>
    <row r="1351" spans="1:9" x14ac:dyDescent="0.25">
      <c r="A1351" t="s">
        <v>3224</v>
      </c>
      <c r="B1351" s="1936"/>
      <c r="C1351" t="s">
        <v>3055</v>
      </c>
      <c r="D1351" s="1936"/>
      <c r="E1351" s="1936"/>
      <c r="F1351" s="1941">
        <v>12887.18</v>
      </c>
      <c r="G1351" s="1941">
        <v>12907</v>
      </c>
      <c r="I1351" s="1938">
        <f t="shared" si="22"/>
        <v>0</v>
      </c>
    </row>
    <row r="1352" spans="1:9" x14ac:dyDescent="0.25">
      <c r="A1352" t="s">
        <v>3223</v>
      </c>
      <c r="B1352" s="1936"/>
      <c r="C1352" t="s">
        <v>3056</v>
      </c>
      <c r="D1352" s="1936"/>
      <c r="E1352" s="1936"/>
      <c r="F1352" s="1941">
        <v>8230.5400000000009</v>
      </c>
      <c r="G1352" s="1941">
        <v>8231</v>
      </c>
      <c r="I1352" s="1938">
        <f t="shared" si="22"/>
        <v>0</v>
      </c>
    </row>
    <row r="1353" spans="1:9" x14ac:dyDescent="0.25">
      <c r="A1353" t="s">
        <v>3222</v>
      </c>
      <c r="B1353" s="1936"/>
      <c r="C1353" t="s">
        <v>3057</v>
      </c>
      <c r="D1353" s="1936"/>
      <c r="E1353" s="1936"/>
      <c r="F1353" s="1941">
        <v>982.63</v>
      </c>
      <c r="G1353" s="1941">
        <v>1096</v>
      </c>
      <c r="I1353" s="1938">
        <f t="shared" si="22"/>
        <v>0</v>
      </c>
    </row>
    <row r="1354" spans="1:9" x14ac:dyDescent="0.25">
      <c r="A1354" t="s">
        <v>3222</v>
      </c>
      <c r="B1354" s="1936"/>
      <c r="C1354" t="s">
        <v>3058</v>
      </c>
      <c r="D1354" s="1936"/>
      <c r="E1354" s="1936"/>
      <c r="F1354" s="1941">
        <v>0</v>
      </c>
      <c r="G1354" s="1941">
        <v>0</v>
      </c>
      <c r="I1354" s="1938">
        <f t="shared" si="22"/>
        <v>0</v>
      </c>
    </row>
    <row r="1355" spans="1:9" x14ac:dyDescent="0.25">
      <c r="A1355" t="s">
        <v>3708</v>
      </c>
      <c r="B1355" s="1936"/>
      <c r="C1355" t="s">
        <v>51</v>
      </c>
      <c r="D1355" s="1936"/>
      <c r="E1355" s="1936"/>
      <c r="F1355" s="1941">
        <v>22100.35</v>
      </c>
      <c r="G1355" s="1941">
        <v>22234</v>
      </c>
      <c r="I1355" s="1938">
        <f t="shared" si="22"/>
        <v>0</v>
      </c>
    </row>
    <row r="1356" spans="1:9" x14ac:dyDescent="0.25">
      <c r="A1356" t="s">
        <v>3738</v>
      </c>
      <c r="B1356" s="1936"/>
      <c r="C1356" t="s">
        <v>2593</v>
      </c>
      <c r="D1356" s="1936"/>
      <c r="E1356" s="1936"/>
      <c r="F1356" s="1941">
        <v>22100.35</v>
      </c>
      <c r="G1356" s="1941">
        <v>22234</v>
      </c>
      <c r="I1356" s="1938">
        <f t="shared" si="22"/>
        <v>0</v>
      </c>
    </row>
    <row r="1357" spans="1:9" x14ac:dyDescent="0.25">
      <c r="A1357" t="s">
        <v>3221</v>
      </c>
      <c r="B1357" s="1936"/>
      <c r="C1357" t="s">
        <v>3059</v>
      </c>
      <c r="D1357" s="1936"/>
      <c r="E1357" s="1936"/>
      <c r="F1357" s="1941">
        <v>18071.849999999999</v>
      </c>
      <c r="G1357" s="1941">
        <v>18063</v>
      </c>
      <c r="I1357" s="1938">
        <f t="shared" si="22"/>
        <v>0</v>
      </c>
    </row>
    <row r="1358" spans="1:9" x14ac:dyDescent="0.25">
      <c r="A1358" t="s">
        <v>3220</v>
      </c>
      <c r="B1358" s="1936"/>
      <c r="C1358" t="s">
        <v>3060</v>
      </c>
      <c r="D1358" s="1936"/>
      <c r="E1358" s="1936"/>
      <c r="F1358" s="1941">
        <v>11728.9</v>
      </c>
      <c r="G1358" s="1941">
        <v>11729</v>
      </c>
      <c r="I1358" s="1938">
        <f t="shared" si="22"/>
        <v>0</v>
      </c>
    </row>
    <row r="1359" spans="1:9" x14ac:dyDescent="0.25">
      <c r="A1359" t="s">
        <v>3219</v>
      </c>
      <c r="B1359" s="1936"/>
      <c r="C1359" t="s">
        <v>3061</v>
      </c>
      <c r="D1359" s="1936"/>
      <c r="E1359" s="1936"/>
      <c r="F1359" s="1941">
        <v>0</v>
      </c>
      <c r="G1359" s="1941">
        <v>0</v>
      </c>
      <c r="I1359" s="1938">
        <f t="shared" si="22"/>
        <v>0</v>
      </c>
    </row>
    <row r="1360" spans="1:9" x14ac:dyDescent="0.25">
      <c r="A1360" t="s">
        <v>3219</v>
      </c>
      <c r="B1360" s="1936"/>
      <c r="C1360" t="s">
        <v>2609</v>
      </c>
      <c r="D1360" s="1936"/>
      <c r="E1360" s="1936"/>
      <c r="F1360" s="1941">
        <v>0</v>
      </c>
      <c r="G1360" s="1941">
        <v>0</v>
      </c>
      <c r="I1360" s="1938">
        <f t="shared" si="22"/>
        <v>0</v>
      </c>
    </row>
    <row r="1361" spans="1:9" x14ac:dyDescent="0.25">
      <c r="A1361" t="s">
        <v>3219</v>
      </c>
      <c r="B1361" s="1936"/>
      <c r="C1361" t="s">
        <v>2770</v>
      </c>
      <c r="D1361" s="1936"/>
      <c r="E1361" s="1936"/>
      <c r="F1361" s="1941">
        <v>0</v>
      </c>
      <c r="G1361" s="1941">
        <v>0</v>
      </c>
      <c r="I1361" s="1938">
        <f t="shared" si="22"/>
        <v>0</v>
      </c>
    </row>
    <row r="1362" spans="1:9" x14ac:dyDescent="0.25">
      <c r="A1362" t="s">
        <v>3219</v>
      </c>
      <c r="B1362" s="1936"/>
      <c r="C1362" t="s">
        <v>2770</v>
      </c>
      <c r="D1362" s="1936"/>
      <c r="E1362" s="1936"/>
      <c r="F1362" s="1941">
        <v>0</v>
      </c>
      <c r="G1362" s="1941">
        <v>0</v>
      </c>
      <c r="I1362" s="1938">
        <f t="shared" si="22"/>
        <v>0</v>
      </c>
    </row>
    <row r="1363" spans="1:9" x14ac:dyDescent="0.25">
      <c r="A1363" t="s">
        <v>3219</v>
      </c>
      <c r="B1363" s="1936"/>
      <c r="C1363" t="s">
        <v>2770</v>
      </c>
      <c r="D1363" s="1936"/>
      <c r="E1363" s="1936"/>
      <c r="F1363" s="1941">
        <v>0</v>
      </c>
      <c r="G1363" s="1941">
        <v>0</v>
      </c>
      <c r="I1363" s="1938">
        <f t="shared" si="22"/>
        <v>0</v>
      </c>
    </row>
    <row r="1364" spans="1:9" x14ac:dyDescent="0.25">
      <c r="A1364" t="s">
        <v>3219</v>
      </c>
      <c r="B1364" s="1936"/>
      <c r="C1364" t="s">
        <v>3062</v>
      </c>
      <c r="D1364" s="1936"/>
      <c r="E1364" s="1936"/>
      <c r="F1364" s="1941">
        <v>0</v>
      </c>
      <c r="G1364" s="1941">
        <v>0</v>
      </c>
      <c r="I1364" s="1938">
        <f t="shared" si="22"/>
        <v>0</v>
      </c>
    </row>
    <row r="1365" spans="1:9" x14ac:dyDescent="0.25">
      <c r="A1365" t="s">
        <v>3708</v>
      </c>
      <c r="B1365" s="1936"/>
      <c r="C1365" t="s">
        <v>51</v>
      </c>
      <c r="D1365" s="1936"/>
      <c r="E1365" s="1936"/>
      <c r="F1365" s="1941">
        <v>29800.75</v>
      </c>
      <c r="G1365" s="1941">
        <v>29792</v>
      </c>
      <c r="I1365" s="1938">
        <f t="shared" si="22"/>
        <v>0</v>
      </c>
    </row>
    <row r="1366" spans="1:9" x14ac:dyDescent="0.25">
      <c r="A1366" t="s">
        <v>3740</v>
      </c>
      <c r="B1366" s="1936"/>
      <c r="C1366" t="s">
        <v>2625</v>
      </c>
      <c r="D1366" s="1936"/>
      <c r="E1366" s="1936"/>
      <c r="F1366" s="1941">
        <v>29800.75</v>
      </c>
      <c r="G1366" s="1941">
        <v>29792</v>
      </c>
      <c r="I1366" s="1938">
        <f t="shared" si="22"/>
        <v>0</v>
      </c>
    </row>
    <row r="1367" spans="1:9" x14ac:dyDescent="0.25">
      <c r="A1367" t="s">
        <v>3218</v>
      </c>
      <c r="B1367" s="1936"/>
      <c r="C1367" t="s">
        <v>3063</v>
      </c>
      <c r="D1367" s="1936"/>
      <c r="E1367" s="1936"/>
      <c r="F1367" s="1941">
        <v>194.03</v>
      </c>
      <c r="G1367" s="1941">
        <v>194</v>
      </c>
      <c r="I1367" s="1938">
        <f t="shared" si="22"/>
        <v>0</v>
      </c>
    </row>
    <row r="1368" spans="1:9" x14ac:dyDescent="0.25">
      <c r="A1368" t="s">
        <v>3217</v>
      </c>
      <c r="B1368" s="1936"/>
      <c r="C1368" t="s">
        <v>3064</v>
      </c>
      <c r="D1368" s="1936"/>
      <c r="E1368" s="1936"/>
      <c r="F1368" s="1941">
        <v>123.84</v>
      </c>
      <c r="G1368" s="1941">
        <v>101</v>
      </c>
      <c r="I1368" s="1938">
        <f t="shared" si="22"/>
        <v>0</v>
      </c>
    </row>
    <row r="1369" spans="1:9" x14ac:dyDescent="0.25">
      <c r="A1369" t="s">
        <v>3216</v>
      </c>
      <c r="B1369" s="1936"/>
      <c r="C1369" t="s">
        <v>3065</v>
      </c>
      <c r="D1369" s="1936"/>
      <c r="E1369" s="1936"/>
      <c r="F1369" s="1941">
        <v>0</v>
      </c>
      <c r="G1369" s="1941">
        <v>24</v>
      </c>
      <c r="I1369" s="1938">
        <f t="shared" si="22"/>
        <v>0</v>
      </c>
    </row>
    <row r="1370" spans="1:9" x14ac:dyDescent="0.25">
      <c r="A1370" t="s">
        <v>3708</v>
      </c>
      <c r="B1370" s="1936"/>
      <c r="C1370" t="s">
        <v>51</v>
      </c>
      <c r="D1370" s="1936"/>
      <c r="E1370" s="1936"/>
      <c r="F1370" s="1941">
        <v>317.87</v>
      </c>
      <c r="G1370" s="1941">
        <v>319</v>
      </c>
      <c r="I1370" s="1938">
        <f t="shared" si="22"/>
        <v>0</v>
      </c>
    </row>
    <row r="1371" spans="1:9" x14ac:dyDescent="0.25">
      <c r="A1371" t="s">
        <v>3741</v>
      </c>
      <c r="B1371" s="1936"/>
      <c r="C1371" t="s">
        <v>871</v>
      </c>
      <c r="D1371" s="1936"/>
      <c r="E1371" s="1936"/>
      <c r="F1371" s="1941">
        <v>317.87</v>
      </c>
      <c r="G1371" s="1941">
        <v>319</v>
      </c>
      <c r="I1371" s="1938">
        <f t="shared" si="22"/>
        <v>0</v>
      </c>
    </row>
    <row r="1372" spans="1:9" x14ac:dyDescent="0.25">
      <c r="A1372" t="s">
        <v>3215</v>
      </c>
      <c r="B1372" s="1936"/>
      <c r="C1372" t="s">
        <v>3066</v>
      </c>
      <c r="D1372" s="1936"/>
      <c r="E1372" s="1936"/>
      <c r="F1372" s="1941">
        <v>10377.83</v>
      </c>
      <c r="G1372" s="1941">
        <v>10136</v>
      </c>
      <c r="I1372" s="1938">
        <f t="shared" si="22"/>
        <v>0</v>
      </c>
    </row>
    <row r="1373" spans="1:9" x14ac:dyDescent="0.25">
      <c r="A1373" t="s">
        <v>3214</v>
      </c>
      <c r="B1373" s="1936"/>
      <c r="C1373" t="s">
        <v>3067</v>
      </c>
      <c r="D1373" s="1936"/>
      <c r="E1373" s="1936"/>
      <c r="F1373" s="1941">
        <v>6621.72</v>
      </c>
      <c r="G1373" s="1941">
        <v>6622</v>
      </c>
      <c r="I1373" s="1938">
        <f t="shared" si="22"/>
        <v>0</v>
      </c>
    </row>
    <row r="1374" spans="1:9" x14ac:dyDescent="0.25">
      <c r="A1374" t="s">
        <v>3213</v>
      </c>
      <c r="B1374" s="1936"/>
      <c r="C1374" t="s">
        <v>3068</v>
      </c>
      <c r="D1374" s="1936"/>
      <c r="E1374" s="1936"/>
      <c r="F1374" s="1941">
        <v>2053.79</v>
      </c>
      <c r="G1374" s="1941">
        <v>1967</v>
      </c>
      <c r="I1374" s="1938">
        <f t="shared" si="22"/>
        <v>0</v>
      </c>
    </row>
    <row r="1375" spans="1:9" x14ac:dyDescent="0.25">
      <c r="A1375" t="s">
        <v>3708</v>
      </c>
      <c r="B1375" s="1936"/>
      <c r="C1375" t="s">
        <v>51</v>
      </c>
      <c r="D1375" s="1936"/>
      <c r="E1375" s="1936"/>
      <c r="F1375" s="1941">
        <v>19053.34</v>
      </c>
      <c r="G1375" s="1941">
        <v>18725</v>
      </c>
      <c r="I1375" s="1938">
        <f t="shared" si="22"/>
        <v>0</v>
      </c>
    </row>
    <row r="1376" spans="1:9" x14ac:dyDescent="0.25">
      <c r="A1376" t="s">
        <v>3742</v>
      </c>
      <c r="B1376" s="1936"/>
      <c r="C1376" t="s">
        <v>2657</v>
      </c>
      <c r="D1376" s="1936"/>
      <c r="E1376" s="1936"/>
      <c r="F1376" s="1941">
        <v>19053.34</v>
      </c>
      <c r="G1376" s="1941">
        <v>18725</v>
      </c>
      <c r="I1376" s="1938">
        <f t="shared" si="22"/>
        <v>0</v>
      </c>
    </row>
    <row r="1377" spans="1:9" x14ac:dyDescent="0.25">
      <c r="A1377" t="s">
        <v>3212</v>
      </c>
      <c r="B1377" s="1936"/>
      <c r="C1377" t="s">
        <v>3069</v>
      </c>
      <c r="D1377" s="1936"/>
      <c r="E1377" s="1936"/>
      <c r="F1377" s="1941">
        <v>4548.18</v>
      </c>
      <c r="G1377" s="1941">
        <v>4547</v>
      </c>
      <c r="I1377" s="1938">
        <f t="shared" si="22"/>
        <v>0</v>
      </c>
    </row>
    <row r="1378" spans="1:9" x14ac:dyDescent="0.25">
      <c r="A1378" t="s">
        <v>3212</v>
      </c>
      <c r="B1378" s="1936"/>
      <c r="C1378" t="s">
        <v>3070</v>
      </c>
      <c r="D1378" s="1936"/>
      <c r="E1378" s="1936"/>
      <c r="F1378" s="1941">
        <v>3402.57</v>
      </c>
      <c r="G1378" s="1941">
        <v>3403</v>
      </c>
      <c r="I1378" s="1938">
        <f t="shared" si="22"/>
        <v>0</v>
      </c>
    </row>
    <row r="1379" spans="1:9" x14ac:dyDescent="0.25">
      <c r="A1379" t="s">
        <v>3212</v>
      </c>
      <c r="B1379" s="1936"/>
      <c r="C1379" t="s">
        <v>3071</v>
      </c>
      <c r="D1379" s="1936"/>
      <c r="E1379" s="1936"/>
      <c r="F1379" s="1941">
        <v>4560.5600000000004</v>
      </c>
      <c r="G1379" s="1941">
        <v>4559</v>
      </c>
      <c r="I1379" s="1938">
        <f t="shared" si="22"/>
        <v>0</v>
      </c>
    </row>
    <row r="1380" spans="1:9" x14ac:dyDescent="0.25">
      <c r="A1380" t="s">
        <v>3212</v>
      </c>
      <c r="B1380" s="1936"/>
      <c r="C1380" t="s">
        <v>3072</v>
      </c>
      <c r="D1380" s="1936"/>
      <c r="E1380" s="1936"/>
      <c r="F1380" s="1941">
        <v>4548.17</v>
      </c>
      <c r="G1380" s="1941">
        <v>4547</v>
      </c>
      <c r="I1380" s="1938">
        <f t="shared" si="22"/>
        <v>0</v>
      </c>
    </row>
    <row r="1381" spans="1:9" x14ac:dyDescent="0.25">
      <c r="A1381" t="s">
        <v>3212</v>
      </c>
      <c r="B1381" s="1936"/>
      <c r="C1381" t="s">
        <v>3073</v>
      </c>
      <c r="D1381" s="1936"/>
      <c r="E1381" s="1936"/>
      <c r="F1381" s="1941">
        <v>4548.17</v>
      </c>
      <c r="G1381" s="1941">
        <v>4547</v>
      </c>
      <c r="I1381" s="1938">
        <f t="shared" si="22"/>
        <v>0</v>
      </c>
    </row>
    <row r="1382" spans="1:9" x14ac:dyDescent="0.25">
      <c r="A1382" t="s">
        <v>3212</v>
      </c>
      <c r="B1382" s="1936"/>
      <c r="C1382" t="s">
        <v>3074</v>
      </c>
      <c r="D1382" s="1936"/>
      <c r="E1382" s="1936"/>
      <c r="F1382" s="1941">
        <v>13779.05</v>
      </c>
      <c r="G1382" s="1941">
        <v>13781</v>
      </c>
      <c r="I1382" s="1938">
        <f t="shared" si="22"/>
        <v>0</v>
      </c>
    </row>
    <row r="1383" spans="1:9" x14ac:dyDescent="0.25">
      <c r="A1383" t="s">
        <v>3211</v>
      </c>
      <c r="B1383" s="1936"/>
      <c r="C1383" t="s">
        <v>3075</v>
      </c>
      <c r="D1383" s="1936"/>
      <c r="E1383" s="1936"/>
      <c r="F1383" s="1941">
        <v>2903.53</v>
      </c>
      <c r="G1383" s="1941">
        <v>2903</v>
      </c>
      <c r="I1383" s="1938">
        <f t="shared" si="22"/>
        <v>0</v>
      </c>
    </row>
    <row r="1384" spans="1:9" x14ac:dyDescent="0.25">
      <c r="A1384" t="s">
        <v>3211</v>
      </c>
      <c r="B1384" s="1936"/>
      <c r="C1384" t="s">
        <v>3076</v>
      </c>
      <c r="D1384" s="1936"/>
      <c r="E1384" s="1936"/>
      <c r="F1384" s="1941">
        <v>2175.9899999999998</v>
      </c>
      <c r="G1384" s="1941">
        <v>2176</v>
      </c>
      <c r="I1384" s="1938">
        <f t="shared" si="22"/>
        <v>0</v>
      </c>
    </row>
    <row r="1385" spans="1:9" x14ac:dyDescent="0.25">
      <c r="A1385" t="s">
        <v>3211</v>
      </c>
      <c r="B1385" s="1936"/>
      <c r="C1385" t="s">
        <v>3077</v>
      </c>
      <c r="D1385" s="1936"/>
      <c r="E1385" s="1936"/>
      <c r="F1385" s="1941">
        <v>2911.17</v>
      </c>
      <c r="G1385" s="1941">
        <v>2911</v>
      </c>
      <c r="I1385" s="1938">
        <f t="shared" si="22"/>
        <v>0</v>
      </c>
    </row>
    <row r="1386" spans="1:9" x14ac:dyDescent="0.25">
      <c r="A1386" t="s">
        <v>3211</v>
      </c>
      <c r="B1386" s="1936"/>
      <c r="C1386" t="s">
        <v>3078</v>
      </c>
      <c r="D1386" s="1936"/>
      <c r="E1386" s="1936"/>
      <c r="F1386" s="1941">
        <v>2899.38</v>
      </c>
      <c r="G1386" s="1941">
        <v>2899</v>
      </c>
      <c r="I1386" s="1938">
        <f t="shared" si="22"/>
        <v>0</v>
      </c>
    </row>
    <row r="1387" spans="1:9" x14ac:dyDescent="0.25">
      <c r="A1387" t="s">
        <v>3211</v>
      </c>
      <c r="B1387" s="1936"/>
      <c r="C1387" t="s">
        <v>3079</v>
      </c>
      <c r="D1387" s="1936"/>
      <c r="E1387" s="1936"/>
      <c r="F1387" s="1941">
        <v>2903.51</v>
      </c>
      <c r="G1387" s="1941">
        <v>2904</v>
      </c>
      <c r="I1387" s="1938">
        <f t="shared" si="22"/>
        <v>0</v>
      </c>
    </row>
    <row r="1388" spans="1:9" x14ac:dyDescent="0.25">
      <c r="A1388" t="s">
        <v>3211</v>
      </c>
      <c r="B1388" s="1936"/>
      <c r="C1388" t="s">
        <v>3080</v>
      </c>
      <c r="D1388" s="1936"/>
      <c r="E1388" s="1936"/>
      <c r="F1388" s="1941">
        <v>8989.1299999999992</v>
      </c>
      <c r="G1388" s="1941">
        <v>8990</v>
      </c>
      <c r="I1388" s="1938">
        <f t="shared" si="22"/>
        <v>0</v>
      </c>
    </row>
    <row r="1389" spans="1:9" x14ac:dyDescent="0.25">
      <c r="A1389" t="s">
        <v>3210</v>
      </c>
      <c r="B1389" s="1936"/>
      <c r="C1389" t="s">
        <v>3081</v>
      </c>
      <c r="D1389" s="1936"/>
      <c r="E1389" s="1936"/>
      <c r="F1389" s="1941">
        <v>1234.56</v>
      </c>
      <c r="G1389" s="1941">
        <v>1235</v>
      </c>
      <c r="I1389" s="1938">
        <f t="shared" si="22"/>
        <v>0</v>
      </c>
    </row>
    <row r="1390" spans="1:9" x14ac:dyDescent="0.25">
      <c r="A1390" t="s">
        <v>3210</v>
      </c>
      <c r="B1390" s="1936"/>
      <c r="C1390" t="s">
        <v>3082</v>
      </c>
      <c r="D1390" s="1936"/>
      <c r="E1390" s="1936"/>
      <c r="F1390" s="1941">
        <v>1186.32</v>
      </c>
      <c r="G1390" s="1941">
        <v>1186</v>
      </c>
      <c r="I1390" s="1938">
        <f t="shared" si="22"/>
        <v>0</v>
      </c>
    </row>
    <row r="1391" spans="1:9" x14ac:dyDescent="0.25">
      <c r="A1391" t="s">
        <v>3210</v>
      </c>
      <c r="B1391" s="1936"/>
      <c r="C1391" t="s">
        <v>3083</v>
      </c>
      <c r="D1391" s="1936"/>
      <c r="E1391" s="1936"/>
      <c r="F1391" s="1941">
        <v>1297.44</v>
      </c>
      <c r="G1391" s="1941">
        <v>1297</v>
      </c>
      <c r="I1391" s="1938">
        <f t="shared" si="22"/>
        <v>0</v>
      </c>
    </row>
    <row r="1392" spans="1:9" x14ac:dyDescent="0.25">
      <c r="A1392" t="s">
        <v>3210</v>
      </c>
      <c r="B1392" s="1936"/>
      <c r="C1392" t="s">
        <v>3084</v>
      </c>
      <c r="D1392" s="1936"/>
      <c r="E1392" s="1936"/>
      <c r="F1392" s="1941">
        <v>1208.4000000000001</v>
      </c>
      <c r="G1392" s="1941">
        <v>1209</v>
      </c>
      <c r="I1392" s="1938">
        <f t="shared" si="22"/>
        <v>0</v>
      </c>
    </row>
    <row r="1393" spans="1:9" x14ac:dyDescent="0.25">
      <c r="A1393" t="s">
        <v>3210</v>
      </c>
      <c r="B1393" s="1936"/>
      <c r="C1393" t="s">
        <v>3085</v>
      </c>
      <c r="D1393" s="1936"/>
      <c r="E1393" s="1936"/>
      <c r="F1393" s="1941">
        <v>1157.52</v>
      </c>
      <c r="G1393" s="1941">
        <v>1158</v>
      </c>
      <c r="I1393" s="1938">
        <f t="shared" si="22"/>
        <v>0</v>
      </c>
    </row>
    <row r="1394" spans="1:9" x14ac:dyDescent="0.25">
      <c r="A1394" t="s">
        <v>3210</v>
      </c>
      <c r="B1394" s="1936"/>
      <c r="C1394" t="s">
        <v>3086</v>
      </c>
      <c r="D1394" s="1936"/>
      <c r="E1394" s="1936"/>
      <c r="F1394" s="1941">
        <v>2.98</v>
      </c>
      <c r="G1394" s="1941">
        <v>10</v>
      </c>
      <c r="I1394" s="1938">
        <f t="shared" si="22"/>
        <v>0</v>
      </c>
    </row>
    <row r="1395" spans="1:9" x14ac:dyDescent="0.25">
      <c r="A1395" t="s">
        <v>3708</v>
      </c>
      <c r="B1395" s="1936"/>
      <c r="C1395" t="s">
        <v>51</v>
      </c>
      <c r="D1395" s="1936"/>
      <c r="E1395" s="1936"/>
      <c r="F1395" s="1941">
        <v>64256.63</v>
      </c>
      <c r="G1395" s="1941">
        <v>64262</v>
      </c>
      <c r="I1395" s="1938">
        <f t="shared" si="22"/>
        <v>0</v>
      </c>
    </row>
    <row r="1396" spans="1:9" x14ac:dyDescent="0.25">
      <c r="A1396" t="s">
        <v>3743</v>
      </c>
      <c r="B1396" s="1936"/>
      <c r="C1396" t="s">
        <v>2721</v>
      </c>
      <c r="D1396" s="1936"/>
      <c r="E1396" s="1936"/>
      <c r="F1396" s="1941">
        <v>64256.63</v>
      </c>
      <c r="G1396" s="1941">
        <v>64262</v>
      </c>
      <c r="I1396" s="1938">
        <f t="shared" si="22"/>
        <v>0</v>
      </c>
    </row>
    <row r="1397" spans="1:9" x14ac:dyDescent="0.25">
      <c r="A1397" t="s">
        <v>3209</v>
      </c>
      <c r="B1397" s="1936"/>
      <c r="C1397" t="s">
        <v>3087</v>
      </c>
      <c r="D1397" s="1936"/>
      <c r="E1397" s="1936"/>
      <c r="F1397" s="1941">
        <v>12567.37</v>
      </c>
      <c r="G1397" s="1941">
        <v>12567</v>
      </c>
      <c r="I1397" s="1938">
        <f t="shared" si="22"/>
        <v>0</v>
      </c>
    </row>
    <row r="1398" spans="1:9" x14ac:dyDescent="0.25">
      <c r="A1398" t="s">
        <v>3208</v>
      </c>
      <c r="B1398" s="1936"/>
      <c r="C1398" t="s">
        <v>3088</v>
      </c>
      <c r="D1398" s="1936"/>
      <c r="E1398" s="1936"/>
      <c r="F1398" s="1941">
        <v>8025.13</v>
      </c>
      <c r="G1398" s="1941">
        <v>8025</v>
      </c>
      <c r="I1398" s="1938">
        <f t="shared" si="22"/>
        <v>0</v>
      </c>
    </row>
    <row r="1399" spans="1:9" x14ac:dyDescent="0.25">
      <c r="A1399" t="s">
        <v>3207</v>
      </c>
      <c r="B1399" s="1936"/>
      <c r="C1399" t="s">
        <v>3089</v>
      </c>
      <c r="D1399" s="1936"/>
      <c r="E1399" s="1936"/>
      <c r="F1399" s="1941">
        <v>0</v>
      </c>
      <c r="G1399" s="1941">
        <v>0</v>
      </c>
      <c r="I1399" s="1938">
        <f t="shared" si="22"/>
        <v>0</v>
      </c>
    </row>
    <row r="1400" spans="1:9" x14ac:dyDescent="0.25">
      <c r="A1400" t="s">
        <v>3708</v>
      </c>
      <c r="B1400" s="1936"/>
      <c r="C1400" t="s">
        <v>51</v>
      </c>
      <c r="D1400" s="1936"/>
      <c r="E1400" s="1936"/>
      <c r="F1400" s="1941">
        <v>20592.5</v>
      </c>
      <c r="G1400" s="1941">
        <v>20592</v>
      </c>
      <c r="I1400" s="1938">
        <f t="shared" si="22"/>
        <v>0</v>
      </c>
    </row>
    <row r="1401" spans="1:9" x14ac:dyDescent="0.25">
      <c r="A1401" t="s">
        <v>3744</v>
      </c>
      <c r="B1401" s="1936"/>
      <c r="C1401" t="s">
        <v>483</v>
      </c>
      <c r="D1401" s="1936"/>
      <c r="E1401" s="1936"/>
      <c r="F1401" s="1941">
        <v>20592.5</v>
      </c>
      <c r="G1401" s="1941">
        <v>20592</v>
      </c>
      <c r="I1401" s="1938">
        <f t="shared" si="22"/>
        <v>0</v>
      </c>
    </row>
    <row r="1402" spans="1:9" x14ac:dyDescent="0.25">
      <c r="A1402" t="s">
        <v>3206</v>
      </c>
      <c r="B1402" s="1936"/>
      <c r="C1402" t="s">
        <v>3090</v>
      </c>
      <c r="D1402" s="1936"/>
      <c r="E1402" s="1936"/>
      <c r="F1402" s="1941">
        <v>16694.68</v>
      </c>
      <c r="G1402" s="1941">
        <v>17635</v>
      </c>
      <c r="I1402" s="1938">
        <f t="shared" si="22"/>
        <v>0</v>
      </c>
    </row>
    <row r="1403" spans="1:9" x14ac:dyDescent="0.25">
      <c r="A1403" t="s">
        <v>3206</v>
      </c>
      <c r="B1403" s="1936"/>
      <c r="C1403" t="s">
        <v>3091</v>
      </c>
      <c r="D1403" s="1936"/>
      <c r="E1403" s="1936"/>
      <c r="F1403" s="1941">
        <v>11345.59</v>
      </c>
      <c r="G1403" s="1941">
        <v>12286</v>
      </c>
      <c r="I1403" s="1938">
        <f t="shared" si="22"/>
        <v>0</v>
      </c>
    </row>
    <row r="1404" spans="1:9" x14ac:dyDescent="0.25">
      <c r="A1404" t="s">
        <v>3206</v>
      </c>
      <c r="B1404" s="1936"/>
      <c r="C1404" t="s">
        <v>3092</v>
      </c>
      <c r="D1404" s="1936"/>
      <c r="E1404" s="1936"/>
      <c r="F1404" s="1941">
        <v>14239.26</v>
      </c>
      <c r="G1404" s="1941">
        <v>17080</v>
      </c>
      <c r="I1404" s="1938">
        <f t="shared" si="22"/>
        <v>0</v>
      </c>
    </row>
    <row r="1405" spans="1:9" x14ac:dyDescent="0.25">
      <c r="A1405" t="s">
        <v>3206</v>
      </c>
      <c r="B1405" s="1936"/>
      <c r="C1405" t="s">
        <v>3093</v>
      </c>
      <c r="D1405" s="1936"/>
      <c r="E1405" s="1936"/>
      <c r="F1405" s="1941">
        <v>11018.43</v>
      </c>
      <c r="G1405" s="1941">
        <v>11593</v>
      </c>
      <c r="I1405" s="1938">
        <f t="shared" si="22"/>
        <v>0</v>
      </c>
    </row>
    <row r="1406" spans="1:9" x14ac:dyDescent="0.25">
      <c r="A1406" t="s">
        <v>3206</v>
      </c>
      <c r="B1406" s="1936"/>
      <c r="C1406" t="s">
        <v>3094</v>
      </c>
      <c r="D1406" s="1936"/>
      <c r="E1406" s="1936"/>
      <c r="F1406" s="1941">
        <v>14697.93</v>
      </c>
      <c r="G1406" s="1941">
        <v>17080</v>
      </c>
      <c r="I1406" s="1938">
        <f t="shared" si="22"/>
        <v>0</v>
      </c>
    </row>
    <row r="1407" spans="1:9" x14ac:dyDescent="0.25">
      <c r="A1407" t="s">
        <v>3206</v>
      </c>
      <c r="B1407" s="1936"/>
      <c r="C1407" t="s">
        <v>3095</v>
      </c>
      <c r="D1407" s="1936"/>
      <c r="E1407" s="1936"/>
      <c r="F1407" s="1941">
        <v>38535.129999999997</v>
      </c>
      <c r="G1407" s="1941">
        <v>39000</v>
      </c>
      <c r="I1407" s="1938">
        <f t="shared" si="22"/>
        <v>0</v>
      </c>
    </row>
    <row r="1408" spans="1:9" x14ac:dyDescent="0.25">
      <c r="A1408" t="s">
        <v>3205</v>
      </c>
      <c r="B1408" s="1936"/>
      <c r="C1408" t="s">
        <v>3096</v>
      </c>
      <c r="D1408" s="1936"/>
      <c r="E1408" s="1936"/>
      <c r="F1408" s="1941">
        <v>11186.04</v>
      </c>
      <c r="G1408" s="1941">
        <v>11282</v>
      </c>
      <c r="I1408" s="1938">
        <f t="shared" si="22"/>
        <v>0</v>
      </c>
    </row>
    <row r="1409" spans="1:9" x14ac:dyDescent="0.25">
      <c r="A1409" t="s">
        <v>3205</v>
      </c>
      <c r="B1409" s="1936"/>
      <c r="C1409" t="s">
        <v>3097</v>
      </c>
      <c r="D1409" s="1936"/>
      <c r="E1409" s="1936"/>
      <c r="F1409" s="1941">
        <v>7241.18</v>
      </c>
      <c r="G1409" s="1941">
        <v>7412</v>
      </c>
      <c r="I1409" s="1938">
        <f t="shared" si="22"/>
        <v>0</v>
      </c>
    </row>
    <row r="1410" spans="1:9" x14ac:dyDescent="0.25">
      <c r="A1410" t="s">
        <v>3205</v>
      </c>
      <c r="B1410" s="1936"/>
      <c r="C1410" t="s">
        <v>3098</v>
      </c>
      <c r="D1410" s="1936"/>
      <c r="E1410" s="1936"/>
      <c r="F1410" s="1941">
        <v>9066.58</v>
      </c>
      <c r="G1410" s="1941">
        <v>9095</v>
      </c>
      <c r="I1410" s="1938">
        <f t="shared" si="22"/>
        <v>0</v>
      </c>
    </row>
    <row r="1411" spans="1:9" x14ac:dyDescent="0.25">
      <c r="A1411" t="s">
        <v>3205</v>
      </c>
      <c r="B1411" s="1936"/>
      <c r="C1411" t="s">
        <v>3099</v>
      </c>
      <c r="D1411" s="1936"/>
      <c r="E1411" s="1936"/>
      <c r="F1411" s="1941">
        <v>7037.43</v>
      </c>
      <c r="G1411" s="1941">
        <v>7056</v>
      </c>
      <c r="I1411" s="1938">
        <f t="shared" si="22"/>
        <v>0</v>
      </c>
    </row>
    <row r="1412" spans="1:9" x14ac:dyDescent="0.25">
      <c r="A1412" t="s">
        <v>3205</v>
      </c>
      <c r="B1412" s="1936"/>
      <c r="C1412" t="s">
        <v>3100</v>
      </c>
      <c r="D1412" s="1936"/>
      <c r="E1412" s="1936"/>
      <c r="F1412" s="1941">
        <v>9988.14</v>
      </c>
      <c r="G1412" s="1941">
        <v>10042</v>
      </c>
      <c r="I1412" s="1938">
        <f t="shared" ref="I1412:I1475" si="23">IF(F1412&lt;0,F1412,0)</f>
        <v>0</v>
      </c>
    </row>
    <row r="1413" spans="1:9" x14ac:dyDescent="0.25">
      <c r="A1413" t="s">
        <v>3205</v>
      </c>
      <c r="B1413" s="1936"/>
      <c r="C1413" t="s">
        <v>3101</v>
      </c>
      <c r="D1413" s="1936"/>
      <c r="E1413" s="1936"/>
      <c r="F1413" s="1941">
        <v>30234.22</v>
      </c>
      <c r="G1413" s="1941">
        <v>29771</v>
      </c>
      <c r="I1413" s="1938">
        <f t="shared" si="23"/>
        <v>0</v>
      </c>
    </row>
    <row r="1414" spans="1:9" x14ac:dyDescent="0.25">
      <c r="A1414" t="s">
        <v>3204</v>
      </c>
      <c r="B1414" s="1936"/>
      <c r="C1414" t="s">
        <v>3102</v>
      </c>
      <c r="D1414" s="1936"/>
      <c r="E1414" s="1936"/>
      <c r="F1414" s="1941">
        <v>0</v>
      </c>
      <c r="G1414" s="1941">
        <v>0</v>
      </c>
      <c r="I1414" s="1938">
        <f t="shared" si="23"/>
        <v>0</v>
      </c>
    </row>
    <row r="1415" spans="1:9" x14ac:dyDescent="0.25">
      <c r="A1415" t="s">
        <v>3204</v>
      </c>
      <c r="B1415" s="1936"/>
      <c r="C1415" t="s">
        <v>3103</v>
      </c>
      <c r="D1415" s="1936"/>
      <c r="E1415" s="1936"/>
      <c r="F1415" s="1941">
        <v>0</v>
      </c>
      <c r="G1415" s="1941">
        <v>0</v>
      </c>
      <c r="I1415" s="1938">
        <f t="shared" si="23"/>
        <v>0</v>
      </c>
    </row>
    <row r="1416" spans="1:9" x14ac:dyDescent="0.25">
      <c r="A1416" t="s">
        <v>3204</v>
      </c>
      <c r="B1416" s="1936"/>
      <c r="C1416" t="s">
        <v>3104</v>
      </c>
      <c r="D1416" s="1936"/>
      <c r="E1416" s="1936"/>
      <c r="F1416" s="1941">
        <v>0</v>
      </c>
      <c r="G1416" s="1941">
        <v>0</v>
      </c>
      <c r="I1416" s="1938">
        <f t="shared" si="23"/>
        <v>0</v>
      </c>
    </row>
    <row r="1417" spans="1:9" x14ac:dyDescent="0.25">
      <c r="A1417" t="s">
        <v>3204</v>
      </c>
      <c r="B1417" s="1936"/>
      <c r="C1417" t="s">
        <v>3105</v>
      </c>
      <c r="D1417" s="1936"/>
      <c r="E1417" s="1936"/>
      <c r="F1417" s="1941">
        <v>0</v>
      </c>
      <c r="G1417" s="1941">
        <v>0</v>
      </c>
      <c r="I1417" s="1938">
        <f t="shared" si="23"/>
        <v>0</v>
      </c>
    </row>
    <row r="1418" spans="1:9" x14ac:dyDescent="0.25">
      <c r="A1418" t="s">
        <v>3204</v>
      </c>
      <c r="B1418" s="1936"/>
      <c r="C1418" t="s">
        <v>3106</v>
      </c>
      <c r="D1418" s="1936"/>
      <c r="E1418" s="1936"/>
      <c r="F1418" s="1941">
        <v>0</v>
      </c>
      <c r="G1418" s="1941">
        <v>0</v>
      </c>
      <c r="I1418" s="1938">
        <f t="shared" si="23"/>
        <v>0</v>
      </c>
    </row>
    <row r="1419" spans="1:9" x14ac:dyDescent="0.25">
      <c r="A1419" t="s">
        <v>3204</v>
      </c>
      <c r="B1419" s="1936"/>
      <c r="C1419" t="s">
        <v>3107</v>
      </c>
      <c r="D1419" s="1936"/>
      <c r="E1419" s="1936"/>
      <c r="F1419" s="1941">
        <v>0</v>
      </c>
      <c r="G1419" s="1941">
        <v>0</v>
      </c>
      <c r="I1419" s="1938">
        <f t="shared" si="23"/>
        <v>0</v>
      </c>
    </row>
    <row r="1420" spans="1:9" x14ac:dyDescent="0.25">
      <c r="A1420" t="s">
        <v>3708</v>
      </c>
      <c r="B1420" s="1936"/>
      <c r="C1420" t="s">
        <v>51</v>
      </c>
      <c r="D1420" s="1936"/>
      <c r="E1420" s="1936"/>
      <c r="F1420" s="1941">
        <v>181284.61</v>
      </c>
      <c r="G1420" s="1941">
        <v>189332</v>
      </c>
      <c r="I1420" s="1938">
        <f t="shared" si="23"/>
        <v>0</v>
      </c>
    </row>
    <row r="1421" spans="1:9" x14ac:dyDescent="0.25">
      <c r="A1421" t="s">
        <v>3769</v>
      </c>
      <c r="B1421" s="1936"/>
      <c r="C1421" t="s">
        <v>2896</v>
      </c>
      <c r="D1421" s="1936"/>
      <c r="E1421" s="1936"/>
      <c r="F1421" s="1941">
        <v>181284.61</v>
      </c>
      <c r="G1421" s="1941">
        <v>189332</v>
      </c>
      <c r="I1421" s="1938">
        <f t="shared" si="23"/>
        <v>0</v>
      </c>
    </row>
    <row r="1422" spans="1:9" x14ac:dyDescent="0.25">
      <c r="A1422" t="s">
        <v>3203</v>
      </c>
      <c r="B1422" s="1936"/>
      <c r="C1422" t="s">
        <v>3108</v>
      </c>
      <c r="D1422" s="1936"/>
      <c r="E1422" s="1936"/>
      <c r="F1422" s="1941">
        <v>97931.15</v>
      </c>
      <c r="G1422" s="1941">
        <v>103000</v>
      </c>
      <c r="I1422" s="1938">
        <f t="shared" si="23"/>
        <v>0</v>
      </c>
    </row>
    <row r="1423" spans="1:9" x14ac:dyDescent="0.25">
      <c r="A1423" t="s">
        <v>3202</v>
      </c>
      <c r="B1423" s="1936"/>
      <c r="C1423" t="s">
        <v>3109</v>
      </c>
      <c r="D1423" s="1936"/>
      <c r="E1423" s="1936"/>
      <c r="F1423" s="1941">
        <v>70808.84</v>
      </c>
      <c r="G1423" s="1941">
        <v>68514</v>
      </c>
      <c r="I1423" s="1938">
        <f t="shared" si="23"/>
        <v>0</v>
      </c>
    </row>
    <row r="1424" spans="1:9" x14ac:dyDescent="0.25">
      <c r="A1424" t="s">
        <v>3201</v>
      </c>
      <c r="B1424" s="1936"/>
      <c r="C1424" t="s">
        <v>3110</v>
      </c>
      <c r="D1424" s="1936"/>
      <c r="E1424" s="1936"/>
      <c r="F1424" s="1941">
        <v>0</v>
      </c>
      <c r="G1424" s="1941">
        <v>0</v>
      </c>
      <c r="I1424" s="1938">
        <f t="shared" si="23"/>
        <v>0</v>
      </c>
    </row>
    <row r="1425" spans="1:9" x14ac:dyDescent="0.25">
      <c r="A1425" t="s">
        <v>3708</v>
      </c>
      <c r="B1425" s="1936"/>
      <c r="C1425" t="s">
        <v>51</v>
      </c>
      <c r="D1425" s="1936"/>
      <c r="E1425" s="1936"/>
      <c r="F1425" s="1941">
        <v>168739.99</v>
      </c>
      <c r="G1425" s="1941">
        <v>171514</v>
      </c>
      <c r="I1425" s="1938">
        <f t="shared" si="23"/>
        <v>0</v>
      </c>
    </row>
    <row r="1426" spans="1:9" x14ac:dyDescent="0.25">
      <c r="A1426" t="s">
        <v>3788</v>
      </c>
      <c r="B1426" s="1936"/>
      <c r="C1426" t="s">
        <v>2981</v>
      </c>
      <c r="D1426" s="1936"/>
      <c r="E1426" s="1936"/>
      <c r="F1426" s="1941">
        <v>168739.99</v>
      </c>
      <c r="G1426" s="1941">
        <v>171514</v>
      </c>
      <c r="I1426" s="1938">
        <f t="shared" si="23"/>
        <v>0</v>
      </c>
    </row>
    <row r="1427" spans="1:9" x14ac:dyDescent="0.25">
      <c r="A1427" t="s">
        <v>3200</v>
      </c>
      <c r="B1427" s="1936"/>
      <c r="C1427" t="s">
        <v>3111</v>
      </c>
      <c r="D1427" s="1936"/>
      <c r="E1427" s="1936"/>
      <c r="F1427" s="1941">
        <v>17632.7</v>
      </c>
      <c r="G1427" s="1941">
        <v>17500</v>
      </c>
      <c r="I1427" s="1938">
        <f t="shared" si="23"/>
        <v>0</v>
      </c>
    </row>
    <row r="1428" spans="1:9" x14ac:dyDescent="0.25">
      <c r="A1428" t="s">
        <v>3199</v>
      </c>
      <c r="B1428" s="1936"/>
      <c r="C1428" t="s">
        <v>3112</v>
      </c>
      <c r="D1428" s="1936"/>
      <c r="E1428" s="1936"/>
      <c r="F1428" s="1941">
        <v>13622.94</v>
      </c>
      <c r="G1428" s="1941">
        <v>13584</v>
      </c>
      <c r="I1428" s="1938">
        <f t="shared" si="23"/>
        <v>0</v>
      </c>
    </row>
    <row r="1429" spans="1:9" x14ac:dyDescent="0.25">
      <c r="A1429" t="s">
        <v>3198</v>
      </c>
      <c r="B1429" s="1936"/>
      <c r="C1429" t="s">
        <v>3113</v>
      </c>
      <c r="D1429" s="1936"/>
      <c r="E1429" s="1936"/>
      <c r="F1429" s="1941">
        <v>0</v>
      </c>
      <c r="G1429" s="1941">
        <v>0</v>
      </c>
      <c r="I1429" s="1938">
        <f t="shared" si="23"/>
        <v>0</v>
      </c>
    </row>
    <row r="1430" spans="1:9" x14ac:dyDescent="0.25">
      <c r="A1430" t="s">
        <v>3708</v>
      </c>
      <c r="B1430" s="1936"/>
      <c r="C1430" t="s">
        <v>51</v>
      </c>
      <c r="D1430" s="1936"/>
      <c r="E1430" s="1936"/>
      <c r="F1430" s="1941">
        <v>31255.64</v>
      </c>
      <c r="G1430" s="1941">
        <v>31084</v>
      </c>
      <c r="I1430" s="1938">
        <f t="shared" si="23"/>
        <v>0</v>
      </c>
    </row>
    <row r="1431" spans="1:9" x14ac:dyDescent="0.25">
      <c r="A1431" t="s">
        <v>3746</v>
      </c>
      <c r="B1431" s="1936"/>
      <c r="C1431" t="s">
        <v>102</v>
      </c>
      <c r="D1431" s="1936"/>
      <c r="E1431" s="1936"/>
      <c r="F1431" s="1941">
        <v>31255.64</v>
      </c>
      <c r="G1431" s="1941">
        <v>31084</v>
      </c>
      <c r="I1431" s="1938">
        <f t="shared" si="23"/>
        <v>0</v>
      </c>
    </row>
    <row r="1432" spans="1:9" x14ac:dyDescent="0.25">
      <c r="A1432" t="s">
        <v>3197</v>
      </c>
      <c r="B1432" s="1936"/>
      <c r="C1432" t="s">
        <v>2173</v>
      </c>
      <c r="D1432" s="1936"/>
      <c r="E1432" s="1936"/>
      <c r="F1432" s="1941">
        <v>0</v>
      </c>
      <c r="G1432" s="1941">
        <v>0</v>
      </c>
      <c r="I1432" s="1938">
        <f t="shared" si="23"/>
        <v>0</v>
      </c>
    </row>
    <row r="1433" spans="1:9" x14ac:dyDescent="0.25">
      <c r="A1433" t="s">
        <v>3196</v>
      </c>
      <c r="B1433" s="1936"/>
      <c r="C1433" t="s">
        <v>2173</v>
      </c>
      <c r="D1433" s="1936"/>
      <c r="E1433" s="1936"/>
      <c r="F1433" s="1941">
        <v>0</v>
      </c>
      <c r="G1433" s="1941">
        <v>0</v>
      </c>
      <c r="I1433" s="1938">
        <f t="shared" si="23"/>
        <v>0</v>
      </c>
    </row>
    <row r="1434" spans="1:9" x14ac:dyDescent="0.25">
      <c r="A1434" t="s">
        <v>3195</v>
      </c>
      <c r="B1434" s="1936"/>
      <c r="C1434" t="s">
        <v>2173</v>
      </c>
      <c r="D1434" s="1936"/>
      <c r="E1434" s="1936"/>
      <c r="F1434" s="1941">
        <v>0</v>
      </c>
      <c r="G1434" s="1941">
        <v>0</v>
      </c>
      <c r="I1434" s="1938">
        <f t="shared" si="23"/>
        <v>0</v>
      </c>
    </row>
    <row r="1435" spans="1:9" x14ac:dyDescent="0.25">
      <c r="A1435" t="s">
        <v>3708</v>
      </c>
      <c r="B1435" s="1936"/>
      <c r="C1435" t="s">
        <v>51</v>
      </c>
      <c r="D1435" s="1936"/>
      <c r="E1435" s="1936"/>
      <c r="F1435" s="1941">
        <v>0</v>
      </c>
      <c r="G1435" s="1941">
        <v>0</v>
      </c>
      <c r="I1435" s="1938">
        <f t="shared" si="23"/>
        <v>0</v>
      </c>
    </row>
    <row r="1436" spans="1:9" x14ac:dyDescent="0.25">
      <c r="A1436" t="s">
        <v>3747</v>
      </c>
      <c r="B1436" s="1936"/>
      <c r="C1436" t="s">
        <v>103</v>
      </c>
      <c r="D1436" s="1936"/>
      <c r="E1436" s="1936"/>
      <c r="F1436" s="1941">
        <v>0</v>
      </c>
      <c r="G1436" s="1941">
        <v>0</v>
      </c>
      <c r="I1436" s="1938">
        <f t="shared" si="23"/>
        <v>0</v>
      </c>
    </row>
    <row r="1437" spans="1:9" x14ac:dyDescent="0.25">
      <c r="A1437" t="s">
        <v>3194</v>
      </c>
      <c r="B1437" s="1936"/>
      <c r="C1437" t="s">
        <v>3114</v>
      </c>
      <c r="D1437" s="1936"/>
      <c r="E1437" s="1936"/>
      <c r="F1437" s="1941">
        <v>231.41</v>
      </c>
      <c r="G1437" s="1941">
        <v>100</v>
      </c>
      <c r="I1437" s="1938">
        <f t="shared" si="23"/>
        <v>0</v>
      </c>
    </row>
    <row r="1438" spans="1:9" x14ac:dyDescent="0.25">
      <c r="A1438" t="s">
        <v>3193</v>
      </c>
      <c r="B1438" s="1936"/>
      <c r="C1438" t="s">
        <v>3115</v>
      </c>
      <c r="D1438" s="1936"/>
      <c r="E1438" s="1936"/>
      <c r="F1438" s="1941">
        <v>174.05</v>
      </c>
      <c r="G1438" s="1941">
        <v>50</v>
      </c>
      <c r="I1438" s="1938">
        <f t="shared" si="23"/>
        <v>0</v>
      </c>
    </row>
    <row r="1439" spans="1:9" x14ac:dyDescent="0.25">
      <c r="A1439" t="s">
        <v>3192</v>
      </c>
      <c r="B1439" s="1936"/>
      <c r="C1439" t="s">
        <v>3116</v>
      </c>
      <c r="D1439" s="1936"/>
      <c r="E1439" s="1936"/>
      <c r="F1439" s="1941">
        <v>16.68</v>
      </c>
      <c r="G1439" s="1941">
        <v>40</v>
      </c>
      <c r="I1439" s="1938">
        <f t="shared" si="23"/>
        <v>0</v>
      </c>
    </row>
    <row r="1440" spans="1:9" x14ac:dyDescent="0.25">
      <c r="A1440" t="s">
        <v>3708</v>
      </c>
      <c r="B1440" s="1936"/>
      <c r="C1440" t="s">
        <v>51</v>
      </c>
      <c r="D1440" s="1936"/>
      <c r="E1440" s="1936"/>
      <c r="F1440" s="1941">
        <v>422.14</v>
      </c>
      <c r="G1440" s="1941">
        <v>190</v>
      </c>
      <c r="I1440" s="1938">
        <f t="shared" si="23"/>
        <v>0</v>
      </c>
    </row>
    <row r="1441" spans="1:9" x14ac:dyDescent="0.25">
      <c r="A1441" t="s">
        <v>3750</v>
      </c>
      <c r="B1441" s="1936"/>
      <c r="C1441" t="s">
        <v>423</v>
      </c>
      <c r="D1441" s="1936"/>
      <c r="E1441" s="1936"/>
      <c r="F1441" s="1941">
        <v>422.14</v>
      </c>
      <c r="G1441" s="1941">
        <v>190</v>
      </c>
      <c r="I1441" s="1938">
        <f t="shared" si="23"/>
        <v>0</v>
      </c>
    </row>
    <row r="1442" spans="1:9" x14ac:dyDescent="0.25">
      <c r="A1442" t="s">
        <v>590</v>
      </c>
      <c r="B1442" s="1936"/>
      <c r="C1442" t="s">
        <v>477</v>
      </c>
      <c r="D1442" s="1936"/>
      <c r="E1442" s="1936"/>
      <c r="F1442" s="1941">
        <v>586086.04</v>
      </c>
      <c r="G1442" s="1941">
        <v>597383</v>
      </c>
      <c r="I1442" s="1938">
        <f t="shared" si="23"/>
        <v>0</v>
      </c>
    </row>
    <row r="1443" spans="1:9" x14ac:dyDescent="0.25">
      <c r="A1443" t="s">
        <v>2801</v>
      </c>
      <c r="B1443" s="1936"/>
      <c r="C1443" t="s">
        <v>2802</v>
      </c>
      <c r="D1443" s="1936"/>
      <c r="E1443" s="1936"/>
      <c r="F1443" s="1941">
        <v>902913.55</v>
      </c>
      <c r="G1443" s="1941">
        <v>912441</v>
      </c>
      <c r="I1443" s="1938">
        <f t="shared" si="23"/>
        <v>0</v>
      </c>
    </row>
    <row r="1444" spans="1:9" x14ac:dyDescent="0.25">
      <c r="A1444" t="s">
        <v>1000</v>
      </c>
      <c r="B1444" s="1936"/>
      <c r="C1444" t="s">
        <v>3117</v>
      </c>
      <c r="D1444" s="1936"/>
      <c r="E1444" s="1936"/>
      <c r="F1444" s="1941">
        <v>-920272.73</v>
      </c>
      <c r="G1444" s="1941">
        <v>-923201</v>
      </c>
      <c r="I1444" s="1938">
        <f t="shared" si="23"/>
        <v>-920272.73</v>
      </c>
    </row>
    <row r="1445" spans="1:9" x14ac:dyDescent="0.25">
      <c r="A1445" t="s">
        <v>1000</v>
      </c>
      <c r="B1445" s="1936"/>
      <c r="C1445" t="s">
        <v>3117</v>
      </c>
      <c r="D1445" s="1936"/>
      <c r="E1445" s="1936"/>
      <c r="F1445" s="1941">
        <v>902913.55</v>
      </c>
      <c r="G1445" s="1941">
        <v>912441</v>
      </c>
      <c r="I1445" s="1938">
        <f t="shared" si="23"/>
        <v>0</v>
      </c>
    </row>
    <row r="1446" spans="1:9" x14ac:dyDescent="0.25">
      <c r="A1446" t="s">
        <v>3792</v>
      </c>
      <c r="B1446" s="1936"/>
      <c r="C1446" t="s">
        <v>2173</v>
      </c>
      <c r="D1446" s="1936"/>
      <c r="E1446" s="1936"/>
      <c r="F1446" s="1941">
        <v>0</v>
      </c>
      <c r="G1446" s="1941">
        <v>0</v>
      </c>
      <c r="I1446" s="1938">
        <f t="shared" si="23"/>
        <v>0</v>
      </c>
    </row>
    <row r="1447" spans="1:9" x14ac:dyDescent="0.25">
      <c r="A1447" t="s">
        <v>1231</v>
      </c>
      <c r="B1447" s="1936"/>
      <c r="C1447" t="s">
        <v>1231</v>
      </c>
      <c r="D1447" s="1936"/>
      <c r="E1447" s="1936"/>
      <c r="F1447" s="1941">
        <v>0</v>
      </c>
      <c r="G1447" s="1941">
        <v>0</v>
      </c>
      <c r="I1447" s="1938">
        <f t="shared" si="23"/>
        <v>0</v>
      </c>
    </row>
    <row r="1448" spans="1:9" x14ac:dyDescent="0.25">
      <c r="A1448" t="s">
        <v>759</v>
      </c>
      <c r="B1448" s="1936"/>
      <c r="C1448" t="s">
        <v>2146</v>
      </c>
      <c r="D1448" s="1936"/>
      <c r="E1448" s="1936"/>
      <c r="F1448" s="1941">
        <v>0</v>
      </c>
      <c r="G1448" s="1941">
        <v>0</v>
      </c>
      <c r="I1448" s="1938">
        <f t="shared" si="23"/>
        <v>0</v>
      </c>
    </row>
    <row r="1449" spans="1:9" x14ac:dyDescent="0.25">
      <c r="A1449" t="s">
        <v>3793</v>
      </c>
      <c r="B1449" s="1936"/>
      <c r="C1449" t="s">
        <v>2173</v>
      </c>
      <c r="D1449" s="1936"/>
      <c r="E1449" s="1936"/>
      <c r="F1449" s="1941">
        <v>0</v>
      </c>
      <c r="G1449" s="1941">
        <v>0</v>
      </c>
      <c r="I1449" s="1938">
        <f t="shared" si="23"/>
        <v>0</v>
      </c>
    </row>
    <row r="1450" spans="1:9" x14ac:dyDescent="0.25">
      <c r="A1450" t="s">
        <v>1231</v>
      </c>
      <c r="B1450" s="1936"/>
      <c r="C1450" t="s">
        <v>1231</v>
      </c>
      <c r="D1450" s="1936"/>
      <c r="E1450" s="1936"/>
      <c r="F1450" s="1941">
        <v>0</v>
      </c>
      <c r="G1450" s="1941">
        <v>0</v>
      </c>
      <c r="I1450" s="1938">
        <f t="shared" si="23"/>
        <v>0</v>
      </c>
    </row>
    <row r="1451" spans="1:9" x14ac:dyDescent="0.25">
      <c r="A1451" t="s">
        <v>760</v>
      </c>
      <c r="B1451" s="1936"/>
      <c r="C1451" t="s">
        <v>2812</v>
      </c>
      <c r="D1451" s="1936"/>
      <c r="E1451" s="1936"/>
      <c r="F1451" s="1941">
        <v>0</v>
      </c>
      <c r="G1451" s="1941">
        <v>0</v>
      </c>
      <c r="I1451" s="1938">
        <f t="shared" si="23"/>
        <v>0</v>
      </c>
    </row>
    <row r="1452" spans="1:9" x14ac:dyDescent="0.25">
      <c r="A1452" t="s">
        <v>3794</v>
      </c>
      <c r="B1452" s="1936"/>
      <c r="C1452" t="s">
        <v>2173</v>
      </c>
      <c r="D1452" s="1936"/>
      <c r="E1452" s="1936"/>
      <c r="F1452" s="1941">
        <v>0</v>
      </c>
      <c r="G1452" s="1941">
        <v>0</v>
      </c>
      <c r="I1452" s="1938">
        <f t="shared" si="23"/>
        <v>0</v>
      </c>
    </row>
    <row r="1453" spans="1:9" x14ac:dyDescent="0.25">
      <c r="A1453" t="s">
        <v>1231</v>
      </c>
      <c r="B1453" s="1936"/>
      <c r="C1453" t="s">
        <v>1231</v>
      </c>
      <c r="D1453" s="1936"/>
      <c r="E1453" s="1936"/>
      <c r="F1453" s="1941">
        <v>0</v>
      </c>
      <c r="G1453" s="1941">
        <v>0</v>
      </c>
      <c r="I1453" s="1938">
        <f t="shared" si="23"/>
        <v>0</v>
      </c>
    </row>
    <row r="1454" spans="1:9" x14ac:dyDescent="0.25">
      <c r="A1454" t="s">
        <v>761</v>
      </c>
      <c r="B1454" s="1936"/>
      <c r="C1454" t="s">
        <v>3118</v>
      </c>
      <c r="D1454" s="1936"/>
      <c r="E1454" s="1936"/>
      <c r="F1454" s="1941">
        <v>0</v>
      </c>
      <c r="G1454" s="1941">
        <v>0</v>
      </c>
      <c r="I1454" s="1938">
        <f t="shared" si="23"/>
        <v>0</v>
      </c>
    </row>
    <row r="1455" spans="1:9" x14ac:dyDescent="0.25">
      <c r="A1455" t="s">
        <v>3795</v>
      </c>
      <c r="B1455" s="1936"/>
      <c r="C1455" t="s">
        <v>2173</v>
      </c>
      <c r="D1455" s="1936"/>
      <c r="E1455" s="1936"/>
      <c r="F1455" s="1941">
        <v>0</v>
      </c>
      <c r="G1455" s="1941">
        <v>0</v>
      </c>
      <c r="I1455" s="1938">
        <f t="shared" si="23"/>
        <v>0</v>
      </c>
    </row>
    <row r="1456" spans="1:9" x14ac:dyDescent="0.25">
      <c r="A1456" t="s">
        <v>1231</v>
      </c>
      <c r="B1456" s="1936"/>
      <c r="C1456" t="s">
        <v>1231</v>
      </c>
      <c r="D1456" s="1936"/>
      <c r="E1456" s="1936"/>
      <c r="F1456" s="1941">
        <v>0</v>
      </c>
      <c r="G1456" s="1941">
        <v>0</v>
      </c>
      <c r="I1456" s="1938">
        <f t="shared" si="23"/>
        <v>0</v>
      </c>
    </row>
    <row r="1457" spans="1:9" x14ac:dyDescent="0.25">
      <c r="A1457" t="s">
        <v>3796</v>
      </c>
      <c r="B1457" s="1936"/>
      <c r="C1457" t="s">
        <v>3119</v>
      </c>
      <c r="D1457" s="1936"/>
      <c r="E1457" s="1936"/>
      <c r="F1457" s="1941">
        <v>0</v>
      </c>
      <c r="G1457" s="1941">
        <v>0</v>
      </c>
      <c r="I1457" s="1938">
        <f t="shared" si="23"/>
        <v>0</v>
      </c>
    </row>
    <row r="1458" spans="1:9" x14ac:dyDescent="0.25">
      <c r="A1458" t="s">
        <v>3797</v>
      </c>
      <c r="B1458" s="1936"/>
      <c r="C1458" t="s">
        <v>2173</v>
      </c>
      <c r="D1458" s="1936"/>
      <c r="E1458" s="1936"/>
      <c r="F1458" s="1941">
        <v>0</v>
      </c>
      <c r="G1458" s="1941">
        <v>0</v>
      </c>
      <c r="I1458" s="1938">
        <f t="shared" si="23"/>
        <v>0</v>
      </c>
    </row>
    <row r="1459" spans="1:9" x14ac:dyDescent="0.25">
      <c r="A1459" t="s">
        <v>1231</v>
      </c>
      <c r="B1459" s="1936"/>
      <c r="C1459" t="s">
        <v>1231</v>
      </c>
      <c r="D1459" s="1936"/>
      <c r="E1459" s="1936"/>
      <c r="F1459" s="1941">
        <v>0</v>
      </c>
      <c r="G1459" s="1941">
        <v>0</v>
      </c>
      <c r="I1459" s="1938">
        <f t="shared" si="23"/>
        <v>0</v>
      </c>
    </row>
    <row r="1460" spans="1:9" x14ac:dyDescent="0.25">
      <c r="A1460" t="s">
        <v>3798</v>
      </c>
      <c r="B1460" s="1936"/>
      <c r="C1460" t="s">
        <v>3120</v>
      </c>
      <c r="D1460" s="1936"/>
      <c r="E1460" s="1936"/>
      <c r="F1460" s="1941">
        <v>0</v>
      </c>
      <c r="G1460" s="1941">
        <v>0</v>
      </c>
      <c r="I1460" s="1938">
        <f t="shared" si="23"/>
        <v>0</v>
      </c>
    </row>
    <row r="1461" spans="1:9" x14ac:dyDescent="0.25">
      <c r="A1461" t="s">
        <v>591</v>
      </c>
      <c r="B1461" s="1936"/>
      <c r="C1461" t="s">
        <v>2154</v>
      </c>
      <c r="D1461" s="1936"/>
      <c r="E1461" s="1936"/>
      <c r="F1461" s="1941">
        <v>0</v>
      </c>
      <c r="G1461" s="1941">
        <v>0</v>
      </c>
      <c r="I1461" s="1938">
        <f t="shared" si="23"/>
        <v>0</v>
      </c>
    </row>
    <row r="1462" spans="1:9" x14ac:dyDescent="0.25">
      <c r="A1462" t="s">
        <v>3799</v>
      </c>
      <c r="B1462" s="1936"/>
      <c r="C1462" t="s">
        <v>2173</v>
      </c>
      <c r="D1462" s="1936"/>
      <c r="E1462" s="1936"/>
      <c r="F1462" s="1941">
        <v>0</v>
      </c>
      <c r="G1462" s="1941">
        <v>0</v>
      </c>
      <c r="I1462" s="1938">
        <f t="shared" si="23"/>
        <v>0</v>
      </c>
    </row>
    <row r="1463" spans="1:9" x14ac:dyDescent="0.25">
      <c r="A1463" t="s">
        <v>1231</v>
      </c>
      <c r="B1463" s="1936"/>
      <c r="C1463" t="s">
        <v>1231</v>
      </c>
      <c r="D1463" s="1936"/>
      <c r="E1463" s="1936"/>
      <c r="F1463" s="1941">
        <v>0</v>
      </c>
      <c r="G1463" s="1941">
        <v>0</v>
      </c>
      <c r="I1463" s="1938">
        <f t="shared" si="23"/>
        <v>0</v>
      </c>
    </row>
    <row r="1464" spans="1:9" x14ac:dyDescent="0.25">
      <c r="A1464" t="s">
        <v>3765</v>
      </c>
      <c r="B1464" s="1936"/>
      <c r="C1464" t="s">
        <v>2817</v>
      </c>
      <c r="D1464" s="1936"/>
      <c r="E1464" s="1936"/>
      <c r="F1464" s="1941">
        <v>0</v>
      </c>
      <c r="G1464" s="1941">
        <v>0</v>
      </c>
      <c r="I1464" s="1938">
        <f t="shared" si="23"/>
        <v>0</v>
      </c>
    </row>
    <row r="1465" spans="1:9" x14ac:dyDescent="0.25">
      <c r="A1465" t="s">
        <v>3707</v>
      </c>
      <c r="B1465" s="1936"/>
      <c r="C1465" t="s">
        <v>2203</v>
      </c>
      <c r="D1465" s="1936"/>
      <c r="E1465" s="1936"/>
      <c r="F1465" s="1941">
        <v>0</v>
      </c>
      <c r="G1465" s="1941">
        <v>0</v>
      </c>
      <c r="I1465" s="1938">
        <f t="shared" si="23"/>
        <v>0</v>
      </c>
    </row>
    <row r="1466" spans="1:9" x14ac:dyDescent="0.25">
      <c r="A1466" t="s">
        <v>2204</v>
      </c>
      <c r="B1466" s="1936"/>
      <c r="C1466" t="s">
        <v>82</v>
      </c>
      <c r="D1466" s="1936"/>
      <c r="E1466" s="1936"/>
      <c r="F1466" s="1941">
        <v>0</v>
      </c>
      <c r="G1466" s="1941">
        <v>0</v>
      </c>
      <c r="I1466" s="1938">
        <f t="shared" si="23"/>
        <v>0</v>
      </c>
    </row>
    <row r="1467" spans="1:9" x14ac:dyDescent="0.25">
      <c r="A1467" t="s">
        <v>3191</v>
      </c>
      <c r="B1467" s="1936"/>
      <c r="C1467" t="s">
        <v>2868</v>
      </c>
      <c r="D1467" s="1936"/>
      <c r="E1467" s="1936"/>
      <c r="F1467" s="1941">
        <v>0</v>
      </c>
      <c r="G1467" s="1941">
        <v>0</v>
      </c>
      <c r="I1467" s="1938">
        <f t="shared" si="23"/>
        <v>0</v>
      </c>
    </row>
    <row r="1468" spans="1:9" x14ac:dyDescent="0.25">
      <c r="A1468" t="s">
        <v>3709</v>
      </c>
      <c r="B1468" s="1936"/>
      <c r="C1468" t="s">
        <v>1162</v>
      </c>
      <c r="D1468" s="1936"/>
      <c r="E1468" s="1936"/>
      <c r="F1468" s="1941">
        <v>0</v>
      </c>
      <c r="G1468" s="1941">
        <v>0</v>
      </c>
      <c r="I1468" s="1938">
        <f t="shared" si="23"/>
        <v>0</v>
      </c>
    </row>
    <row r="1469" spans="1:9" x14ac:dyDescent="0.25">
      <c r="A1469" t="s">
        <v>3190</v>
      </c>
      <c r="B1469" s="1936"/>
      <c r="C1469" t="s">
        <v>3121</v>
      </c>
      <c r="D1469" s="1936"/>
      <c r="E1469" s="1936"/>
      <c r="F1469" s="1941">
        <v>0</v>
      </c>
      <c r="G1469" s="1941">
        <v>0</v>
      </c>
      <c r="I1469" s="1938">
        <f t="shared" si="23"/>
        <v>0</v>
      </c>
    </row>
    <row r="1470" spans="1:9" x14ac:dyDescent="0.25">
      <c r="A1470" t="s">
        <v>3189</v>
      </c>
      <c r="B1470" s="1936"/>
      <c r="C1470" t="s">
        <v>3122</v>
      </c>
      <c r="D1470" s="1936"/>
      <c r="E1470" s="1936"/>
      <c r="F1470" s="1941">
        <v>0</v>
      </c>
      <c r="G1470" s="1941">
        <v>0</v>
      </c>
      <c r="I1470" s="1938">
        <f t="shared" si="23"/>
        <v>0</v>
      </c>
    </row>
    <row r="1471" spans="1:9" x14ac:dyDescent="0.25">
      <c r="A1471" t="s">
        <v>3711</v>
      </c>
      <c r="B1471" s="1936"/>
      <c r="C1471" t="s">
        <v>1157</v>
      </c>
      <c r="D1471" s="1936"/>
      <c r="E1471" s="1936"/>
      <c r="F1471" s="1941">
        <v>0</v>
      </c>
      <c r="G1471" s="1941">
        <v>0</v>
      </c>
      <c r="I1471" s="1938">
        <f t="shared" si="23"/>
        <v>0</v>
      </c>
    </row>
    <row r="1472" spans="1:9" x14ac:dyDescent="0.25">
      <c r="A1472" t="s">
        <v>3768</v>
      </c>
      <c r="B1472" s="1936"/>
      <c r="C1472" t="s">
        <v>2821</v>
      </c>
      <c r="D1472" s="1936"/>
      <c r="E1472" s="1936"/>
      <c r="F1472" s="1941">
        <v>0</v>
      </c>
      <c r="G1472" s="1941">
        <v>0</v>
      </c>
      <c r="I1472" s="1938">
        <f t="shared" si="23"/>
        <v>0</v>
      </c>
    </row>
    <row r="1473" spans="1:9" x14ac:dyDescent="0.25">
      <c r="A1473" t="s">
        <v>590</v>
      </c>
      <c r="B1473" s="1936"/>
      <c r="C1473" t="s">
        <v>477</v>
      </c>
      <c r="D1473" s="1936"/>
      <c r="E1473" s="1936"/>
      <c r="F1473" s="1941">
        <v>0</v>
      </c>
      <c r="G1473" s="1941">
        <v>0</v>
      </c>
      <c r="I1473" s="1938">
        <f t="shared" si="23"/>
        <v>0</v>
      </c>
    </row>
    <row r="1474" spans="1:9" x14ac:dyDescent="0.25">
      <c r="A1474" t="s">
        <v>3188</v>
      </c>
      <c r="B1474" s="1936"/>
      <c r="C1474" t="s">
        <v>3123</v>
      </c>
      <c r="D1474" s="1936"/>
      <c r="E1474" s="1936"/>
      <c r="F1474" s="1941">
        <v>0</v>
      </c>
      <c r="G1474" s="1941">
        <v>0</v>
      </c>
      <c r="I1474" s="1938">
        <f t="shared" si="23"/>
        <v>0</v>
      </c>
    </row>
    <row r="1475" spans="1:9" x14ac:dyDescent="0.25">
      <c r="A1475" t="s">
        <v>3714</v>
      </c>
      <c r="B1475" s="1936"/>
      <c r="C1475" t="s">
        <v>1158</v>
      </c>
      <c r="D1475" s="1936"/>
      <c r="E1475" s="1936"/>
      <c r="F1475" s="1941">
        <v>0</v>
      </c>
      <c r="G1475" s="1941">
        <v>0</v>
      </c>
      <c r="I1475" s="1938">
        <f t="shared" si="23"/>
        <v>0</v>
      </c>
    </row>
    <row r="1476" spans="1:9" x14ac:dyDescent="0.25">
      <c r="A1476" t="s">
        <v>3800</v>
      </c>
      <c r="B1476" s="1936"/>
      <c r="C1476" t="s">
        <v>3124</v>
      </c>
      <c r="D1476" s="1936"/>
      <c r="E1476" s="1936"/>
      <c r="F1476" s="1941">
        <v>0</v>
      </c>
      <c r="G1476" s="1941">
        <v>0</v>
      </c>
      <c r="I1476" s="1938">
        <f t="shared" ref="I1476:I1539" si="24">IF(F1476&lt;0,F1476,0)</f>
        <v>0</v>
      </c>
    </row>
    <row r="1477" spans="1:9" x14ac:dyDescent="0.25">
      <c r="A1477" t="s">
        <v>3187</v>
      </c>
      <c r="B1477" s="1936"/>
      <c r="C1477" t="s">
        <v>3125</v>
      </c>
      <c r="D1477" s="1936"/>
      <c r="E1477" s="1936"/>
      <c r="F1477" s="1941">
        <v>0</v>
      </c>
      <c r="G1477" s="1941">
        <v>0</v>
      </c>
      <c r="I1477" s="1938">
        <f t="shared" si="24"/>
        <v>0</v>
      </c>
    </row>
    <row r="1478" spans="1:9" x14ac:dyDescent="0.25">
      <c r="A1478" t="s">
        <v>3801</v>
      </c>
      <c r="B1478" s="1936"/>
      <c r="C1478" t="s">
        <v>309</v>
      </c>
      <c r="D1478" s="1936"/>
      <c r="E1478" s="1936"/>
      <c r="F1478" s="1941">
        <v>0</v>
      </c>
      <c r="G1478" s="1941">
        <v>0</v>
      </c>
      <c r="I1478" s="1938">
        <f t="shared" si="24"/>
        <v>0</v>
      </c>
    </row>
    <row r="1479" spans="1:9" x14ac:dyDescent="0.25">
      <c r="A1479" t="s">
        <v>3779</v>
      </c>
      <c r="B1479" s="1936"/>
      <c r="C1479" t="s">
        <v>2938</v>
      </c>
      <c r="D1479" s="1936"/>
      <c r="E1479" s="1936"/>
      <c r="F1479" s="1941">
        <v>0</v>
      </c>
      <c r="G1479" s="1941">
        <v>0</v>
      </c>
      <c r="I1479" s="1938">
        <f t="shared" si="24"/>
        <v>0</v>
      </c>
    </row>
    <row r="1480" spans="1:9" x14ac:dyDescent="0.25">
      <c r="A1480" t="s">
        <v>3780</v>
      </c>
      <c r="B1480" s="1936"/>
      <c r="C1480" t="s">
        <v>2939</v>
      </c>
      <c r="D1480" s="1936"/>
      <c r="E1480" s="1936"/>
      <c r="F1480" s="1941">
        <v>0</v>
      </c>
      <c r="G1480" s="1941">
        <v>0</v>
      </c>
      <c r="I1480" s="1938">
        <f t="shared" si="24"/>
        <v>0</v>
      </c>
    </row>
    <row r="1481" spans="1:9" x14ac:dyDescent="0.25">
      <c r="A1481" t="s">
        <v>2801</v>
      </c>
      <c r="B1481" s="1936"/>
      <c r="C1481" t="s">
        <v>2802</v>
      </c>
      <c r="D1481" s="1936"/>
      <c r="E1481" s="1936"/>
      <c r="F1481" s="1941">
        <v>0</v>
      </c>
      <c r="G1481" s="1941">
        <v>0</v>
      </c>
      <c r="I1481" s="1938">
        <f t="shared" si="24"/>
        <v>0</v>
      </c>
    </row>
    <row r="1482" spans="1:9" x14ac:dyDescent="0.25">
      <c r="A1482" t="s">
        <v>1001</v>
      </c>
      <c r="B1482" s="1936"/>
      <c r="C1482" t="s">
        <v>3126</v>
      </c>
      <c r="D1482" s="1936"/>
      <c r="E1482" s="1936"/>
      <c r="F1482" s="1941">
        <v>0</v>
      </c>
      <c r="G1482" s="1941">
        <v>0</v>
      </c>
      <c r="I1482" s="1938">
        <f t="shared" si="24"/>
        <v>0</v>
      </c>
    </row>
    <row r="1483" spans="1:9" x14ac:dyDescent="0.25">
      <c r="A1483" t="s">
        <v>1001</v>
      </c>
      <c r="B1483" s="1936"/>
      <c r="C1483" t="s">
        <v>3126</v>
      </c>
      <c r="D1483" s="1936"/>
      <c r="E1483" s="1936"/>
      <c r="F1483" s="1941">
        <v>0</v>
      </c>
      <c r="G1483" s="1941">
        <v>0</v>
      </c>
      <c r="I1483" s="1938">
        <f t="shared" si="24"/>
        <v>0</v>
      </c>
    </row>
    <row r="1484" spans="1:9" x14ac:dyDescent="0.25">
      <c r="A1484" t="s">
        <v>3127</v>
      </c>
      <c r="B1484" s="1936"/>
      <c r="C1484" t="s">
        <v>2088</v>
      </c>
      <c r="D1484" s="1936"/>
      <c r="E1484" s="1936"/>
      <c r="F1484" s="1941">
        <v>-137485.04999999999</v>
      </c>
      <c r="G1484" s="1941">
        <v>-138326</v>
      </c>
      <c r="I1484" s="1938">
        <f t="shared" si="24"/>
        <v>-137485.04999999999</v>
      </c>
    </row>
    <row r="1485" spans="1:9" x14ac:dyDescent="0.25">
      <c r="A1485" t="s">
        <v>1231</v>
      </c>
      <c r="B1485" s="1936"/>
      <c r="C1485" t="s">
        <v>1231</v>
      </c>
      <c r="D1485" s="1936"/>
      <c r="E1485" s="1936"/>
      <c r="F1485" s="1941">
        <v>-137485.04999999999</v>
      </c>
      <c r="G1485" s="1941">
        <v>-138326</v>
      </c>
      <c r="I1485" s="1938">
        <f t="shared" si="24"/>
        <v>-137485.04999999999</v>
      </c>
    </row>
    <row r="1486" spans="1:9" x14ac:dyDescent="0.25">
      <c r="A1486" t="s">
        <v>3755</v>
      </c>
      <c r="B1486" s="1936"/>
      <c r="C1486" t="s">
        <v>2805</v>
      </c>
      <c r="D1486" s="1936"/>
      <c r="E1486" s="1936"/>
      <c r="F1486" s="1941">
        <v>-137485.04999999999</v>
      </c>
      <c r="G1486" s="1941">
        <v>-138326</v>
      </c>
      <c r="I1486" s="1938">
        <f t="shared" si="24"/>
        <v>-137485.04999999999</v>
      </c>
    </row>
    <row r="1487" spans="1:9" x14ac:dyDescent="0.25">
      <c r="A1487" t="s">
        <v>3128</v>
      </c>
      <c r="B1487" s="1936"/>
      <c r="C1487" t="s">
        <v>2108</v>
      </c>
      <c r="D1487" s="1936"/>
      <c r="E1487" s="1936"/>
      <c r="F1487" s="1941">
        <v>-54724.95</v>
      </c>
      <c r="G1487" s="1941">
        <v>-40000</v>
      </c>
      <c r="I1487" s="1938">
        <f t="shared" si="24"/>
        <v>-54724.95</v>
      </c>
    </row>
    <row r="1488" spans="1:9" x14ac:dyDescent="0.25">
      <c r="A1488" t="s">
        <v>1231</v>
      </c>
      <c r="B1488" s="1936"/>
      <c r="C1488" t="s">
        <v>1231</v>
      </c>
      <c r="D1488" s="1936"/>
      <c r="E1488" s="1936"/>
      <c r="F1488" s="1941">
        <v>-54724.95</v>
      </c>
      <c r="G1488" s="1941">
        <v>-40000</v>
      </c>
      <c r="I1488" s="1938">
        <f t="shared" si="24"/>
        <v>-54724.95</v>
      </c>
    </row>
    <row r="1489" spans="1:9" x14ac:dyDescent="0.25">
      <c r="A1489" t="s">
        <v>3645</v>
      </c>
      <c r="B1489" s="1936"/>
      <c r="C1489" t="s">
        <v>2109</v>
      </c>
      <c r="D1489" s="1936"/>
      <c r="E1489" s="1936"/>
      <c r="F1489" s="1941">
        <v>-54724.95</v>
      </c>
      <c r="G1489" s="1941">
        <v>-40000</v>
      </c>
      <c r="I1489" s="1938">
        <f t="shared" si="24"/>
        <v>-54724.95</v>
      </c>
    </row>
    <row r="1490" spans="1:9" x14ac:dyDescent="0.25">
      <c r="A1490" t="s">
        <v>591</v>
      </c>
      <c r="B1490" s="1936"/>
      <c r="C1490" t="s">
        <v>2154</v>
      </c>
      <c r="D1490" s="1936"/>
      <c r="E1490" s="1936"/>
      <c r="F1490" s="1941">
        <v>-192210.27</v>
      </c>
      <c r="G1490" s="1941">
        <v>-178326</v>
      </c>
      <c r="I1490" s="1938">
        <f t="shared" si="24"/>
        <v>-192210.27</v>
      </c>
    </row>
    <row r="1491" spans="1:9" x14ac:dyDescent="0.25">
      <c r="A1491" t="s">
        <v>3802</v>
      </c>
      <c r="B1491" s="1936"/>
      <c r="C1491" t="s">
        <v>3129</v>
      </c>
      <c r="D1491" s="1936"/>
      <c r="E1491" s="1936"/>
      <c r="F1491" s="1941">
        <v>-6270329.5</v>
      </c>
      <c r="G1491" s="1941">
        <v>-6270329.5</v>
      </c>
      <c r="I1491" s="1938">
        <f t="shared" si="24"/>
        <v>-6270329.5</v>
      </c>
    </row>
    <row r="1492" spans="1:9" x14ac:dyDescent="0.25">
      <c r="A1492" t="s">
        <v>1231</v>
      </c>
      <c r="B1492" s="1936"/>
      <c r="C1492" t="s">
        <v>1231</v>
      </c>
      <c r="D1492" s="1936"/>
      <c r="E1492" s="1936"/>
      <c r="F1492" s="1941">
        <v>-6270329.5</v>
      </c>
      <c r="G1492" s="1941">
        <v>-6270329.5</v>
      </c>
      <c r="I1492" s="1938">
        <f t="shared" si="24"/>
        <v>-6270329.5</v>
      </c>
    </row>
    <row r="1493" spans="1:9" x14ac:dyDescent="0.25">
      <c r="A1493" t="s">
        <v>3803</v>
      </c>
      <c r="B1493" s="1936"/>
      <c r="C1493" t="s">
        <v>3130</v>
      </c>
      <c r="D1493" s="1936"/>
      <c r="E1493" s="1936"/>
      <c r="F1493" s="1941">
        <v>-6270329.5</v>
      </c>
      <c r="G1493" s="1941">
        <v>-6270329.5</v>
      </c>
      <c r="I1493" s="1938">
        <f t="shared" si="24"/>
        <v>-6270329.5</v>
      </c>
    </row>
    <row r="1494" spans="1:9" x14ac:dyDescent="0.25">
      <c r="A1494" t="s">
        <v>3804</v>
      </c>
      <c r="B1494" s="1936"/>
      <c r="C1494" t="s">
        <v>2102</v>
      </c>
      <c r="D1494" s="1936"/>
      <c r="E1494" s="1936"/>
      <c r="F1494" s="1941">
        <v>0</v>
      </c>
      <c r="G1494" s="1941">
        <v>0</v>
      </c>
      <c r="I1494" s="1938">
        <f t="shared" si="24"/>
        <v>0</v>
      </c>
    </row>
    <row r="1495" spans="1:9" x14ac:dyDescent="0.25">
      <c r="A1495" t="s">
        <v>1231</v>
      </c>
      <c r="B1495" s="1936"/>
      <c r="C1495" t="s">
        <v>1231</v>
      </c>
      <c r="D1495" s="1936"/>
      <c r="E1495" s="1936"/>
      <c r="F1495" s="1941">
        <v>0</v>
      </c>
      <c r="G1495" s="1941">
        <v>0</v>
      </c>
      <c r="I1495" s="1938">
        <f t="shared" si="24"/>
        <v>0</v>
      </c>
    </row>
    <row r="1496" spans="1:9" x14ac:dyDescent="0.25">
      <c r="A1496" t="s">
        <v>3805</v>
      </c>
      <c r="B1496" s="1936"/>
      <c r="C1496" t="s">
        <v>3131</v>
      </c>
      <c r="D1496" s="1936"/>
      <c r="E1496" s="1936"/>
      <c r="F1496" s="1941">
        <v>0</v>
      </c>
      <c r="G1496" s="1941">
        <v>0</v>
      </c>
      <c r="I1496" s="1938">
        <f t="shared" si="24"/>
        <v>0</v>
      </c>
    </row>
    <row r="1497" spans="1:9" x14ac:dyDescent="0.25">
      <c r="A1497" t="s">
        <v>3707</v>
      </c>
      <c r="B1497" s="1936"/>
      <c r="C1497" t="s">
        <v>2203</v>
      </c>
      <c r="D1497" s="1936"/>
      <c r="E1497" s="1936"/>
      <c r="F1497" s="1941">
        <v>-6270329.7699999996</v>
      </c>
      <c r="G1497" s="1941">
        <v>-6270329.5</v>
      </c>
      <c r="I1497" s="1938">
        <f t="shared" si="24"/>
        <v>-6270329.7699999996</v>
      </c>
    </row>
    <row r="1498" spans="1:9" x14ac:dyDescent="0.25">
      <c r="A1498" t="s">
        <v>2204</v>
      </c>
      <c r="B1498" s="1936"/>
      <c r="C1498" t="s">
        <v>82</v>
      </c>
      <c r="D1498" s="1936"/>
      <c r="E1498" s="1936"/>
      <c r="F1498" s="1941">
        <v>-6462539.7699999996</v>
      </c>
      <c r="G1498" s="1941">
        <v>-6448655.5</v>
      </c>
      <c r="I1498" s="1938">
        <f t="shared" si="24"/>
        <v>-6462539.7699999996</v>
      </c>
    </row>
    <row r="1499" spans="1:9" x14ac:dyDescent="0.25">
      <c r="A1499" t="s">
        <v>3186</v>
      </c>
      <c r="B1499" s="1936"/>
      <c r="C1499" t="s">
        <v>3132</v>
      </c>
      <c r="D1499" s="1936"/>
      <c r="E1499" s="1936"/>
      <c r="F1499" s="1941">
        <v>0</v>
      </c>
      <c r="G1499" s="1941">
        <v>0</v>
      </c>
      <c r="I1499" s="1938">
        <f t="shared" si="24"/>
        <v>0</v>
      </c>
    </row>
    <row r="1500" spans="1:9" x14ac:dyDescent="0.25">
      <c r="A1500" t="s">
        <v>3714</v>
      </c>
      <c r="B1500" s="1936"/>
      <c r="C1500" t="s">
        <v>1158</v>
      </c>
      <c r="D1500" s="1936"/>
      <c r="E1500" s="1936"/>
      <c r="F1500" s="1941">
        <v>0</v>
      </c>
      <c r="G1500" s="1941">
        <v>0</v>
      </c>
      <c r="I1500" s="1938">
        <f t="shared" si="24"/>
        <v>0</v>
      </c>
    </row>
    <row r="1501" spans="1:9" x14ac:dyDescent="0.25">
      <c r="A1501" t="s">
        <v>3800</v>
      </c>
      <c r="B1501" s="1936"/>
      <c r="C1501" t="s">
        <v>3124</v>
      </c>
      <c r="D1501" s="1936"/>
      <c r="E1501" s="1936"/>
      <c r="F1501" s="1941">
        <v>0</v>
      </c>
      <c r="G1501" s="1941">
        <v>0</v>
      </c>
      <c r="I1501" s="1938">
        <f t="shared" si="24"/>
        <v>0</v>
      </c>
    </row>
    <row r="1502" spans="1:9" x14ac:dyDescent="0.25">
      <c r="A1502" t="s">
        <v>3185</v>
      </c>
      <c r="B1502" s="1936"/>
      <c r="C1502" t="s">
        <v>3133</v>
      </c>
      <c r="D1502" s="1936"/>
      <c r="E1502" s="1936"/>
      <c r="F1502" s="1941">
        <v>3499724</v>
      </c>
      <c r="G1502" s="1941">
        <v>3499724</v>
      </c>
      <c r="I1502" s="1938">
        <f t="shared" si="24"/>
        <v>0</v>
      </c>
    </row>
    <row r="1503" spans="1:9" x14ac:dyDescent="0.25">
      <c r="A1503" t="s">
        <v>3714</v>
      </c>
      <c r="B1503" s="1936"/>
      <c r="C1503" t="s">
        <v>1158</v>
      </c>
      <c r="D1503" s="1936"/>
      <c r="E1503" s="1936"/>
      <c r="F1503" s="1941">
        <v>3499724</v>
      </c>
      <c r="G1503" s="1941">
        <v>3499724</v>
      </c>
      <c r="I1503" s="1938">
        <f t="shared" si="24"/>
        <v>0</v>
      </c>
    </row>
    <row r="1504" spans="1:9" x14ac:dyDescent="0.25">
      <c r="A1504" t="s">
        <v>3806</v>
      </c>
      <c r="B1504" s="1936"/>
      <c r="C1504" t="s">
        <v>3134</v>
      </c>
      <c r="D1504" s="1936"/>
      <c r="E1504" s="1936"/>
      <c r="F1504" s="1941">
        <v>3499724</v>
      </c>
      <c r="G1504" s="1941">
        <v>3499724</v>
      </c>
      <c r="I1504" s="1938">
        <f t="shared" si="24"/>
        <v>0</v>
      </c>
    </row>
    <row r="1505" spans="1:9" x14ac:dyDescent="0.25">
      <c r="A1505" t="s">
        <v>3780</v>
      </c>
      <c r="B1505" s="1936"/>
      <c r="C1505" t="s">
        <v>2939</v>
      </c>
      <c r="D1505" s="1936"/>
      <c r="E1505" s="1936"/>
      <c r="F1505" s="1941">
        <v>3499724</v>
      </c>
      <c r="G1505" s="1941">
        <v>3499724</v>
      </c>
      <c r="I1505" s="1938">
        <f t="shared" si="24"/>
        <v>0</v>
      </c>
    </row>
    <row r="1506" spans="1:9" x14ac:dyDescent="0.25">
      <c r="A1506" t="s">
        <v>2801</v>
      </c>
      <c r="B1506" s="1936"/>
      <c r="C1506" t="s">
        <v>2802</v>
      </c>
      <c r="D1506" s="1936"/>
      <c r="E1506" s="1936"/>
      <c r="F1506" s="1941">
        <v>3499724</v>
      </c>
      <c r="G1506" s="1941">
        <v>3499724</v>
      </c>
      <c r="I1506" s="1938">
        <f t="shared" si="24"/>
        <v>0</v>
      </c>
    </row>
    <row r="1507" spans="1:9" x14ac:dyDescent="0.25">
      <c r="A1507" t="s">
        <v>1002</v>
      </c>
      <c r="B1507" s="1936"/>
      <c r="C1507" t="s">
        <v>3135</v>
      </c>
      <c r="D1507" s="1936"/>
      <c r="E1507" s="1936"/>
      <c r="F1507" s="1941">
        <v>-6462539.7699999996</v>
      </c>
      <c r="G1507" s="1941">
        <v>-6448655.5</v>
      </c>
      <c r="I1507" s="1938">
        <f t="shared" si="24"/>
        <v>-6462539.7699999996</v>
      </c>
    </row>
    <row r="1508" spans="1:9" x14ac:dyDescent="0.25">
      <c r="A1508" t="s">
        <v>1002</v>
      </c>
      <c r="B1508" s="1936"/>
      <c r="C1508" t="s">
        <v>3135</v>
      </c>
      <c r="D1508" s="1936"/>
      <c r="E1508" s="1936"/>
      <c r="F1508" s="1941">
        <v>3499724</v>
      </c>
      <c r="G1508" s="1941">
        <v>3499724</v>
      </c>
      <c r="I1508" s="1938">
        <f t="shared" si="24"/>
        <v>0</v>
      </c>
    </row>
    <row r="1509" spans="1:9" x14ac:dyDescent="0.25">
      <c r="A1509" t="s">
        <v>3136</v>
      </c>
      <c r="B1509" s="1936"/>
      <c r="C1509" t="s">
        <v>2088</v>
      </c>
      <c r="D1509" s="1936"/>
      <c r="E1509" s="1936"/>
      <c r="F1509" s="1941">
        <v>-498081.74</v>
      </c>
      <c r="G1509" s="1941">
        <v>-500021</v>
      </c>
      <c r="I1509" s="1938">
        <f t="shared" si="24"/>
        <v>-498081.74</v>
      </c>
    </row>
    <row r="1510" spans="1:9" x14ac:dyDescent="0.25">
      <c r="A1510" t="s">
        <v>1231</v>
      </c>
      <c r="B1510" s="1936"/>
      <c r="C1510" t="s">
        <v>1231</v>
      </c>
      <c r="D1510" s="1936"/>
      <c r="E1510" s="1936"/>
      <c r="F1510" s="1941">
        <v>-498081.74</v>
      </c>
      <c r="G1510" s="1941">
        <v>-500021</v>
      </c>
      <c r="I1510" s="1938">
        <f t="shared" si="24"/>
        <v>-498081.74</v>
      </c>
    </row>
    <row r="1511" spans="1:9" x14ac:dyDescent="0.25">
      <c r="A1511" t="s">
        <v>3807</v>
      </c>
      <c r="B1511" s="1936"/>
      <c r="C1511" t="s">
        <v>3137</v>
      </c>
      <c r="D1511" s="1936"/>
      <c r="E1511" s="1936"/>
      <c r="F1511" s="1941">
        <v>-498081.74</v>
      </c>
      <c r="G1511" s="1941">
        <v>-500021</v>
      </c>
      <c r="I1511" s="1938">
        <f t="shared" si="24"/>
        <v>-498081.74</v>
      </c>
    </row>
    <row r="1512" spans="1:9" x14ac:dyDescent="0.25">
      <c r="A1512" t="s">
        <v>3138</v>
      </c>
      <c r="B1512" s="1936"/>
      <c r="C1512" t="s">
        <v>2108</v>
      </c>
      <c r="D1512" s="1936"/>
      <c r="E1512" s="1936"/>
      <c r="F1512" s="1941">
        <v>0</v>
      </c>
      <c r="G1512" s="1941">
        <v>-75</v>
      </c>
      <c r="I1512" s="1938">
        <f t="shared" si="24"/>
        <v>0</v>
      </c>
    </row>
    <row r="1513" spans="1:9" x14ac:dyDescent="0.25">
      <c r="A1513" t="s">
        <v>1231</v>
      </c>
      <c r="B1513" s="1936"/>
      <c r="C1513" t="s">
        <v>1231</v>
      </c>
      <c r="D1513" s="1936"/>
      <c r="E1513" s="1936"/>
      <c r="F1513" s="1941">
        <v>0</v>
      </c>
      <c r="G1513" s="1941">
        <v>-75</v>
      </c>
      <c r="I1513" s="1938">
        <f t="shared" si="24"/>
        <v>0</v>
      </c>
    </row>
    <row r="1514" spans="1:9" x14ac:dyDescent="0.25">
      <c r="A1514" t="s">
        <v>3645</v>
      </c>
      <c r="B1514" s="1936"/>
      <c r="C1514" t="s">
        <v>2109</v>
      </c>
      <c r="D1514" s="1936"/>
      <c r="E1514" s="1936"/>
      <c r="F1514" s="1941">
        <v>0</v>
      </c>
      <c r="G1514" s="1941">
        <v>-75</v>
      </c>
      <c r="I1514" s="1938">
        <f t="shared" si="24"/>
        <v>0</v>
      </c>
    </row>
    <row r="1515" spans="1:9" x14ac:dyDescent="0.25">
      <c r="A1515" t="s">
        <v>3808</v>
      </c>
      <c r="B1515" s="1936"/>
      <c r="C1515" t="s">
        <v>3139</v>
      </c>
      <c r="D1515" s="1936"/>
      <c r="E1515" s="1936"/>
      <c r="F1515" s="1941">
        <v>-62786.89</v>
      </c>
      <c r="G1515" s="1941">
        <v>-62786</v>
      </c>
      <c r="I1515" s="1938">
        <f t="shared" si="24"/>
        <v>-62786.89</v>
      </c>
    </row>
    <row r="1516" spans="1:9" x14ac:dyDescent="0.25">
      <c r="A1516" t="s">
        <v>1231</v>
      </c>
      <c r="B1516" s="1936"/>
      <c r="C1516" t="s">
        <v>1231</v>
      </c>
      <c r="D1516" s="1936"/>
      <c r="E1516" s="1936"/>
      <c r="F1516" s="1941">
        <v>-62786.89</v>
      </c>
      <c r="G1516" s="1941">
        <v>-62786</v>
      </c>
      <c r="I1516" s="1938">
        <f t="shared" si="24"/>
        <v>-62786.89</v>
      </c>
    </row>
    <row r="1517" spans="1:9" x14ac:dyDescent="0.25">
      <c r="A1517" t="s">
        <v>3809</v>
      </c>
      <c r="B1517" s="1936"/>
      <c r="C1517" t="s">
        <v>3140</v>
      </c>
      <c r="D1517" s="1936"/>
      <c r="E1517" s="1936"/>
      <c r="F1517" s="1941">
        <v>-62786.89</v>
      </c>
      <c r="G1517" s="1941">
        <v>-62786</v>
      </c>
      <c r="I1517" s="1938">
        <f t="shared" si="24"/>
        <v>-62786.89</v>
      </c>
    </row>
    <row r="1518" spans="1:9" x14ac:dyDescent="0.25">
      <c r="A1518" t="s">
        <v>591</v>
      </c>
      <c r="B1518" s="1936"/>
      <c r="C1518" t="s">
        <v>2154</v>
      </c>
      <c r="D1518" s="1936"/>
      <c r="E1518" s="1936"/>
      <c r="F1518" s="1941">
        <v>-560868.63</v>
      </c>
      <c r="G1518" s="1941">
        <v>-562882</v>
      </c>
      <c r="I1518" s="1938">
        <f t="shared" si="24"/>
        <v>-560868.63</v>
      </c>
    </row>
    <row r="1519" spans="1:9" x14ac:dyDescent="0.25">
      <c r="A1519" t="s">
        <v>2204</v>
      </c>
      <c r="B1519" s="1936"/>
      <c r="C1519" t="s">
        <v>82</v>
      </c>
      <c r="D1519" s="1936"/>
      <c r="E1519" s="1936"/>
      <c r="F1519" s="1941">
        <v>-560868.63</v>
      </c>
      <c r="G1519" s="1941">
        <v>-562882</v>
      </c>
      <c r="I1519" s="1938">
        <f t="shared" si="24"/>
        <v>-560868.63</v>
      </c>
    </row>
    <row r="1520" spans="1:9" x14ac:dyDescent="0.25">
      <c r="A1520" t="s">
        <v>3828</v>
      </c>
      <c r="B1520" s="1936"/>
      <c r="C1520" t="s">
        <v>3141</v>
      </c>
      <c r="D1520" s="1936"/>
      <c r="E1520" s="1936"/>
      <c r="F1520" s="1941">
        <v>350</v>
      </c>
      <c r="G1520" s="1941">
        <v>1000</v>
      </c>
      <c r="I1520" s="1938">
        <f t="shared" si="24"/>
        <v>0</v>
      </c>
    </row>
    <row r="1521" spans="1:9" x14ac:dyDescent="0.25">
      <c r="A1521" t="s">
        <v>282</v>
      </c>
      <c r="B1521" s="1936"/>
      <c r="C1521" t="s">
        <v>203</v>
      </c>
      <c r="D1521" s="1936"/>
      <c r="E1521" s="1936"/>
      <c r="F1521" s="1941">
        <v>350</v>
      </c>
      <c r="G1521" s="1941">
        <v>1000</v>
      </c>
      <c r="I1521" s="1938">
        <f t="shared" si="24"/>
        <v>0</v>
      </c>
    </row>
    <row r="1522" spans="1:9" x14ac:dyDescent="0.25">
      <c r="A1522" t="s">
        <v>3829</v>
      </c>
      <c r="B1522" s="1936"/>
      <c r="C1522" t="s">
        <v>3142</v>
      </c>
      <c r="D1522" s="1936"/>
      <c r="E1522" s="1936"/>
      <c r="F1522" s="1941">
        <v>0</v>
      </c>
      <c r="G1522" s="1941">
        <v>0</v>
      </c>
      <c r="I1522" s="1938">
        <f t="shared" si="24"/>
        <v>0</v>
      </c>
    </row>
    <row r="1523" spans="1:9" x14ac:dyDescent="0.25">
      <c r="A1523" t="s">
        <v>282</v>
      </c>
      <c r="B1523" s="1936"/>
      <c r="C1523" t="s">
        <v>1157</v>
      </c>
      <c r="D1523" s="1936"/>
      <c r="E1523" s="1936"/>
      <c r="F1523" s="1941">
        <v>0</v>
      </c>
      <c r="G1523" s="1941">
        <v>0</v>
      </c>
      <c r="I1523" s="1938">
        <f t="shared" si="24"/>
        <v>0</v>
      </c>
    </row>
    <row r="1524" spans="1:9" x14ac:dyDescent="0.25">
      <c r="A1524" t="s">
        <v>282</v>
      </c>
      <c r="B1524" s="1936"/>
      <c r="C1524" t="s">
        <v>2448</v>
      </c>
      <c r="D1524" s="1936"/>
      <c r="E1524" s="1936"/>
      <c r="F1524" s="1941">
        <v>350</v>
      </c>
      <c r="G1524" s="1941">
        <v>1000</v>
      </c>
      <c r="I1524" s="1938">
        <f t="shared" si="24"/>
        <v>0</v>
      </c>
    </row>
    <row r="1525" spans="1:9" x14ac:dyDescent="0.25">
      <c r="A1525" t="s">
        <v>282</v>
      </c>
      <c r="B1525" s="1936"/>
      <c r="C1525" t="s">
        <v>476</v>
      </c>
      <c r="D1525" s="1936"/>
      <c r="E1525" s="1936"/>
      <c r="F1525" s="1941">
        <v>350</v>
      </c>
      <c r="G1525" s="1941">
        <v>1000</v>
      </c>
      <c r="I1525" s="1938">
        <f t="shared" si="24"/>
        <v>0</v>
      </c>
    </row>
    <row r="1526" spans="1:9" x14ac:dyDescent="0.25">
      <c r="A1526" t="s">
        <v>3819</v>
      </c>
      <c r="B1526" s="1936"/>
      <c r="C1526" t="s">
        <v>3143</v>
      </c>
      <c r="D1526" s="1936"/>
      <c r="E1526" s="1936"/>
      <c r="F1526" s="1941">
        <v>0</v>
      </c>
      <c r="G1526" s="1941">
        <v>0</v>
      </c>
      <c r="I1526" s="1938">
        <f t="shared" si="24"/>
        <v>0</v>
      </c>
    </row>
    <row r="1527" spans="1:9" x14ac:dyDescent="0.25">
      <c r="A1527" t="s">
        <v>3819</v>
      </c>
      <c r="B1527" s="1936"/>
      <c r="C1527" t="s">
        <v>3144</v>
      </c>
      <c r="D1527" s="1936"/>
      <c r="E1527" s="1936"/>
      <c r="F1527" s="1941">
        <v>0</v>
      </c>
      <c r="G1527" s="1941">
        <v>0</v>
      </c>
      <c r="I1527" s="1938">
        <f t="shared" si="24"/>
        <v>0</v>
      </c>
    </row>
    <row r="1528" spans="1:9" x14ac:dyDescent="0.25">
      <c r="A1528" t="s">
        <v>3819</v>
      </c>
      <c r="B1528" s="1936"/>
      <c r="C1528" t="s">
        <v>3145</v>
      </c>
      <c r="D1528" s="1936"/>
      <c r="E1528" s="1936"/>
      <c r="F1528" s="1941">
        <v>12300</v>
      </c>
      <c r="G1528" s="1941">
        <v>12300</v>
      </c>
      <c r="I1528" s="1938">
        <f t="shared" si="24"/>
        <v>0</v>
      </c>
    </row>
    <row r="1529" spans="1:9" x14ac:dyDescent="0.25">
      <c r="A1529" t="s">
        <v>282</v>
      </c>
      <c r="B1529" s="1936"/>
      <c r="C1529" t="s">
        <v>203</v>
      </c>
      <c r="D1529" s="1936"/>
      <c r="E1529" s="1936"/>
      <c r="F1529" s="1941">
        <v>12300</v>
      </c>
      <c r="G1529" s="1941">
        <v>12300</v>
      </c>
      <c r="I1529" s="1938">
        <f t="shared" si="24"/>
        <v>0</v>
      </c>
    </row>
    <row r="1530" spans="1:9" x14ac:dyDescent="0.25">
      <c r="A1530" t="s">
        <v>282</v>
      </c>
      <c r="B1530" s="1936"/>
      <c r="C1530" t="s">
        <v>2470</v>
      </c>
      <c r="D1530" s="1936"/>
      <c r="E1530" s="1936"/>
      <c r="F1530" s="1941">
        <v>12300</v>
      </c>
      <c r="G1530" s="1941">
        <v>12300</v>
      </c>
      <c r="I1530" s="1938">
        <f t="shared" si="24"/>
        <v>0</v>
      </c>
    </row>
    <row r="1531" spans="1:9" x14ac:dyDescent="0.25">
      <c r="A1531" t="s">
        <v>3819</v>
      </c>
      <c r="B1531" s="1936"/>
      <c r="C1531" t="s">
        <v>3146</v>
      </c>
      <c r="D1531" s="1936"/>
      <c r="E1531" s="1936"/>
      <c r="F1531" s="1941">
        <v>9216.2800000000007</v>
      </c>
      <c r="G1531" s="1941">
        <v>9820</v>
      </c>
      <c r="I1531" s="1938">
        <f t="shared" si="24"/>
        <v>0</v>
      </c>
    </row>
    <row r="1532" spans="1:9" x14ac:dyDescent="0.25">
      <c r="A1532" t="s">
        <v>282</v>
      </c>
      <c r="B1532" s="1936"/>
      <c r="C1532" t="s">
        <v>203</v>
      </c>
      <c r="D1532" s="1936"/>
      <c r="E1532" s="1936"/>
      <c r="F1532" s="1941">
        <v>9216.2800000000007</v>
      </c>
      <c r="G1532" s="1941">
        <v>9820</v>
      </c>
      <c r="I1532" s="1938">
        <f t="shared" si="24"/>
        <v>0</v>
      </c>
    </row>
    <row r="1533" spans="1:9" x14ac:dyDescent="0.25">
      <c r="A1533" t="s">
        <v>3830</v>
      </c>
      <c r="B1533" s="1936"/>
      <c r="C1533" t="s">
        <v>3147</v>
      </c>
      <c r="D1533" s="1936"/>
      <c r="E1533" s="1936"/>
      <c r="F1533" s="1941">
        <v>90</v>
      </c>
      <c r="G1533" s="1941">
        <v>500</v>
      </c>
      <c r="I1533" s="1938">
        <f t="shared" si="24"/>
        <v>0</v>
      </c>
    </row>
    <row r="1534" spans="1:9" x14ac:dyDescent="0.25">
      <c r="A1534" t="s">
        <v>282</v>
      </c>
      <c r="B1534" s="1936"/>
      <c r="C1534" t="s">
        <v>1162</v>
      </c>
      <c r="D1534" s="1936"/>
      <c r="E1534" s="1936"/>
      <c r="F1534" s="1941">
        <v>90</v>
      </c>
      <c r="G1534" s="1941">
        <v>500</v>
      </c>
      <c r="I1534" s="1938">
        <f t="shared" si="24"/>
        <v>0</v>
      </c>
    </row>
    <row r="1535" spans="1:9" x14ac:dyDescent="0.25">
      <c r="A1535" t="s">
        <v>3831</v>
      </c>
      <c r="B1535" s="1936"/>
      <c r="C1535" t="s">
        <v>3148</v>
      </c>
      <c r="D1535" s="1936"/>
      <c r="E1535" s="1936"/>
      <c r="F1535" s="1941">
        <v>1355.95</v>
      </c>
      <c r="G1535" s="1941">
        <v>1500</v>
      </c>
      <c r="I1535" s="1938">
        <f t="shared" si="24"/>
        <v>0</v>
      </c>
    </row>
    <row r="1536" spans="1:9" x14ac:dyDescent="0.25">
      <c r="A1536" t="s">
        <v>282</v>
      </c>
      <c r="B1536" s="1936"/>
      <c r="C1536" t="s">
        <v>2300</v>
      </c>
      <c r="D1536" s="1936"/>
      <c r="E1536" s="1936"/>
      <c r="F1536" s="1941">
        <v>1355.95</v>
      </c>
      <c r="G1536" s="1941">
        <v>1500</v>
      </c>
      <c r="I1536" s="1938">
        <f t="shared" si="24"/>
        <v>0</v>
      </c>
    </row>
    <row r="1537" spans="1:9" x14ac:dyDescent="0.25">
      <c r="A1537" t="s">
        <v>3829</v>
      </c>
      <c r="B1537" s="1936"/>
      <c r="C1537" t="s">
        <v>3149</v>
      </c>
      <c r="D1537" s="1936"/>
      <c r="E1537" s="1936"/>
      <c r="F1537" s="1941">
        <v>0</v>
      </c>
      <c r="G1537" s="1941">
        <v>500</v>
      </c>
      <c r="I1537" s="1938">
        <f t="shared" si="24"/>
        <v>0</v>
      </c>
    </row>
    <row r="1538" spans="1:9" x14ac:dyDescent="0.25">
      <c r="A1538" t="s">
        <v>282</v>
      </c>
      <c r="B1538" s="1936"/>
      <c r="C1538" t="s">
        <v>1157</v>
      </c>
      <c r="D1538" s="1936"/>
      <c r="E1538" s="1936"/>
      <c r="F1538" s="1941">
        <v>0</v>
      </c>
      <c r="G1538" s="1941">
        <v>500</v>
      </c>
      <c r="I1538" s="1938">
        <f t="shared" si="24"/>
        <v>0</v>
      </c>
    </row>
    <row r="1539" spans="1:9" x14ac:dyDescent="0.25">
      <c r="A1539" t="s">
        <v>282</v>
      </c>
      <c r="B1539" s="1936"/>
      <c r="C1539" t="s">
        <v>2509</v>
      </c>
      <c r="D1539" s="1936"/>
      <c r="E1539" s="1936"/>
      <c r="F1539" s="1941">
        <v>10662.23</v>
      </c>
      <c r="G1539" s="1941">
        <v>12320</v>
      </c>
      <c r="I1539" s="1938">
        <f t="shared" si="24"/>
        <v>0</v>
      </c>
    </row>
    <row r="1540" spans="1:9" x14ac:dyDescent="0.25">
      <c r="A1540" t="s">
        <v>3819</v>
      </c>
      <c r="B1540" s="1936"/>
      <c r="C1540" t="s">
        <v>3150</v>
      </c>
      <c r="D1540" s="1936"/>
      <c r="E1540" s="1936"/>
      <c r="F1540" s="1941">
        <v>32901.800000000003</v>
      </c>
      <c r="G1540" s="1941">
        <v>34000</v>
      </c>
      <c r="I1540" s="1938">
        <f t="shared" ref="I1540:I1603" si="25">IF(F1540&lt;0,F1540,0)</f>
        <v>0</v>
      </c>
    </row>
    <row r="1541" spans="1:9" x14ac:dyDescent="0.25">
      <c r="A1541" t="s">
        <v>282</v>
      </c>
      <c r="B1541" s="1936"/>
      <c r="C1541" t="s">
        <v>203</v>
      </c>
      <c r="D1541" s="1936"/>
      <c r="E1541" s="1936"/>
      <c r="F1541" s="1941">
        <v>32901.800000000003</v>
      </c>
      <c r="G1541" s="1941">
        <v>34000</v>
      </c>
      <c r="I1541" s="1938">
        <f t="shared" si="25"/>
        <v>0</v>
      </c>
    </row>
    <row r="1542" spans="1:9" x14ac:dyDescent="0.25">
      <c r="A1542" t="s">
        <v>3832</v>
      </c>
      <c r="B1542" s="1936"/>
      <c r="C1542" t="s">
        <v>3151</v>
      </c>
      <c r="D1542" s="1936"/>
      <c r="E1542" s="1936"/>
      <c r="F1542" s="1941">
        <v>0</v>
      </c>
      <c r="G1542" s="1941">
        <v>0</v>
      </c>
      <c r="I1542" s="1938">
        <f t="shared" si="25"/>
        <v>0</v>
      </c>
    </row>
    <row r="1543" spans="1:9" x14ac:dyDescent="0.25">
      <c r="A1543" t="s">
        <v>3833</v>
      </c>
      <c r="B1543" s="1936"/>
      <c r="C1543" t="s">
        <v>3152</v>
      </c>
      <c r="D1543" s="1936"/>
      <c r="E1543" s="1936"/>
      <c r="F1543" s="1941">
        <v>0</v>
      </c>
      <c r="G1543" s="1941">
        <v>0</v>
      </c>
      <c r="I1543" s="1938">
        <f t="shared" si="25"/>
        <v>0</v>
      </c>
    </row>
    <row r="1544" spans="1:9" x14ac:dyDescent="0.25">
      <c r="A1544" t="s">
        <v>282</v>
      </c>
      <c r="B1544" s="1936"/>
      <c r="C1544" t="s">
        <v>51</v>
      </c>
      <c r="D1544" s="1936"/>
      <c r="E1544" s="1936"/>
      <c r="F1544" s="1941">
        <v>0</v>
      </c>
      <c r="G1544" s="1941">
        <v>0</v>
      </c>
      <c r="I1544" s="1938">
        <f t="shared" si="25"/>
        <v>0</v>
      </c>
    </row>
    <row r="1545" spans="1:9" x14ac:dyDescent="0.25">
      <c r="A1545" t="s">
        <v>3831</v>
      </c>
      <c r="B1545" s="1936"/>
      <c r="C1545" t="s">
        <v>3153</v>
      </c>
      <c r="D1545" s="1936"/>
      <c r="E1545" s="1936"/>
      <c r="F1545" s="1941">
        <v>166.12</v>
      </c>
      <c r="G1545" s="1941">
        <v>200</v>
      </c>
      <c r="I1545" s="1938">
        <f t="shared" si="25"/>
        <v>0</v>
      </c>
    </row>
    <row r="1546" spans="1:9" x14ac:dyDescent="0.25">
      <c r="A1546" t="s">
        <v>282</v>
      </c>
      <c r="B1546" s="1936"/>
      <c r="C1546" t="s">
        <v>2300</v>
      </c>
      <c r="D1546" s="1936"/>
      <c r="E1546" s="1936"/>
      <c r="F1546" s="1941">
        <v>166.12</v>
      </c>
      <c r="G1546" s="1941">
        <v>200</v>
      </c>
      <c r="I1546" s="1938">
        <f t="shared" si="25"/>
        <v>0</v>
      </c>
    </row>
    <row r="1547" spans="1:9" x14ac:dyDescent="0.25">
      <c r="A1547" t="s">
        <v>282</v>
      </c>
      <c r="B1547" s="1936"/>
      <c r="C1547" t="s">
        <v>3050</v>
      </c>
      <c r="D1547" s="1936"/>
      <c r="E1547" s="1936"/>
      <c r="F1547" s="1941">
        <v>33067.919999999998</v>
      </c>
      <c r="G1547" s="1941">
        <v>34200</v>
      </c>
      <c r="I1547" s="1938">
        <f t="shared" si="25"/>
        <v>0</v>
      </c>
    </row>
    <row r="1548" spans="1:9" x14ac:dyDescent="0.25">
      <c r="A1548" t="s">
        <v>3834</v>
      </c>
      <c r="B1548" s="1936"/>
      <c r="C1548" t="s">
        <v>3154</v>
      </c>
      <c r="D1548" s="1936"/>
      <c r="E1548" s="1936"/>
      <c r="F1548" s="1941">
        <v>0</v>
      </c>
      <c r="G1548" s="1941">
        <v>0</v>
      </c>
      <c r="I1548" s="1938">
        <f t="shared" si="25"/>
        <v>0</v>
      </c>
    </row>
    <row r="1549" spans="1:9" x14ac:dyDescent="0.25">
      <c r="A1549" t="s">
        <v>282</v>
      </c>
      <c r="B1549" s="1936"/>
      <c r="C1549" t="s">
        <v>1162</v>
      </c>
      <c r="D1549" s="1936"/>
      <c r="E1549" s="1936"/>
      <c r="F1549" s="1941">
        <v>0</v>
      </c>
      <c r="G1549" s="1941">
        <v>0</v>
      </c>
      <c r="I1549" s="1938">
        <f t="shared" si="25"/>
        <v>0</v>
      </c>
    </row>
    <row r="1550" spans="1:9" x14ac:dyDescent="0.25">
      <c r="A1550" t="s">
        <v>282</v>
      </c>
      <c r="B1550" s="1936"/>
      <c r="C1550" t="s">
        <v>2563</v>
      </c>
      <c r="D1550" s="1936"/>
      <c r="E1550" s="1936"/>
      <c r="F1550" s="1941">
        <v>0</v>
      </c>
      <c r="G1550" s="1941">
        <v>0</v>
      </c>
      <c r="I1550" s="1938">
        <f t="shared" si="25"/>
        <v>0</v>
      </c>
    </row>
    <row r="1551" spans="1:9" x14ac:dyDescent="0.25">
      <c r="A1551" s="1944" t="s">
        <v>3813</v>
      </c>
      <c r="B1551" s="1936"/>
      <c r="C1551" t="s">
        <v>2629</v>
      </c>
      <c r="D1551" s="1936"/>
      <c r="E1551" s="1936"/>
      <c r="F1551" s="1941">
        <v>0</v>
      </c>
      <c r="G1551" s="1941">
        <v>12500</v>
      </c>
      <c r="I1551" s="1938">
        <f t="shared" si="25"/>
        <v>0</v>
      </c>
    </row>
    <row r="1552" spans="1:9" x14ac:dyDescent="0.25">
      <c r="A1552" s="1944" t="s">
        <v>3814</v>
      </c>
      <c r="B1552" s="1936"/>
      <c r="C1552" t="s">
        <v>3155</v>
      </c>
      <c r="D1552" s="1936"/>
      <c r="E1552" s="1936"/>
      <c r="F1552" s="1941">
        <v>750</v>
      </c>
      <c r="G1552" s="1941">
        <v>750</v>
      </c>
      <c r="I1552" s="1938">
        <f t="shared" si="25"/>
        <v>0</v>
      </c>
    </row>
    <row r="1553" spans="1:9" x14ac:dyDescent="0.25">
      <c r="A1553" s="1944" t="s">
        <v>3815</v>
      </c>
      <c r="B1553" s="1936"/>
      <c r="C1553" t="s">
        <v>3156</v>
      </c>
      <c r="D1553" s="1936"/>
      <c r="E1553" s="1936"/>
      <c r="F1553" s="1941">
        <v>1000</v>
      </c>
      <c r="G1553" s="1941">
        <v>6500</v>
      </c>
      <c r="I1553" s="1938">
        <f t="shared" si="25"/>
        <v>0</v>
      </c>
    </row>
    <row r="1554" spans="1:9" x14ac:dyDescent="0.25">
      <c r="A1554" s="1939" t="s">
        <v>3816</v>
      </c>
      <c r="B1554" s="1936"/>
      <c r="C1554" t="s">
        <v>3157</v>
      </c>
      <c r="D1554" s="1936"/>
      <c r="E1554" s="1936"/>
      <c r="F1554" s="1941">
        <v>159017</v>
      </c>
      <c r="G1554" s="1941">
        <v>160000</v>
      </c>
      <c r="I1554" s="1938">
        <f t="shared" si="25"/>
        <v>0</v>
      </c>
    </row>
    <row r="1555" spans="1:9" x14ac:dyDescent="0.25">
      <c r="A1555" s="1944" t="s">
        <v>3817</v>
      </c>
      <c r="B1555" s="1936"/>
      <c r="C1555" t="s">
        <v>3158</v>
      </c>
      <c r="D1555" s="1936"/>
      <c r="E1555" s="1936"/>
      <c r="F1555" s="1941">
        <v>0</v>
      </c>
      <c r="G1555" s="1941">
        <v>0</v>
      </c>
      <c r="I1555" s="1938">
        <f t="shared" si="25"/>
        <v>0</v>
      </c>
    </row>
    <row r="1556" spans="1:9" x14ac:dyDescent="0.25">
      <c r="A1556" t="s">
        <v>3709</v>
      </c>
      <c r="B1556" s="1936"/>
      <c r="C1556" t="s">
        <v>1162</v>
      </c>
      <c r="D1556" s="1936"/>
      <c r="E1556" s="1936"/>
      <c r="F1556" s="1941">
        <v>160767</v>
      </c>
      <c r="G1556" s="1941">
        <v>179750</v>
      </c>
      <c r="I1556" s="1938">
        <f t="shared" si="25"/>
        <v>0</v>
      </c>
    </row>
    <row r="1557" spans="1:9" x14ac:dyDescent="0.25">
      <c r="A1557" s="1944" t="s">
        <v>3818</v>
      </c>
      <c r="B1557" s="1936"/>
      <c r="C1557" t="s">
        <v>3159</v>
      </c>
      <c r="D1557" s="1936"/>
      <c r="E1557" s="1936"/>
      <c r="F1557" s="1941">
        <v>0</v>
      </c>
      <c r="G1557" s="1941">
        <v>750</v>
      </c>
      <c r="I1557" s="1938">
        <f t="shared" si="25"/>
        <v>0</v>
      </c>
    </row>
    <row r="1558" spans="1:9" x14ac:dyDescent="0.25">
      <c r="A1558" t="s">
        <v>282</v>
      </c>
      <c r="B1558" s="1936"/>
      <c r="C1558" t="s">
        <v>2300</v>
      </c>
      <c r="D1558" s="1936"/>
      <c r="E1558" s="1936"/>
      <c r="F1558" s="1941">
        <v>0</v>
      </c>
      <c r="G1558" s="1941">
        <v>750</v>
      </c>
      <c r="I1558" s="1938">
        <f t="shared" si="25"/>
        <v>0</v>
      </c>
    </row>
    <row r="1559" spans="1:9" x14ac:dyDescent="0.25">
      <c r="A1559" t="s">
        <v>282</v>
      </c>
      <c r="B1559" s="1936"/>
      <c r="C1559" t="s">
        <v>871</v>
      </c>
      <c r="D1559" s="1936"/>
      <c r="E1559" s="1936"/>
      <c r="F1559" s="1941">
        <v>160767</v>
      </c>
      <c r="G1559" s="1941">
        <v>180500</v>
      </c>
      <c r="I1559" s="1938">
        <f t="shared" si="25"/>
        <v>0</v>
      </c>
    </row>
    <row r="1560" spans="1:9" x14ac:dyDescent="0.25">
      <c r="A1560" t="s">
        <v>3819</v>
      </c>
      <c r="B1560" s="1936"/>
      <c r="C1560" t="s">
        <v>3160</v>
      </c>
      <c r="D1560" s="1936"/>
      <c r="E1560" s="1936"/>
      <c r="F1560" s="1941">
        <v>13308.48</v>
      </c>
      <c r="G1560" s="1941">
        <v>13309</v>
      </c>
      <c r="I1560" s="1938">
        <f t="shared" si="25"/>
        <v>0</v>
      </c>
    </row>
    <row r="1561" spans="1:9" x14ac:dyDescent="0.25">
      <c r="A1561" t="s">
        <v>282</v>
      </c>
      <c r="B1561" s="1936"/>
      <c r="C1561" t="s">
        <v>203</v>
      </c>
      <c r="D1561" s="1936"/>
      <c r="E1561" s="1936"/>
      <c r="F1561" s="1941">
        <v>13308.48</v>
      </c>
      <c r="G1561" s="1941">
        <v>13309</v>
      </c>
      <c r="I1561" s="1938">
        <f t="shared" si="25"/>
        <v>0</v>
      </c>
    </row>
    <row r="1562" spans="1:9" x14ac:dyDescent="0.25">
      <c r="A1562" t="s">
        <v>282</v>
      </c>
      <c r="B1562" s="1936"/>
      <c r="C1562" t="s">
        <v>2657</v>
      </c>
      <c r="D1562" s="1936"/>
      <c r="E1562" s="1936"/>
      <c r="F1562" s="1941">
        <v>13308.48</v>
      </c>
      <c r="G1562" s="1941">
        <v>13309</v>
      </c>
      <c r="I1562" s="1938">
        <f t="shared" si="25"/>
        <v>0</v>
      </c>
    </row>
    <row r="1563" spans="1:9" x14ac:dyDescent="0.25">
      <c r="A1563" t="s">
        <v>3819</v>
      </c>
      <c r="B1563" s="1936"/>
      <c r="C1563" t="s">
        <v>2658</v>
      </c>
      <c r="D1563" s="1936"/>
      <c r="E1563" s="1936"/>
      <c r="F1563" s="1941">
        <v>17027.400000000001</v>
      </c>
      <c r="G1563" s="1941">
        <v>17027</v>
      </c>
      <c r="I1563" s="1938">
        <f t="shared" si="25"/>
        <v>0</v>
      </c>
    </row>
    <row r="1564" spans="1:9" x14ac:dyDescent="0.25">
      <c r="A1564" t="s">
        <v>3819</v>
      </c>
      <c r="B1564" s="1936"/>
      <c r="C1564" t="s">
        <v>2659</v>
      </c>
      <c r="D1564" s="1936"/>
      <c r="E1564" s="1936"/>
      <c r="F1564" s="1941">
        <v>16363.92</v>
      </c>
      <c r="G1564" s="1941">
        <v>16364</v>
      </c>
      <c r="I1564" s="1938">
        <f t="shared" si="25"/>
        <v>0</v>
      </c>
    </row>
    <row r="1565" spans="1:9" x14ac:dyDescent="0.25">
      <c r="A1565" t="s">
        <v>3819</v>
      </c>
      <c r="B1565" s="1936"/>
      <c r="C1565" t="s">
        <v>2660</v>
      </c>
      <c r="D1565" s="1936"/>
      <c r="E1565" s="1936"/>
      <c r="F1565" s="1941">
        <v>17895</v>
      </c>
      <c r="G1565" s="1941">
        <v>17895</v>
      </c>
      <c r="I1565" s="1938">
        <f t="shared" si="25"/>
        <v>0</v>
      </c>
    </row>
    <row r="1566" spans="1:9" x14ac:dyDescent="0.25">
      <c r="A1566" t="s">
        <v>3819</v>
      </c>
      <c r="B1566" s="1936"/>
      <c r="C1566" t="s">
        <v>2661</v>
      </c>
      <c r="D1566" s="1936"/>
      <c r="E1566" s="1936"/>
      <c r="F1566" s="1941">
        <v>16668.599999999999</v>
      </c>
      <c r="G1566" s="1941">
        <v>16669</v>
      </c>
      <c r="I1566" s="1938">
        <f t="shared" si="25"/>
        <v>0</v>
      </c>
    </row>
    <row r="1567" spans="1:9" x14ac:dyDescent="0.25">
      <c r="A1567" t="s">
        <v>3819</v>
      </c>
      <c r="B1567" s="1936"/>
      <c r="C1567" t="s">
        <v>2662</v>
      </c>
      <c r="D1567" s="1936"/>
      <c r="E1567" s="1936"/>
      <c r="F1567" s="1941">
        <v>15964.8</v>
      </c>
      <c r="G1567" s="1941">
        <v>15965</v>
      </c>
      <c r="I1567" s="1938">
        <f t="shared" si="25"/>
        <v>0</v>
      </c>
    </row>
    <row r="1568" spans="1:9" x14ac:dyDescent="0.25">
      <c r="A1568" t="s">
        <v>282</v>
      </c>
      <c r="B1568" s="1936"/>
      <c r="C1568" t="s">
        <v>203</v>
      </c>
      <c r="D1568" s="1936"/>
      <c r="E1568" s="1936"/>
      <c r="F1568" s="1941">
        <v>83919.72</v>
      </c>
      <c r="G1568" s="1941">
        <v>83920</v>
      </c>
      <c r="I1568" s="1938">
        <f t="shared" si="25"/>
        <v>0</v>
      </c>
    </row>
    <row r="1569" spans="1:9" x14ac:dyDescent="0.25">
      <c r="A1569" t="s">
        <v>3820</v>
      </c>
      <c r="B1569" s="1936"/>
      <c r="C1569" t="s">
        <v>3161</v>
      </c>
      <c r="D1569" s="1936"/>
      <c r="E1569" s="1936"/>
      <c r="F1569" s="1941">
        <v>1182.3</v>
      </c>
      <c r="G1569" s="1941">
        <v>1175</v>
      </c>
      <c r="I1569" s="1938">
        <f t="shared" si="25"/>
        <v>0</v>
      </c>
    </row>
    <row r="1570" spans="1:9" x14ac:dyDescent="0.25">
      <c r="A1570" t="s">
        <v>282</v>
      </c>
      <c r="B1570" s="1936"/>
      <c r="C1570" t="s">
        <v>1162</v>
      </c>
      <c r="D1570" s="1936"/>
      <c r="E1570" s="1936"/>
      <c r="F1570" s="1941">
        <v>1182.3</v>
      </c>
      <c r="G1570" s="1941">
        <v>1175</v>
      </c>
      <c r="I1570" s="1938">
        <f t="shared" si="25"/>
        <v>0</v>
      </c>
    </row>
    <row r="1571" spans="1:9" x14ac:dyDescent="0.25">
      <c r="A1571" t="s">
        <v>282</v>
      </c>
      <c r="B1571" s="1936"/>
      <c r="C1571" t="s">
        <v>2721</v>
      </c>
      <c r="D1571" s="1936"/>
      <c r="E1571" s="1936"/>
      <c r="F1571" s="1941">
        <v>85102.02</v>
      </c>
      <c r="G1571" s="1941">
        <v>85095</v>
      </c>
      <c r="I1571" s="1938">
        <f t="shared" si="25"/>
        <v>0</v>
      </c>
    </row>
    <row r="1572" spans="1:9" x14ac:dyDescent="0.25">
      <c r="A1572" t="s">
        <v>3821</v>
      </c>
      <c r="B1572" s="1936"/>
      <c r="C1572" t="s">
        <v>2722</v>
      </c>
      <c r="D1572" s="1936"/>
      <c r="E1572" s="1936"/>
      <c r="F1572" s="1941">
        <v>7097.26</v>
      </c>
      <c r="G1572" s="1941">
        <v>7097</v>
      </c>
      <c r="I1572" s="1938">
        <f t="shared" si="25"/>
        <v>0</v>
      </c>
    </row>
    <row r="1573" spans="1:9" x14ac:dyDescent="0.25">
      <c r="A1573" t="s">
        <v>282</v>
      </c>
      <c r="B1573" s="1936"/>
      <c r="C1573" t="s">
        <v>203</v>
      </c>
      <c r="D1573" s="1936"/>
      <c r="E1573" s="1936"/>
      <c r="F1573" s="1941">
        <v>7097.26</v>
      </c>
      <c r="G1573" s="1941">
        <v>7097</v>
      </c>
      <c r="I1573" s="1938">
        <f t="shared" si="25"/>
        <v>0</v>
      </c>
    </row>
    <row r="1574" spans="1:9" x14ac:dyDescent="0.25">
      <c r="A1574" t="s">
        <v>3822</v>
      </c>
      <c r="B1574" s="1936"/>
      <c r="C1574" t="s">
        <v>3162</v>
      </c>
      <c r="D1574" s="1936"/>
      <c r="E1574" s="1936"/>
      <c r="F1574" s="1941">
        <v>0</v>
      </c>
      <c r="G1574" s="1941">
        <v>0</v>
      </c>
      <c r="I1574" s="1938">
        <f t="shared" si="25"/>
        <v>0</v>
      </c>
    </row>
    <row r="1575" spans="1:9" x14ac:dyDescent="0.25">
      <c r="A1575" t="s">
        <v>282</v>
      </c>
      <c r="B1575" s="1936"/>
      <c r="C1575" t="s">
        <v>1162</v>
      </c>
      <c r="D1575" s="1936"/>
      <c r="E1575" s="1936"/>
      <c r="F1575" s="1941">
        <v>0</v>
      </c>
      <c r="G1575" s="1941">
        <v>0</v>
      </c>
      <c r="I1575" s="1938">
        <f t="shared" si="25"/>
        <v>0</v>
      </c>
    </row>
    <row r="1576" spans="1:9" x14ac:dyDescent="0.25">
      <c r="A1576" t="s">
        <v>282</v>
      </c>
      <c r="B1576" s="1936"/>
      <c r="C1576" t="s">
        <v>483</v>
      </c>
      <c r="D1576" s="1936"/>
      <c r="E1576" s="1936"/>
      <c r="F1576" s="1941">
        <v>7097.28</v>
      </c>
      <c r="G1576" s="1941">
        <v>7097</v>
      </c>
      <c r="I1576" s="1938">
        <f t="shared" si="25"/>
        <v>0</v>
      </c>
    </row>
    <row r="1577" spans="1:9" x14ac:dyDescent="0.25">
      <c r="A1577" t="s">
        <v>3823</v>
      </c>
      <c r="B1577" s="1936"/>
      <c r="C1577" t="s">
        <v>3163</v>
      </c>
      <c r="D1577" s="1936"/>
      <c r="E1577" s="1936"/>
      <c r="F1577" s="1941">
        <v>13950.48</v>
      </c>
      <c r="G1577" s="1941">
        <v>13951</v>
      </c>
      <c r="I1577" s="1938">
        <f t="shared" si="25"/>
        <v>0</v>
      </c>
    </row>
    <row r="1578" spans="1:9" x14ac:dyDescent="0.25">
      <c r="A1578" t="s">
        <v>3824</v>
      </c>
      <c r="B1578" s="1936"/>
      <c r="C1578" t="s">
        <v>3164</v>
      </c>
      <c r="D1578" s="1936"/>
      <c r="E1578" s="1936"/>
      <c r="F1578" s="1941">
        <v>32049</v>
      </c>
      <c r="G1578" s="1941">
        <v>32049</v>
      </c>
      <c r="I1578" s="1938">
        <f t="shared" si="25"/>
        <v>0</v>
      </c>
    </row>
    <row r="1579" spans="1:9" x14ac:dyDescent="0.25">
      <c r="A1579" t="s">
        <v>3825</v>
      </c>
      <c r="B1579" s="1936"/>
      <c r="C1579" t="s">
        <v>3165</v>
      </c>
      <c r="D1579" s="1936"/>
      <c r="E1579" s="1936"/>
      <c r="F1579" s="1941">
        <v>59624.05</v>
      </c>
      <c r="G1579" s="1941">
        <v>61426</v>
      </c>
      <c r="I1579" s="1938">
        <f t="shared" si="25"/>
        <v>0</v>
      </c>
    </row>
    <row r="1580" spans="1:9" x14ac:dyDescent="0.25">
      <c r="A1580" t="s">
        <v>282</v>
      </c>
      <c r="B1580" s="1936"/>
      <c r="C1580" t="s">
        <v>203</v>
      </c>
      <c r="D1580" s="1936"/>
      <c r="E1580" s="1936"/>
      <c r="F1580" s="1941">
        <v>105623.53</v>
      </c>
      <c r="G1580" s="1941">
        <v>107426</v>
      </c>
      <c r="I1580" s="1938">
        <f t="shared" si="25"/>
        <v>0</v>
      </c>
    </row>
    <row r="1581" spans="1:9" x14ac:dyDescent="0.25">
      <c r="A1581" t="s">
        <v>3826</v>
      </c>
      <c r="B1581" s="1936"/>
      <c r="C1581" t="s">
        <v>3166</v>
      </c>
      <c r="D1581" s="1936"/>
      <c r="E1581" s="1936"/>
      <c r="F1581" s="1941">
        <v>18259.89</v>
      </c>
      <c r="G1581" s="1941">
        <v>22500</v>
      </c>
      <c r="I1581" s="1938">
        <f t="shared" si="25"/>
        <v>0</v>
      </c>
    </row>
    <row r="1582" spans="1:9" x14ac:dyDescent="0.25">
      <c r="A1582" t="s">
        <v>3822</v>
      </c>
      <c r="B1582" s="1936"/>
      <c r="C1582" t="s">
        <v>3167</v>
      </c>
      <c r="D1582" s="1936"/>
      <c r="E1582" s="1936"/>
      <c r="F1582" s="1941">
        <v>49510</v>
      </c>
      <c r="G1582" s="1941">
        <v>49510</v>
      </c>
      <c r="I1582" s="1938">
        <f t="shared" si="25"/>
        <v>0</v>
      </c>
    </row>
    <row r="1583" spans="1:9" x14ac:dyDescent="0.25">
      <c r="A1583" t="s">
        <v>282</v>
      </c>
      <c r="B1583" s="1936"/>
      <c r="C1583" t="s">
        <v>1162</v>
      </c>
      <c r="D1583" s="1936"/>
      <c r="E1583" s="1936"/>
      <c r="F1583" s="1941">
        <v>67769.89</v>
      </c>
      <c r="G1583" s="1941">
        <v>72010</v>
      </c>
      <c r="I1583" s="1938">
        <f t="shared" si="25"/>
        <v>0</v>
      </c>
    </row>
    <row r="1584" spans="1:9" x14ac:dyDescent="0.25">
      <c r="A1584" t="s">
        <v>3827</v>
      </c>
      <c r="B1584" s="1936"/>
      <c r="C1584" t="s">
        <v>3168</v>
      </c>
      <c r="D1584" s="1936"/>
      <c r="E1584" s="1936"/>
      <c r="F1584" s="1941">
        <v>7181.3</v>
      </c>
      <c r="G1584" s="1941">
        <v>7500</v>
      </c>
      <c r="I1584" s="1938">
        <f t="shared" si="25"/>
        <v>0</v>
      </c>
    </row>
    <row r="1585" spans="1:9" x14ac:dyDescent="0.25">
      <c r="A1585" t="s">
        <v>282</v>
      </c>
      <c r="B1585" s="1936"/>
      <c r="C1585" t="s">
        <v>2300</v>
      </c>
      <c r="D1585" s="1936"/>
      <c r="E1585" s="1936"/>
      <c r="F1585" s="1941">
        <v>7181.3</v>
      </c>
      <c r="G1585" s="1941">
        <v>7500</v>
      </c>
      <c r="I1585" s="1938">
        <f t="shared" si="25"/>
        <v>0</v>
      </c>
    </row>
    <row r="1586" spans="1:9" x14ac:dyDescent="0.25">
      <c r="A1586" t="s">
        <v>3769</v>
      </c>
      <c r="B1586" s="1936"/>
      <c r="C1586" t="s">
        <v>2896</v>
      </c>
      <c r="D1586" s="1936"/>
      <c r="E1586" s="1936"/>
      <c r="F1586" s="1941">
        <v>180574.72</v>
      </c>
      <c r="G1586" s="1941">
        <v>186936</v>
      </c>
      <c r="I1586" s="1938">
        <f t="shared" si="25"/>
        <v>0</v>
      </c>
    </row>
    <row r="1587" spans="1:9" x14ac:dyDescent="0.25">
      <c r="A1587" t="s">
        <v>590</v>
      </c>
      <c r="B1587" s="1936"/>
      <c r="C1587" t="s">
        <v>477</v>
      </c>
      <c r="D1587" s="1936"/>
      <c r="E1587" s="1936"/>
      <c r="F1587" s="1941">
        <v>502879.65</v>
      </c>
      <c r="G1587" s="1941">
        <v>531757</v>
      </c>
      <c r="I1587" s="1938">
        <f t="shared" si="25"/>
        <v>0</v>
      </c>
    </row>
    <row r="1588" spans="1:9" x14ac:dyDescent="0.25">
      <c r="A1588" t="s">
        <v>2801</v>
      </c>
      <c r="B1588" s="1936"/>
      <c r="C1588" t="s">
        <v>2802</v>
      </c>
      <c r="D1588" s="1936"/>
      <c r="E1588" s="1936"/>
      <c r="F1588" s="1941">
        <v>503229.65</v>
      </c>
      <c r="G1588" s="1941">
        <v>532757</v>
      </c>
      <c r="I1588" s="1938">
        <f t="shared" si="25"/>
        <v>0</v>
      </c>
    </row>
    <row r="1589" spans="1:9" x14ac:dyDescent="0.25">
      <c r="A1589" t="s">
        <v>1003</v>
      </c>
      <c r="B1589" s="1936"/>
      <c r="C1589" t="s">
        <v>3169</v>
      </c>
      <c r="D1589" s="1936"/>
      <c r="E1589" s="1936"/>
      <c r="F1589" s="1941">
        <v>-560868.63</v>
      </c>
      <c r="G1589" s="1941">
        <v>-562882</v>
      </c>
      <c r="I1589" s="1938">
        <f t="shared" si="25"/>
        <v>-560868.63</v>
      </c>
    </row>
    <row r="1590" spans="1:9" x14ac:dyDescent="0.25">
      <c r="A1590" t="s">
        <v>1003</v>
      </c>
      <c r="B1590" s="1936"/>
      <c r="C1590" t="s">
        <v>3169</v>
      </c>
      <c r="D1590" s="1936"/>
      <c r="E1590" s="1936"/>
      <c r="F1590" s="1941">
        <v>503229.65</v>
      </c>
      <c r="G1590" s="1941">
        <v>532757</v>
      </c>
      <c r="I1590" s="1938">
        <f t="shared" si="25"/>
        <v>0</v>
      </c>
    </row>
    <row r="1591" spans="1:9" x14ac:dyDescent="0.25">
      <c r="A1591" t="s">
        <v>3170</v>
      </c>
      <c r="B1591" s="1936"/>
      <c r="C1591" t="s">
        <v>2088</v>
      </c>
      <c r="D1591" s="1936"/>
      <c r="E1591" s="1936"/>
      <c r="F1591" s="1941">
        <v>-137485.04999999999</v>
      </c>
      <c r="G1591" s="1941">
        <v>-138326</v>
      </c>
      <c r="I1591" s="1938">
        <f t="shared" si="25"/>
        <v>-137485.04999999999</v>
      </c>
    </row>
    <row r="1592" spans="1:9" x14ac:dyDescent="0.25">
      <c r="A1592" t="s">
        <v>1231</v>
      </c>
      <c r="B1592" s="1936"/>
      <c r="C1592" t="s">
        <v>1231</v>
      </c>
      <c r="D1592" s="1936"/>
      <c r="E1592" s="1936"/>
      <c r="F1592" s="1941">
        <v>-137485.04999999999</v>
      </c>
      <c r="G1592" s="1941">
        <v>-138326</v>
      </c>
      <c r="I1592" s="1938">
        <f t="shared" si="25"/>
        <v>-137485.04999999999</v>
      </c>
    </row>
    <row r="1593" spans="1:9" x14ac:dyDescent="0.25">
      <c r="A1593" t="s">
        <v>3755</v>
      </c>
      <c r="B1593" s="1936"/>
      <c r="C1593" t="s">
        <v>2805</v>
      </c>
      <c r="D1593" s="1936"/>
      <c r="E1593" s="1936"/>
      <c r="F1593" s="1941">
        <v>-137485.04999999999</v>
      </c>
      <c r="G1593" s="1941">
        <v>-138326</v>
      </c>
      <c r="I1593" s="1938">
        <f t="shared" si="25"/>
        <v>-137485.04999999999</v>
      </c>
    </row>
    <row r="1594" spans="1:9" x14ac:dyDescent="0.25">
      <c r="A1594" t="s">
        <v>3171</v>
      </c>
      <c r="B1594" s="1936"/>
      <c r="C1594" t="s">
        <v>3172</v>
      </c>
      <c r="D1594" s="1936"/>
      <c r="E1594" s="1936"/>
      <c r="F1594" s="1941">
        <v>0</v>
      </c>
      <c r="G1594" s="1941">
        <v>-25</v>
      </c>
      <c r="I1594" s="1938">
        <f t="shared" si="25"/>
        <v>0</v>
      </c>
    </row>
    <row r="1595" spans="1:9" x14ac:dyDescent="0.25">
      <c r="A1595" t="s">
        <v>1231</v>
      </c>
      <c r="B1595" s="1936"/>
      <c r="C1595" t="s">
        <v>1231</v>
      </c>
      <c r="D1595" s="1936"/>
      <c r="E1595" s="1936"/>
      <c r="F1595" s="1941">
        <v>0</v>
      </c>
      <c r="G1595" s="1941">
        <v>-25</v>
      </c>
      <c r="I1595" s="1938">
        <f t="shared" si="25"/>
        <v>0</v>
      </c>
    </row>
    <row r="1596" spans="1:9" x14ac:dyDescent="0.25">
      <c r="A1596" t="s">
        <v>3645</v>
      </c>
      <c r="B1596" s="1936"/>
      <c r="C1596" t="s">
        <v>2109</v>
      </c>
      <c r="D1596" s="1936"/>
      <c r="E1596" s="1936"/>
      <c r="F1596" s="1941">
        <v>0</v>
      </c>
      <c r="G1596" s="1941">
        <v>-25</v>
      </c>
      <c r="I1596" s="1938">
        <f t="shared" si="25"/>
        <v>0</v>
      </c>
    </row>
    <row r="1597" spans="1:9" x14ac:dyDescent="0.25">
      <c r="A1597" t="s">
        <v>591</v>
      </c>
      <c r="B1597" s="1936"/>
      <c r="C1597" t="s">
        <v>2154</v>
      </c>
      <c r="D1597" s="1936"/>
      <c r="E1597" s="1936"/>
      <c r="F1597" s="1941">
        <v>-137485.04999999999</v>
      </c>
      <c r="G1597" s="1941">
        <v>-138351</v>
      </c>
      <c r="I1597" s="1938">
        <f t="shared" si="25"/>
        <v>-137485.04999999999</v>
      </c>
    </row>
    <row r="1598" spans="1:9" x14ac:dyDescent="0.25">
      <c r="A1598" t="s">
        <v>3810</v>
      </c>
      <c r="B1598" s="1936"/>
      <c r="C1598" t="s">
        <v>3173</v>
      </c>
      <c r="D1598" s="1936"/>
      <c r="E1598" s="1936"/>
      <c r="F1598" s="1941">
        <v>0</v>
      </c>
      <c r="G1598" s="1941">
        <v>0</v>
      </c>
      <c r="I1598" s="1938">
        <f t="shared" si="25"/>
        <v>0</v>
      </c>
    </row>
    <row r="1599" spans="1:9" x14ac:dyDescent="0.25">
      <c r="A1599" t="s">
        <v>1231</v>
      </c>
      <c r="B1599" s="1936"/>
      <c r="C1599" t="s">
        <v>1231</v>
      </c>
      <c r="D1599" s="1936"/>
      <c r="E1599" s="1936"/>
      <c r="F1599" s="1941">
        <v>0</v>
      </c>
      <c r="G1599" s="1941">
        <v>0</v>
      </c>
      <c r="I1599" s="1938">
        <f t="shared" si="25"/>
        <v>0</v>
      </c>
    </row>
    <row r="1600" spans="1:9" x14ac:dyDescent="0.25">
      <c r="A1600" t="s">
        <v>3805</v>
      </c>
      <c r="B1600" s="1936"/>
      <c r="C1600" t="s">
        <v>3131</v>
      </c>
      <c r="D1600" s="1936"/>
      <c r="E1600" s="1936"/>
      <c r="F1600" s="1941">
        <v>0</v>
      </c>
      <c r="G1600" s="1941">
        <v>0</v>
      </c>
      <c r="I1600" s="1938">
        <f t="shared" si="25"/>
        <v>0</v>
      </c>
    </row>
    <row r="1601" spans="1:9" x14ac:dyDescent="0.25">
      <c r="A1601" t="s">
        <v>3707</v>
      </c>
      <c r="B1601" s="1936"/>
      <c r="C1601" t="s">
        <v>2203</v>
      </c>
      <c r="D1601" s="1936"/>
      <c r="E1601" s="1936"/>
      <c r="F1601" s="1941">
        <v>0</v>
      </c>
      <c r="G1601" s="1941">
        <v>0</v>
      </c>
      <c r="I1601" s="1938">
        <f t="shared" si="25"/>
        <v>0</v>
      </c>
    </row>
    <row r="1602" spans="1:9" x14ac:dyDescent="0.25">
      <c r="A1602" t="s">
        <v>2204</v>
      </c>
      <c r="B1602" s="1936"/>
      <c r="C1602" t="s">
        <v>82</v>
      </c>
      <c r="D1602" s="1936"/>
      <c r="E1602" s="1936"/>
      <c r="F1602" s="1941">
        <v>-137485.04999999999</v>
      </c>
      <c r="G1602" s="1941">
        <v>-138351</v>
      </c>
      <c r="I1602" s="1938">
        <f t="shared" si="25"/>
        <v>-137485.04999999999</v>
      </c>
    </row>
    <row r="1603" spans="1:9" x14ac:dyDescent="0.25">
      <c r="A1603" t="s">
        <v>3184</v>
      </c>
      <c r="B1603" s="1936"/>
      <c r="C1603" t="s">
        <v>3174</v>
      </c>
      <c r="D1603" s="1936"/>
      <c r="E1603" s="1936"/>
      <c r="F1603" s="1941">
        <v>0</v>
      </c>
      <c r="G1603" s="1941">
        <v>500</v>
      </c>
      <c r="I1603" s="1938">
        <f t="shared" si="25"/>
        <v>0</v>
      </c>
    </row>
    <row r="1604" spans="1:9" x14ac:dyDescent="0.25">
      <c r="A1604" t="s">
        <v>3183</v>
      </c>
      <c r="B1604" s="1936"/>
      <c r="C1604" t="s">
        <v>3175</v>
      </c>
      <c r="D1604" s="1936"/>
      <c r="E1604" s="1936"/>
      <c r="F1604" s="1941">
        <v>0</v>
      </c>
      <c r="G1604" s="1941">
        <v>500</v>
      </c>
      <c r="I1604" s="1938">
        <f t="shared" ref="I1604:I1667" si="26">IF(F1604&lt;0,F1604,0)</f>
        <v>0</v>
      </c>
    </row>
    <row r="1605" spans="1:9" x14ac:dyDescent="0.25">
      <c r="A1605" t="s">
        <v>3709</v>
      </c>
      <c r="B1605" s="1936"/>
      <c r="C1605" t="s">
        <v>1162</v>
      </c>
      <c r="D1605" s="1936"/>
      <c r="E1605" s="1936"/>
      <c r="F1605" s="1941">
        <v>0</v>
      </c>
      <c r="G1605" s="1941">
        <v>1000</v>
      </c>
      <c r="I1605" s="1938">
        <f t="shared" si="26"/>
        <v>0</v>
      </c>
    </row>
    <row r="1606" spans="1:9" x14ac:dyDescent="0.25">
      <c r="A1606" t="s">
        <v>3182</v>
      </c>
      <c r="B1606" s="1936"/>
      <c r="C1606" t="s">
        <v>3176</v>
      </c>
      <c r="D1606" s="1936"/>
      <c r="E1606" s="1936"/>
      <c r="F1606" s="1941">
        <v>0</v>
      </c>
      <c r="G1606" s="1941">
        <v>500</v>
      </c>
      <c r="I1606" s="1938">
        <f t="shared" si="26"/>
        <v>0</v>
      </c>
    </row>
    <row r="1607" spans="1:9" x14ac:dyDescent="0.25">
      <c r="A1607" t="s">
        <v>3710</v>
      </c>
      <c r="B1607" s="1936"/>
      <c r="C1607" t="s">
        <v>2300</v>
      </c>
      <c r="D1607" s="1936"/>
      <c r="E1607" s="1936"/>
      <c r="F1607" s="1941">
        <v>0</v>
      </c>
      <c r="G1607" s="1941">
        <v>500</v>
      </c>
      <c r="I1607" s="1938">
        <f t="shared" si="26"/>
        <v>0</v>
      </c>
    </row>
    <row r="1608" spans="1:9" x14ac:dyDescent="0.25">
      <c r="A1608" t="s">
        <v>3181</v>
      </c>
      <c r="B1608" s="1936"/>
      <c r="C1608" t="s">
        <v>3177</v>
      </c>
      <c r="D1608" s="1936"/>
      <c r="E1608" s="1936"/>
      <c r="F1608" s="1941">
        <v>0</v>
      </c>
      <c r="G1608" s="1941">
        <v>0</v>
      </c>
      <c r="I1608" s="1938">
        <f t="shared" si="26"/>
        <v>0</v>
      </c>
    </row>
    <row r="1609" spans="1:9" x14ac:dyDescent="0.25">
      <c r="A1609" t="s">
        <v>3180</v>
      </c>
      <c r="B1609" s="1936"/>
      <c r="C1609" t="s">
        <v>3178</v>
      </c>
      <c r="D1609" s="1936"/>
      <c r="E1609" s="1936"/>
      <c r="F1609" s="1941">
        <v>22685.05</v>
      </c>
      <c r="G1609" s="1941">
        <v>22685</v>
      </c>
      <c r="I1609" s="1938">
        <f t="shared" si="26"/>
        <v>0</v>
      </c>
    </row>
    <row r="1610" spans="1:9" x14ac:dyDescent="0.25">
      <c r="A1610" t="s">
        <v>3711</v>
      </c>
      <c r="B1610" s="1936"/>
      <c r="C1610" t="s">
        <v>1157</v>
      </c>
      <c r="D1610" s="1936"/>
      <c r="E1610" s="1936"/>
      <c r="F1610" s="1941">
        <v>22684.799999999999</v>
      </c>
      <c r="G1610" s="1941">
        <v>22685</v>
      </c>
      <c r="I1610" s="1938">
        <f t="shared" si="26"/>
        <v>0</v>
      </c>
    </row>
    <row r="1611" spans="1:9" x14ac:dyDescent="0.25">
      <c r="A1611" t="s">
        <v>3768</v>
      </c>
      <c r="B1611" s="1936"/>
      <c r="C1611" t="s">
        <v>2821</v>
      </c>
      <c r="D1611" s="1936"/>
      <c r="E1611" s="1936"/>
      <c r="F1611" s="1941">
        <v>22684.799999999999</v>
      </c>
      <c r="G1611" s="1941">
        <v>24185</v>
      </c>
      <c r="I1611" s="1938">
        <f t="shared" si="26"/>
        <v>0</v>
      </c>
    </row>
    <row r="1612" spans="1:9" x14ac:dyDescent="0.25">
      <c r="A1612" t="s">
        <v>590</v>
      </c>
      <c r="B1612" s="1936"/>
      <c r="C1612" t="s">
        <v>477</v>
      </c>
      <c r="D1612" s="1936"/>
      <c r="E1612" s="1936"/>
      <c r="F1612" s="1941">
        <v>22684.799999999999</v>
      </c>
      <c r="G1612" s="1941">
        <v>24185</v>
      </c>
      <c r="I1612" s="1938">
        <f t="shared" si="26"/>
        <v>0</v>
      </c>
    </row>
    <row r="1613" spans="1:9" x14ac:dyDescent="0.25">
      <c r="A1613" t="s">
        <v>2801</v>
      </c>
      <c r="B1613" s="1936"/>
      <c r="C1613" t="s">
        <v>2802</v>
      </c>
      <c r="D1613" s="1936"/>
      <c r="E1613" s="1936"/>
      <c r="F1613" s="1941">
        <v>22684.799999999999</v>
      </c>
      <c r="G1613" s="1941">
        <v>24185</v>
      </c>
      <c r="I1613" s="1938">
        <f t="shared" si="26"/>
        <v>0</v>
      </c>
    </row>
    <row r="1614" spans="1:9" x14ac:dyDescent="0.25">
      <c r="A1614" t="s">
        <v>1004</v>
      </c>
      <c r="B1614" s="1936"/>
      <c r="C1614" t="s">
        <v>3179</v>
      </c>
      <c r="D1614" s="1936"/>
      <c r="E1614" s="1936"/>
      <c r="F1614" s="1941">
        <v>-137485.04999999999</v>
      </c>
      <c r="G1614" s="1941">
        <v>-138351</v>
      </c>
      <c r="I1614" s="1938">
        <f t="shared" si="26"/>
        <v>-137485.04999999999</v>
      </c>
    </row>
    <row r="1615" spans="1:9" x14ac:dyDescent="0.25">
      <c r="A1615" t="s">
        <v>1004</v>
      </c>
      <c r="B1615" s="1936"/>
      <c r="C1615" t="s">
        <v>3179</v>
      </c>
      <c r="D1615" s="1936"/>
      <c r="E1615" s="1936"/>
      <c r="F1615" s="1941">
        <v>22684.799999999999</v>
      </c>
      <c r="G1615" s="1941">
        <v>24185</v>
      </c>
      <c r="I1615" s="1938">
        <f t="shared" si="26"/>
        <v>0</v>
      </c>
    </row>
    <row r="1616" spans="1:9" x14ac:dyDescent="0.25">
      <c r="A1616" t="s">
        <v>158</v>
      </c>
      <c r="B1616" s="1936"/>
      <c r="C1616" t="s">
        <v>282</v>
      </c>
      <c r="D1616" s="1936"/>
      <c r="E1616" s="1936"/>
      <c r="F1616" s="1941">
        <v>-6245572.9400000004</v>
      </c>
      <c r="G1616" s="1941">
        <v>-5097097.92</v>
      </c>
      <c r="I1616" s="1938">
        <f t="shared" si="26"/>
        <v>-6245572.9400000004</v>
      </c>
    </row>
    <row r="1617" spans="9:9" x14ac:dyDescent="0.25">
      <c r="I1617" s="1938">
        <f t="shared" si="26"/>
        <v>0</v>
      </c>
    </row>
    <row r="1618" spans="9:9" x14ac:dyDescent="0.25">
      <c r="I1618" s="1938">
        <f t="shared" si="26"/>
        <v>0</v>
      </c>
    </row>
    <row r="1619" spans="9:9" x14ac:dyDescent="0.25">
      <c r="I1619" s="1938">
        <f t="shared" si="26"/>
        <v>0</v>
      </c>
    </row>
    <row r="1620" spans="9:9" x14ac:dyDescent="0.25">
      <c r="I1620" s="1938">
        <f t="shared" si="26"/>
        <v>0</v>
      </c>
    </row>
    <row r="1621" spans="9:9" x14ac:dyDescent="0.25">
      <c r="I1621" s="1938">
        <f t="shared" si="26"/>
        <v>0</v>
      </c>
    </row>
    <row r="1622" spans="9:9" x14ac:dyDescent="0.25">
      <c r="I1622" s="1938">
        <f t="shared" si="26"/>
        <v>0</v>
      </c>
    </row>
    <row r="1623" spans="9:9" x14ac:dyDescent="0.25">
      <c r="I1623" s="1938">
        <f t="shared" si="26"/>
        <v>0</v>
      </c>
    </row>
    <row r="1624" spans="9:9" x14ac:dyDescent="0.25">
      <c r="I1624" s="1938">
        <f t="shared" si="26"/>
        <v>0</v>
      </c>
    </row>
    <row r="1625" spans="9:9" x14ac:dyDescent="0.25">
      <c r="I1625" s="1938">
        <f t="shared" si="26"/>
        <v>0</v>
      </c>
    </row>
    <row r="1626" spans="9:9" x14ac:dyDescent="0.25">
      <c r="I1626" s="1938">
        <f t="shared" si="26"/>
        <v>0</v>
      </c>
    </row>
    <row r="1627" spans="9:9" x14ac:dyDescent="0.25">
      <c r="I1627" s="1938">
        <f t="shared" si="26"/>
        <v>0</v>
      </c>
    </row>
    <row r="1628" spans="9:9" x14ac:dyDescent="0.25">
      <c r="I1628" s="1938">
        <f t="shared" si="26"/>
        <v>0</v>
      </c>
    </row>
    <row r="1629" spans="9:9" x14ac:dyDescent="0.25">
      <c r="I1629" s="1938">
        <f t="shared" si="26"/>
        <v>0</v>
      </c>
    </row>
    <row r="1630" spans="9:9" x14ac:dyDescent="0.25">
      <c r="I1630" s="1938">
        <f t="shared" si="26"/>
        <v>0</v>
      </c>
    </row>
    <row r="1631" spans="9:9" x14ac:dyDescent="0.25">
      <c r="I1631" s="1938">
        <f t="shared" si="26"/>
        <v>0</v>
      </c>
    </row>
    <row r="1632" spans="9:9" x14ac:dyDescent="0.25">
      <c r="I1632" s="1938">
        <f t="shared" si="26"/>
        <v>0</v>
      </c>
    </row>
    <row r="1633" spans="9:9" x14ac:dyDescent="0.25">
      <c r="I1633" s="1938">
        <f t="shared" si="26"/>
        <v>0</v>
      </c>
    </row>
    <row r="1634" spans="9:9" x14ac:dyDescent="0.25">
      <c r="I1634" s="1938">
        <f t="shared" si="26"/>
        <v>0</v>
      </c>
    </row>
    <row r="1635" spans="9:9" x14ac:dyDescent="0.25">
      <c r="I1635" s="1938">
        <f t="shared" si="26"/>
        <v>0</v>
      </c>
    </row>
    <row r="1636" spans="9:9" x14ac:dyDescent="0.25">
      <c r="I1636" s="1938">
        <f t="shared" si="26"/>
        <v>0</v>
      </c>
    </row>
    <row r="1637" spans="9:9" x14ac:dyDescent="0.25">
      <c r="I1637" s="1938">
        <f t="shared" si="26"/>
        <v>0</v>
      </c>
    </row>
    <row r="1638" spans="9:9" x14ac:dyDescent="0.25">
      <c r="I1638" s="1938">
        <f t="shared" si="26"/>
        <v>0</v>
      </c>
    </row>
    <row r="1639" spans="9:9" x14ac:dyDescent="0.25">
      <c r="I1639" s="1938">
        <f t="shared" si="26"/>
        <v>0</v>
      </c>
    </row>
    <row r="1640" spans="9:9" x14ac:dyDescent="0.25">
      <c r="I1640" s="1938">
        <f t="shared" si="26"/>
        <v>0</v>
      </c>
    </row>
    <row r="1641" spans="9:9" x14ac:dyDescent="0.25">
      <c r="I1641" s="1938">
        <f t="shared" si="26"/>
        <v>0</v>
      </c>
    </row>
    <row r="1642" spans="9:9" x14ac:dyDescent="0.25">
      <c r="I1642" s="1938">
        <f t="shared" si="26"/>
        <v>0</v>
      </c>
    </row>
    <row r="1643" spans="9:9" x14ac:dyDescent="0.25">
      <c r="I1643" s="1938">
        <f t="shared" si="26"/>
        <v>0</v>
      </c>
    </row>
    <row r="1644" spans="9:9" x14ac:dyDescent="0.25">
      <c r="I1644" s="1938">
        <f t="shared" si="26"/>
        <v>0</v>
      </c>
    </row>
    <row r="1645" spans="9:9" x14ac:dyDescent="0.25">
      <c r="I1645" s="1938">
        <f t="shared" si="26"/>
        <v>0</v>
      </c>
    </row>
    <row r="1646" spans="9:9" x14ac:dyDescent="0.25">
      <c r="I1646" s="1938">
        <f t="shared" si="26"/>
        <v>0</v>
      </c>
    </row>
    <row r="1647" spans="9:9" x14ac:dyDescent="0.25">
      <c r="I1647" s="1938">
        <f t="shared" si="26"/>
        <v>0</v>
      </c>
    </row>
    <row r="1648" spans="9:9" x14ac:dyDescent="0.25">
      <c r="I1648" s="1938">
        <f t="shared" si="26"/>
        <v>0</v>
      </c>
    </row>
    <row r="1649" spans="9:9" x14ac:dyDescent="0.25">
      <c r="I1649" s="1938">
        <f t="shared" si="26"/>
        <v>0</v>
      </c>
    </row>
    <row r="1650" spans="9:9" x14ac:dyDescent="0.25">
      <c r="I1650" s="1938">
        <f t="shared" si="26"/>
        <v>0</v>
      </c>
    </row>
    <row r="1651" spans="9:9" x14ac:dyDescent="0.25">
      <c r="I1651" s="1938">
        <f t="shared" si="26"/>
        <v>0</v>
      </c>
    </row>
    <row r="1652" spans="9:9" x14ac:dyDescent="0.25">
      <c r="I1652" s="1938">
        <f t="shared" si="26"/>
        <v>0</v>
      </c>
    </row>
    <row r="1653" spans="9:9" x14ac:dyDescent="0.25">
      <c r="I1653" s="1938">
        <f t="shared" si="26"/>
        <v>0</v>
      </c>
    </row>
    <row r="1654" spans="9:9" x14ac:dyDescent="0.25">
      <c r="I1654" s="1938">
        <f t="shared" si="26"/>
        <v>0</v>
      </c>
    </row>
    <row r="1655" spans="9:9" x14ac:dyDescent="0.25">
      <c r="I1655" s="1938">
        <f t="shared" si="26"/>
        <v>0</v>
      </c>
    </row>
    <row r="1656" spans="9:9" x14ac:dyDescent="0.25">
      <c r="I1656" s="1938">
        <f t="shared" si="26"/>
        <v>0</v>
      </c>
    </row>
    <row r="1657" spans="9:9" x14ac:dyDescent="0.25">
      <c r="I1657" s="1938">
        <f t="shared" si="26"/>
        <v>0</v>
      </c>
    </row>
    <row r="1658" spans="9:9" x14ac:dyDescent="0.25">
      <c r="I1658" s="1938">
        <f t="shared" si="26"/>
        <v>0</v>
      </c>
    </row>
    <row r="1659" spans="9:9" x14ac:dyDescent="0.25">
      <c r="I1659" s="1938">
        <f t="shared" si="26"/>
        <v>0</v>
      </c>
    </row>
    <row r="1660" spans="9:9" x14ac:dyDescent="0.25">
      <c r="I1660" s="1938">
        <f t="shared" si="26"/>
        <v>0</v>
      </c>
    </row>
    <row r="1661" spans="9:9" x14ac:dyDescent="0.25">
      <c r="I1661" s="1938">
        <f t="shared" si="26"/>
        <v>0</v>
      </c>
    </row>
    <row r="1662" spans="9:9" x14ac:dyDescent="0.25">
      <c r="I1662" s="1938">
        <f t="shared" si="26"/>
        <v>0</v>
      </c>
    </row>
    <row r="1663" spans="9:9" x14ac:dyDescent="0.25">
      <c r="I1663" s="1938">
        <f t="shared" si="26"/>
        <v>0</v>
      </c>
    </row>
    <row r="1664" spans="9:9" x14ac:dyDescent="0.25">
      <c r="I1664" s="1938">
        <f t="shared" si="26"/>
        <v>0</v>
      </c>
    </row>
    <row r="1665" spans="9:9" x14ac:dyDescent="0.25">
      <c r="I1665" s="1938">
        <f t="shared" si="26"/>
        <v>0</v>
      </c>
    </row>
    <row r="1666" spans="9:9" x14ac:dyDescent="0.25">
      <c r="I1666" s="1938">
        <f t="shared" si="26"/>
        <v>0</v>
      </c>
    </row>
    <row r="1667" spans="9:9" x14ac:dyDescent="0.25">
      <c r="I1667" s="1938">
        <f t="shared" si="26"/>
        <v>0</v>
      </c>
    </row>
    <row r="1668" spans="9:9" x14ac:dyDescent="0.25">
      <c r="I1668" s="1938">
        <f t="shared" ref="I1668:I1731" si="27">IF(F1668&lt;0,F1668,0)</f>
        <v>0</v>
      </c>
    </row>
    <row r="1669" spans="9:9" x14ac:dyDescent="0.25">
      <c r="I1669" s="1938">
        <f t="shared" si="27"/>
        <v>0</v>
      </c>
    </row>
    <row r="1670" spans="9:9" x14ac:dyDescent="0.25">
      <c r="I1670" s="1938">
        <f t="shared" si="27"/>
        <v>0</v>
      </c>
    </row>
    <row r="1671" spans="9:9" x14ac:dyDescent="0.25">
      <c r="I1671" s="1938">
        <f t="shared" si="27"/>
        <v>0</v>
      </c>
    </row>
    <row r="1672" spans="9:9" x14ac:dyDescent="0.25">
      <c r="I1672" s="1938">
        <f t="shared" si="27"/>
        <v>0</v>
      </c>
    </row>
    <row r="1673" spans="9:9" x14ac:dyDescent="0.25">
      <c r="I1673" s="1938">
        <f t="shared" si="27"/>
        <v>0</v>
      </c>
    </row>
    <row r="1674" spans="9:9" x14ac:dyDescent="0.25">
      <c r="I1674" s="1938">
        <f t="shared" si="27"/>
        <v>0</v>
      </c>
    </row>
    <row r="1675" spans="9:9" x14ac:dyDescent="0.25">
      <c r="I1675" s="1938">
        <f t="shared" si="27"/>
        <v>0</v>
      </c>
    </row>
    <row r="1676" spans="9:9" x14ac:dyDescent="0.25">
      <c r="I1676" s="1938">
        <f t="shared" si="27"/>
        <v>0</v>
      </c>
    </row>
    <row r="1677" spans="9:9" x14ac:dyDescent="0.25">
      <c r="I1677" s="1938">
        <f t="shared" si="27"/>
        <v>0</v>
      </c>
    </row>
    <row r="1678" spans="9:9" x14ac:dyDescent="0.25">
      <c r="I1678" s="1938">
        <f t="shared" si="27"/>
        <v>0</v>
      </c>
    </row>
    <row r="1679" spans="9:9" x14ac:dyDescent="0.25">
      <c r="I1679" s="1938">
        <f t="shared" si="27"/>
        <v>0</v>
      </c>
    </row>
    <row r="1680" spans="9:9" x14ac:dyDescent="0.25">
      <c r="I1680" s="1938">
        <f t="shared" si="27"/>
        <v>0</v>
      </c>
    </row>
    <row r="1681" spans="9:9" x14ac:dyDescent="0.25">
      <c r="I1681" s="1938">
        <f t="shared" si="27"/>
        <v>0</v>
      </c>
    </row>
    <row r="1682" spans="9:9" x14ac:dyDescent="0.25">
      <c r="I1682" s="1938">
        <f t="shared" si="27"/>
        <v>0</v>
      </c>
    </row>
    <row r="1683" spans="9:9" x14ac:dyDescent="0.25">
      <c r="I1683" s="1938">
        <f t="shared" si="27"/>
        <v>0</v>
      </c>
    </row>
    <row r="1684" spans="9:9" x14ac:dyDescent="0.25">
      <c r="I1684" s="1938">
        <f t="shared" si="27"/>
        <v>0</v>
      </c>
    </row>
    <row r="1685" spans="9:9" x14ac:dyDescent="0.25">
      <c r="I1685" s="1938">
        <f t="shared" si="27"/>
        <v>0</v>
      </c>
    </row>
    <row r="1686" spans="9:9" x14ac:dyDescent="0.25">
      <c r="I1686" s="1938">
        <f t="shared" si="27"/>
        <v>0</v>
      </c>
    </row>
    <row r="1687" spans="9:9" x14ac:dyDescent="0.25">
      <c r="I1687" s="1938">
        <f t="shared" si="27"/>
        <v>0</v>
      </c>
    </row>
    <row r="1688" spans="9:9" x14ac:dyDescent="0.25">
      <c r="I1688" s="1938">
        <f t="shared" si="27"/>
        <v>0</v>
      </c>
    </row>
    <row r="1689" spans="9:9" x14ac:dyDescent="0.25">
      <c r="I1689" s="1938">
        <f t="shared" si="27"/>
        <v>0</v>
      </c>
    </row>
    <row r="1690" spans="9:9" x14ac:dyDescent="0.25">
      <c r="I1690" s="1938">
        <f t="shared" si="27"/>
        <v>0</v>
      </c>
    </row>
    <row r="1691" spans="9:9" x14ac:dyDescent="0.25">
      <c r="I1691" s="1938">
        <f t="shared" si="27"/>
        <v>0</v>
      </c>
    </row>
    <row r="1692" spans="9:9" x14ac:dyDescent="0.25">
      <c r="I1692" s="1938">
        <f t="shared" si="27"/>
        <v>0</v>
      </c>
    </row>
    <row r="1693" spans="9:9" x14ac:dyDescent="0.25">
      <c r="I1693" s="1938">
        <f t="shared" si="27"/>
        <v>0</v>
      </c>
    </row>
    <row r="1694" spans="9:9" x14ac:dyDescent="0.25">
      <c r="I1694" s="1938">
        <f t="shared" si="27"/>
        <v>0</v>
      </c>
    </row>
    <row r="1695" spans="9:9" x14ac:dyDescent="0.25">
      <c r="I1695" s="1938">
        <f t="shared" si="27"/>
        <v>0</v>
      </c>
    </row>
    <row r="1696" spans="9:9" x14ac:dyDescent="0.25">
      <c r="I1696" s="1938">
        <f t="shared" si="27"/>
        <v>0</v>
      </c>
    </row>
    <row r="1697" spans="9:9" x14ac:dyDescent="0.25">
      <c r="I1697" s="1938">
        <f t="shared" si="27"/>
        <v>0</v>
      </c>
    </row>
    <row r="1698" spans="9:9" x14ac:dyDescent="0.25">
      <c r="I1698" s="1938">
        <f t="shared" si="27"/>
        <v>0</v>
      </c>
    </row>
    <row r="1699" spans="9:9" x14ac:dyDescent="0.25">
      <c r="I1699" s="1938">
        <f t="shared" si="27"/>
        <v>0</v>
      </c>
    </row>
    <row r="1700" spans="9:9" x14ac:dyDescent="0.25">
      <c r="I1700" s="1938">
        <f t="shared" si="27"/>
        <v>0</v>
      </c>
    </row>
    <row r="1701" spans="9:9" x14ac:dyDescent="0.25">
      <c r="I1701" s="1938">
        <f t="shared" si="27"/>
        <v>0</v>
      </c>
    </row>
    <row r="1702" spans="9:9" x14ac:dyDescent="0.25">
      <c r="I1702" s="1938">
        <f t="shared" si="27"/>
        <v>0</v>
      </c>
    </row>
    <row r="1703" spans="9:9" x14ac:dyDescent="0.25">
      <c r="I1703" s="1938">
        <f t="shared" si="27"/>
        <v>0</v>
      </c>
    </row>
    <row r="1704" spans="9:9" x14ac:dyDescent="0.25">
      <c r="I1704" s="1938">
        <f t="shared" si="27"/>
        <v>0</v>
      </c>
    </row>
    <row r="1705" spans="9:9" x14ac:dyDescent="0.25">
      <c r="I1705" s="1938">
        <f t="shared" si="27"/>
        <v>0</v>
      </c>
    </row>
    <row r="1706" spans="9:9" x14ac:dyDescent="0.25">
      <c r="I1706" s="1938">
        <f t="shared" si="27"/>
        <v>0</v>
      </c>
    </row>
    <row r="1707" spans="9:9" x14ac:dyDescent="0.25">
      <c r="I1707" s="1938">
        <f t="shared" si="27"/>
        <v>0</v>
      </c>
    </row>
    <row r="1708" spans="9:9" x14ac:dyDescent="0.25">
      <c r="I1708" s="1938">
        <f t="shared" si="27"/>
        <v>0</v>
      </c>
    </row>
    <row r="1709" spans="9:9" x14ac:dyDescent="0.25">
      <c r="I1709" s="1938">
        <f t="shared" si="27"/>
        <v>0</v>
      </c>
    </row>
    <row r="1710" spans="9:9" x14ac:dyDescent="0.25">
      <c r="I1710" s="1938">
        <f t="shared" si="27"/>
        <v>0</v>
      </c>
    </row>
    <row r="1711" spans="9:9" x14ac:dyDescent="0.25">
      <c r="I1711" s="1938">
        <f t="shared" si="27"/>
        <v>0</v>
      </c>
    </row>
    <row r="1712" spans="9:9" x14ac:dyDescent="0.25">
      <c r="I1712" s="1938">
        <f t="shared" si="27"/>
        <v>0</v>
      </c>
    </row>
    <row r="1713" spans="9:9" x14ac:dyDescent="0.25">
      <c r="I1713" s="1938">
        <f t="shared" si="27"/>
        <v>0</v>
      </c>
    </row>
    <row r="1714" spans="9:9" x14ac:dyDescent="0.25">
      <c r="I1714" s="1938">
        <f t="shared" si="27"/>
        <v>0</v>
      </c>
    </row>
    <row r="1715" spans="9:9" x14ac:dyDescent="0.25">
      <c r="I1715" s="1938">
        <f t="shared" si="27"/>
        <v>0</v>
      </c>
    </row>
    <row r="1716" spans="9:9" x14ac:dyDescent="0.25">
      <c r="I1716" s="1938">
        <f t="shared" si="27"/>
        <v>0</v>
      </c>
    </row>
    <row r="1717" spans="9:9" x14ac:dyDescent="0.25">
      <c r="I1717" s="1938">
        <f t="shared" si="27"/>
        <v>0</v>
      </c>
    </row>
    <row r="1718" spans="9:9" x14ac:dyDescent="0.25">
      <c r="I1718" s="1938">
        <f t="shared" si="27"/>
        <v>0</v>
      </c>
    </row>
    <row r="1719" spans="9:9" x14ac:dyDescent="0.25">
      <c r="I1719" s="1938">
        <f t="shared" si="27"/>
        <v>0</v>
      </c>
    </row>
    <row r="1720" spans="9:9" x14ac:dyDescent="0.25">
      <c r="I1720" s="1938">
        <f t="shared" si="27"/>
        <v>0</v>
      </c>
    </row>
    <row r="1721" spans="9:9" x14ac:dyDescent="0.25">
      <c r="I1721" s="1938">
        <f t="shared" si="27"/>
        <v>0</v>
      </c>
    </row>
    <row r="1722" spans="9:9" x14ac:dyDescent="0.25">
      <c r="I1722" s="1938">
        <f t="shared" si="27"/>
        <v>0</v>
      </c>
    </row>
    <row r="1723" spans="9:9" x14ac:dyDescent="0.25">
      <c r="I1723" s="1938">
        <f t="shared" si="27"/>
        <v>0</v>
      </c>
    </row>
    <row r="1724" spans="9:9" x14ac:dyDescent="0.25">
      <c r="I1724" s="1938">
        <f t="shared" si="27"/>
        <v>0</v>
      </c>
    </row>
    <row r="1725" spans="9:9" x14ac:dyDescent="0.25">
      <c r="I1725" s="1938">
        <f t="shared" si="27"/>
        <v>0</v>
      </c>
    </row>
    <row r="1726" spans="9:9" x14ac:dyDescent="0.25">
      <c r="I1726" s="1938">
        <f t="shared" si="27"/>
        <v>0</v>
      </c>
    </row>
    <row r="1727" spans="9:9" x14ac:dyDescent="0.25">
      <c r="I1727" s="1938">
        <f t="shared" si="27"/>
        <v>0</v>
      </c>
    </row>
    <row r="1728" spans="9:9" x14ac:dyDescent="0.25">
      <c r="I1728" s="1938">
        <f t="shared" si="27"/>
        <v>0</v>
      </c>
    </row>
    <row r="1729" spans="9:9" x14ac:dyDescent="0.25">
      <c r="I1729" s="1938">
        <f t="shared" si="27"/>
        <v>0</v>
      </c>
    </row>
    <row r="1730" spans="9:9" x14ac:dyDescent="0.25">
      <c r="I1730" s="1938">
        <f t="shared" si="27"/>
        <v>0</v>
      </c>
    </row>
    <row r="1731" spans="9:9" x14ac:dyDescent="0.25">
      <c r="I1731" s="1938">
        <f t="shared" si="27"/>
        <v>0</v>
      </c>
    </row>
    <row r="1732" spans="9:9" x14ac:dyDescent="0.25">
      <c r="I1732" s="1938">
        <f t="shared" ref="I1732:I1786" si="28">IF(F1732&lt;0,F1732,0)</f>
        <v>0</v>
      </c>
    </row>
    <row r="1733" spans="9:9" x14ac:dyDescent="0.25">
      <c r="I1733" s="1938">
        <f t="shared" si="28"/>
        <v>0</v>
      </c>
    </row>
    <row r="1734" spans="9:9" x14ac:dyDescent="0.25">
      <c r="I1734" s="1938">
        <f t="shared" si="28"/>
        <v>0</v>
      </c>
    </row>
    <row r="1735" spans="9:9" x14ac:dyDescent="0.25">
      <c r="I1735" s="1938">
        <f t="shared" si="28"/>
        <v>0</v>
      </c>
    </row>
    <row r="1736" spans="9:9" x14ac:dyDescent="0.25">
      <c r="I1736" s="1938">
        <f t="shared" si="28"/>
        <v>0</v>
      </c>
    </row>
    <row r="1737" spans="9:9" x14ac:dyDescent="0.25">
      <c r="I1737" s="1938">
        <f t="shared" si="28"/>
        <v>0</v>
      </c>
    </row>
    <row r="1738" spans="9:9" x14ac:dyDescent="0.25">
      <c r="I1738" s="1938">
        <f t="shared" si="28"/>
        <v>0</v>
      </c>
    </row>
    <row r="1739" spans="9:9" x14ac:dyDescent="0.25">
      <c r="I1739" s="1938">
        <f t="shared" si="28"/>
        <v>0</v>
      </c>
    </row>
    <row r="1740" spans="9:9" x14ac:dyDescent="0.25">
      <c r="I1740" s="1938">
        <f t="shared" si="28"/>
        <v>0</v>
      </c>
    </row>
    <row r="1741" spans="9:9" x14ac:dyDescent="0.25">
      <c r="I1741" s="1938">
        <f t="shared" si="28"/>
        <v>0</v>
      </c>
    </row>
    <row r="1742" spans="9:9" x14ac:dyDescent="0.25">
      <c r="I1742" s="1938">
        <f t="shared" si="28"/>
        <v>0</v>
      </c>
    </row>
    <row r="1743" spans="9:9" x14ac:dyDescent="0.25">
      <c r="I1743" s="1938">
        <f t="shared" si="28"/>
        <v>0</v>
      </c>
    </row>
    <row r="1744" spans="9:9" x14ac:dyDescent="0.25">
      <c r="I1744" s="1938">
        <f t="shared" si="28"/>
        <v>0</v>
      </c>
    </row>
    <row r="1745" spans="9:9" x14ac:dyDescent="0.25">
      <c r="I1745" s="1938">
        <f t="shared" si="28"/>
        <v>0</v>
      </c>
    </row>
    <row r="1746" spans="9:9" x14ac:dyDescent="0.25">
      <c r="I1746" s="1938">
        <f t="shared" si="28"/>
        <v>0</v>
      </c>
    </row>
    <row r="1747" spans="9:9" x14ac:dyDescent="0.25">
      <c r="I1747" s="1938">
        <f t="shared" si="28"/>
        <v>0</v>
      </c>
    </row>
    <row r="1748" spans="9:9" x14ac:dyDescent="0.25">
      <c r="I1748" s="1938">
        <f t="shared" si="28"/>
        <v>0</v>
      </c>
    </row>
    <row r="1749" spans="9:9" x14ac:dyDescent="0.25">
      <c r="I1749" s="1938">
        <f t="shared" si="28"/>
        <v>0</v>
      </c>
    </row>
    <row r="1750" spans="9:9" x14ac:dyDescent="0.25">
      <c r="I1750" s="1938">
        <f t="shared" si="28"/>
        <v>0</v>
      </c>
    </row>
    <row r="1751" spans="9:9" x14ac:dyDescent="0.25">
      <c r="I1751" s="1938">
        <f t="shared" si="28"/>
        <v>0</v>
      </c>
    </row>
    <row r="1752" spans="9:9" x14ac:dyDescent="0.25">
      <c r="I1752" s="1938">
        <f t="shared" si="28"/>
        <v>0</v>
      </c>
    </row>
    <row r="1753" spans="9:9" x14ac:dyDescent="0.25">
      <c r="I1753" s="1938">
        <f t="shared" si="28"/>
        <v>0</v>
      </c>
    </row>
    <row r="1754" spans="9:9" x14ac:dyDescent="0.25">
      <c r="I1754" s="1938">
        <f t="shared" si="28"/>
        <v>0</v>
      </c>
    </row>
    <row r="1755" spans="9:9" x14ac:dyDescent="0.25">
      <c r="I1755" s="1938">
        <f t="shared" si="28"/>
        <v>0</v>
      </c>
    </row>
    <row r="1756" spans="9:9" x14ac:dyDescent="0.25">
      <c r="I1756" s="1938">
        <f t="shared" si="28"/>
        <v>0</v>
      </c>
    </row>
    <row r="1757" spans="9:9" x14ac:dyDescent="0.25">
      <c r="I1757" s="1938">
        <f t="shared" si="28"/>
        <v>0</v>
      </c>
    </row>
    <row r="1758" spans="9:9" x14ac:dyDescent="0.25">
      <c r="I1758" s="1938">
        <f t="shared" si="28"/>
        <v>0</v>
      </c>
    </row>
    <row r="1759" spans="9:9" x14ac:dyDescent="0.25">
      <c r="I1759" s="1938">
        <f t="shared" si="28"/>
        <v>0</v>
      </c>
    </row>
    <row r="1760" spans="9:9" x14ac:dyDescent="0.25">
      <c r="I1760" s="1938">
        <f t="shared" si="28"/>
        <v>0</v>
      </c>
    </row>
    <row r="1761" spans="9:9" x14ac:dyDescent="0.25">
      <c r="I1761" s="1938">
        <f t="shared" si="28"/>
        <v>0</v>
      </c>
    </row>
    <row r="1762" spans="9:9" x14ac:dyDescent="0.25">
      <c r="I1762" s="1938">
        <f t="shared" si="28"/>
        <v>0</v>
      </c>
    </row>
    <row r="1763" spans="9:9" x14ac:dyDescent="0.25">
      <c r="I1763" s="1938">
        <f t="shared" si="28"/>
        <v>0</v>
      </c>
    </row>
    <row r="1764" spans="9:9" x14ac:dyDescent="0.25">
      <c r="I1764" s="1938">
        <f t="shared" si="28"/>
        <v>0</v>
      </c>
    </row>
    <row r="1765" spans="9:9" x14ac:dyDescent="0.25">
      <c r="I1765" s="1938">
        <f t="shared" si="28"/>
        <v>0</v>
      </c>
    </row>
    <row r="1766" spans="9:9" x14ac:dyDescent="0.25">
      <c r="I1766" s="1938">
        <f t="shared" si="28"/>
        <v>0</v>
      </c>
    </row>
    <row r="1767" spans="9:9" x14ac:dyDescent="0.25">
      <c r="I1767" s="1938">
        <f t="shared" si="28"/>
        <v>0</v>
      </c>
    </row>
    <row r="1768" spans="9:9" x14ac:dyDescent="0.25">
      <c r="I1768" s="1938">
        <f t="shared" si="28"/>
        <v>0</v>
      </c>
    </row>
    <row r="1769" spans="9:9" x14ac:dyDescent="0.25">
      <c r="I1769" s="1938">
        <f t="shared" si="28"/>
        <v>0</v>
      </c>
    </row>
    <row r="1770" spans="9:9" x14ac:dyDescent="0.25">
      <c r="I1770" s="1938">
        <f t="shared" si="28"/>
        <v>0</v>
      </c>
    </row>
    <row r="1771" spans="9:9" x14ac:dyDescent="0.25">
      <c r="I1771" s="1938">
        <f t="shared" si="28"/>
        <v>0</v>
      </c>
    </row>
    <row r="1772" spans="9:9" x14ac:dyDescent="0.25">
      <c r="I1772" s="1938">
        <f t="shared" si="28"/>
        <v>0</v>
      </c>
    </row>
    <row r="1773" spans="9:9" x14ac:dyDescent="0.25">
      <c r="I1773" s="1938">
        <f t="shared" si="28"/>
        <v>0</v>
      </c>
    </row>
    <row r="1774" spans="9:9" x14ac:dyDescent="0.25">
      <c r="I1774" s="1938">
        <f t="shared" si="28"/>
        <v>0</v>
      </c>
    </row>
    <row r="1775" spans="9:9" x14ac:dyDescent="0.25">
      <c r="I1775" s="1938">
        <f t="shared" si="28"/>
        <v>0</v>
      </c>
    </row>
    <row r="1776" spans="9:9" x14ac:dyDescent="0.25">
      <c r="I1776" s="1938">
        <f t="shared" si="28"/>
        <v>0</v>
      </c>
    </row>
    <row r="1777" spans="9:9" x14ac:dyDescent="0.25">
      <c r="I1777" s="1938">
        <f t="shared" si="28"/>
        <v>0</v>
      </c>
    </row>
    <row r="1778" spans="9:9" x14ac:dyDescent="0.25">
      <c r="I1778" s="1938">
        <f t="shared" si="28"/>
        <v>0</v>
      </c>
    </row>
    <row r="1779" spans="9:9" x14ac:dyDescent="0.25">
      <c r="I1779" s="1938">
        <f t="shared" si="28"/>
        <v>0</v>
      </c>
    </row>
    <row r="1780" spans="9:9" x14ac:dyDescent="0.25">
      <c r="I1780" s="1938">
        <f t="shared" si="28"/>
        <v>0</v>
      </c>
    </row>
    <row r="1781" spans="9:9" x14ac:dyDescent="0.25">
      <c r="I1781" s="1938">
        <f t="shared" si="28"/>
        <v>0</v>
      </c>
    </row>
    <row r="1782" spans="9:9" x14ac:dyDescent="0.25">
      <c r="I1782" s="1938">
        <f t="shared" si="28"/>
        <v>0</v>
      </c>
    </row>
    <row r="1783" spans="9:9" x14ac:dyDescent="0.25">
      <c r="I1783" s="1938">
        <f t="shared" si="28"/>
        <v>0</v>
      </c>
    </row>
    <row r="1784" spans="9:9" x14ac:dyDescent="0.25">
      <c r="I1784" s="1938">
        <f t="shared" si="28"/>
        <v>0</v>
      </c>
    </row>
    <row r="1785" spans="9:9" x14ac:dyDescent="0.25">
      <c r="I1785" s="1938">
        <f t="shared" si="28"/>
        <v>0</v>
      </c>
    </row>
    <row r="1786" spans="9:9" x14ac:dyDescent="0.25">
      <c r="I1786" s="1938">
        <f t="shared" si="28"/>
        <v>0</v>
      </c>
    </row>
  </sheetData>
  <mergeCells count="1">
    <mergeCell ref="A1:H1"/>
  </mergeCells>
  <conditionalFormatting sqref="H3:H927">
    <cfRule type="notContainsBlanks" dxfId="1" priority="2">
      <formula>LEN(TRIM(H3))&gt;0</formula>
    </cfRule>
  </conditionalFormatting>
  <conditionalFormatting sqref="A2:B1048576">
    <cfRule type="containsText" dxfId="0" priority="1" operator="containsText" text="*-5">
      <formula>NOT(ISERROR(SEARCH("*-5",A2)))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404</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339547823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2.24E-2</v>
      </c>
      <c r="E10" s="356" t="s">
        <v>1062</v>
      </c>
      <c r="F10" s="355">
        <v>2.5000000000000001E-3</v>
      </c>
      <c r="G10" s="356" t="s">
        <v>1062</v>
      </c>
      <c r="H10" s="355">
        <v>1.1999999999999999E-3</v>
      </c>
      <c r="I10" s="356" t="s">
        <v>1063</v>
      </c>
      <c r="J10" s="1732">
        <f>ROUND(D10+F10+H10,5)</f>
        <v>2.6100000000000002E-2</v>
      </c>
      <c r="K10" s="222"/>
      <c r="L10" s="355">
        <v>5.0000000000000001E-4</v>
      </c>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3">
        <f>SUM('Acct Summary 7-8'!C8,'Acct Summary 7-8'!D8,'Acct Summary 7-8'!F8,'Acct Summary 7-8'!I8)</f>
        <v>20595470.129999999</v>
      </c>
      <c r="E16" s="356"/>
      <c r="F16" s="1733">
        <f>SUM('Acct Summary 7-8'!C17,'Acct Summary 7-8'!D17,'Acct Summary 7-8'!F17)</f>
        <v>20650112.129999999</v>
      </c>
      <c r="G16" s="356"/>
      <c r="H16" s="1733">
        <f>SUM(D16-F16)</f>
        <v>-54642</v>
      </c>
      <c r="I16" s="222"/>
      <c r="J16" s="1733">
        <f>SUM('Acct Summary 7-8'!C81,'Acct Summary 7-8'!D81,'Acct Summary 7-8'!F81,'Acct Summary 7-8'!I81)</f>
        <v>9961617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3">
        <f>'Short-Term Long-Term Debt 24'!F4</f>
        <v>0</v>
      </c>
      <c r="E22" s="356" t="s">
        <v>1062</v>
      </c>
      <c r="F22" s="1733">
        <f>'Short-Term Long-Term Debt 24'!F15</f>
        <v>0</v>
      </c>
      <c r="G22" s="356" t="s">
        <v>1062</v>
      </c>
      <c r="H22" s="1733">
        <f>'Short-Term Long-Term Debt 24'!F21</f>
        <v>0</v>
      </c>
      <c r="I22" s="356" t="s">
        <v>1062</v>
      </c>
      <c r="J22" s="1733">
        <f>'Short-Term Long-Term Debt 24'!F23</f>
        <v>0</v>
      </c>
      <c r="K22" s="356" t="s">
        <v>1062</v>
      </c>
      <c r="L22" s="173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3">
        <f>'Short-Term Long-Term Debt 24'!F27</f>
        <v>0</v>
      </c>
      <c r="E24" s="356" t="s">
        <v>1063</v>
      </c>
      <c r="F24" s="173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35">
        <f>IF(B31="X",(J7*0.069),IF(B32="X",(J7*0.138),"Enter x in a.or b."))</f>
        <v>23428799.787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4">
        <f>'Assets-Liab 5-6'!N36</f>
        <v>12484677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8"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577</v>
      </c>
      <c r="B2" s="2156"/>
      <c r="C2" s="2156"/>
      <c r="D2" s="2156"/>
      <c r="E2" s="2156"/>
      <c r="F2" s="2156"/>
      <c r="G2" s="2156"/>
      <c r="H2" s="2156"/>
      <c r="I2" s="2156"/>
      <c r="J2" s="2156"/>
      <c r="K2" s="2156"/>
      <c r="L2" s="2156"/>
      <c r="M2" s="2156"/>
      <c r="N2" s="2156"/>
      <c r="O2" s="2156"/>
      <c r="P2" s="2156"/>
      <c r="Q2" s="2156"/>
      <c r="R2" s="2156"/>
    </row>
    <row r="3" spans="1:18" ht="12.75" x14ac:dyDescent="0.2">
      <c r="A3" s="2157" t="s">
        <v>1480</v>
      </c>
      <c r="B3" s="2157"/>
      <c r="C3" s="2157"/>
      <c r="D3" s="2157"/>
      <c r="E3" s="2157"/>
      <c r="F3" s="2157"/>
      <c r="G3" s="2157"/>
      <c r="H3" s="2157"/>
      <c r="I3" s="2157"/>
      <c r="J3" s="2157"/>
      <c r="K3" s="2157"/>
      <c r="L3" s="2157"/>
      <c r="M3" s="2157"/>
      <c r="N3" s="2157"/>
      <c r="O3" s="2157"/>
      <c r="P3" s="2157"/>
      <c r="Q3" s="2157"/>
      <c r="R3" s="2157"/>
    </row>
    <row r="4" spans="1:18" x14ac:dyDescent="0.2">
      <c r="A4" s="2158" t="s">
        <v>1635</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Ottawa ESD 141</v>
      </c>
      <c r="E7" s="391"/>
      <c r="G7" s="252"/>
      <c r="H7" s="387"/>
      <c r="I7" s="387"/>
      <c r="J7" s="387"/>
      <c r="K7" s="387"/>
      <c r="L7" s="329"/>
      <c r="M7" s="329"/>
      <c r="N7" s="329"/>
      <c r="O7" s="329"/>
      <c r="P7" s="329"/>
    </row>
    <row r="8" spans="1:18" ht="12.75" x14ac:dyDescent="0.2">
      <c r="A8" s="329"/>
      <c r="B8" s="329"/>
      <c r="C8" s="389" t="s">
        <v>1187</v>
      </c>
      <c r="D8" s="392">
        <f>COVER!A13</f>
        <v>35050141002</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9961617</v>
      </c>
      <c r="I12" s="404"/>
      <c r="J12" s="404"/>
      <c r="K12" s="405">
        <f>TRUNC((H12/H13*100000),5)/100000</f>
        <v>0.48694233310000001</v>
      </c>
      <c r="L12" s="406"/>
      <c r="M12" s="360" t="s">
        <v>1206</v>
      </c>
      <c r="N12" s="360"/>
      <c r="O12" s="407">
        <v>0.35</v>
      </c>
      <c r="P12" s="218"/>
      <c r="Q12" s="218"/>
    </row>
    <row r="13" spans="1:18" s="408" customFormat="1" ht="12.75" x14ac:dyDescent="0.2">
      <c r="A13" s="218"/>
      <c r="B13" s="401"/>
      <c r="C13" s="2154" t="s">
        <v>1391</v>
      </c>
      <c r="D13" s="2155"/>
      <c r="E13" s="218"/>
      <c r="F13" s="409" t="s">
        <v>826</v>
      </c>
      <c r="G13" s="402"/>
      <c r="H13" s="403">
        <f>SUM('Acct Summary 7-8'!C8+'Acct Summary 7-8'!D8+'Acct Summary 7-8'!F8+'Acct Summary 7-8'!I8)+H14</f>
        <v>20457488.129999999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-137982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20650112.129999999</v>
      </c>
      <c r="I17" s="404"/>
      <c r="J17" s="416"/>
      <c r="K17" s="405">
        <f>TRUNC((H17/H18*100000),5)/100000</f>
        <v>1.0094158187</v>
      </c>
      <c r="L17" s="406"/>
      <c r="M17" s="417" t="s">
        <v>1233</v>
      </c>
      <c r="O17" s="418" t="str">
        <f>IF(AND(O16="2", J20 &gt; 2),"1",IF(AND(O16 = "1", J20 &gt; 2),"2",IF(AND(O16="1", J20 &gt;1),"1","0")))</f>
        <v>0</v>
      </c>
      <c r="P17" s="218"/>
    </row>
    <row r="18" spans="1:18" s="408" customFormat="1" ht="11.25" x14ac:dyDescent="0.2">
      <c r="A18" s="218"/>
      <c r="B18" s="401"/>
      <c r="C18" s="2154" t="s">
        <v>1384</v>
      </c>
      <c r="D18" s="2155"/>
      <c r="E18" s="218"/>
      <c r="F18" s="419" t="s">
        <v>827</v>
      </c>
      <c r="G18" s="402"/>
      <c r="H18" s="403">
        <f>SUM('Acct Summary 7-8'!C8+'Acct Summary 7-8'!D8+'Acct Summary 7-8'!F8+'Acct Summary 7-8'!I8)+H19</f>
        <v>20457488.129999999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-137982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41.094921700000008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51" t="s">
        <v>1479</v>
      </c>
      <c r="D24" s="2151"/>
      <c r="E24" s="218"/>
      <c r="F24" s="218" t="s">
        <v>465</v>
      </c>
      <c r="G24" s="402"/>
      <c r="H24" s="403">
        <f>SUM('Assets-Liab 5-6'!C4+'Assets-Liab 5-6'!D4+'Assets-Liab 5-6'!F4+'Assets-Liab 5-6'!I4+'Assets-Liab 5-6'!C5+'Assets-Liab 5-6'!D5+'Assets-Liab 5-6'!F5+'Assets-Liab 5-6'!I5)</f>
        <v>9935203</v>
      </c>
      <c r="I24" s="422"/>
      <c r="J24" s="422"/>
      <c r="K24" s="423">
        <f>TRUNC(((H24/H25*100000)/100000),2)</f>
        <v>173.2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57361.422579999999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7532868.4532599999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12484677</v>
      </c>
      <c r="I32" s="420"/>
      <c r="J32" s="420"/>
      <c r="K32" s="423">
        <f>TRUNC(100-((((H32/H33*100))*100)/100),2)</f>
        <v>46.71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23428799.787</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3" colorId="8" zoomScaleNormal="100" workbookViewId="0"/>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1" t="s">
        <v>1030</v>
      </c>
      <c r="B3" s="2162"/>
      <c r="C3" s="1561"/>
      <c r="D3" s="1562"/>
      <c r="E3" s="1562"/>
      <c r="F3" s="1562"/>
      <c r="G3" s="1562"/>
      <c r="H3" s="1562"/>
      <c r="I3" s="1562"/>
      <c r="J3" s="1562"/>
      <c r="K3" s="1562"/>
      <c r="L3" s="1562"/>
      <c r="M3" s="1563"/>
      <c r="N3" s="1564"/>
    </row>
    <row r="4" spans="1:14" ht="13.5" customHeight="1" x14ac:dyDescent="0.2">
      <c r="A4" s="463" t="s">
        <v>1750</v>
      </c>
      <c r="B4" s="464"/>
      <c r="C4" s="465">
        <f>1915027+200+11501+93858+1700+18450</f>
        <v>2040736</v>
      </c>
      <c r="D4" s="466">
        <v>493137</v>
      </c>
      <c r="E4" s="466"/>
      <c r="F4" s="466">
        <v>562628</v>
      </c>
      <c r="G4" s="466">
        <f>118685-11501</f>
        <v>107184</v>
      </c>
      <c r="H4" s="466"/>
      <c r="I4" s="466">
        <v>2710208</v>
      </c>
      <c r="J4" s="467">
        <v>118854</v>
      </c>
      <c r="K4" s="466">
        <v>1282</v>
      </c>
      <c r="L4" s="466">
        <v>79857</v>
      </c>
      <c r="M4" s="468"/>
      <c r="N4" s="469"/>
    </row>
    <row r="5" spans="1:14" x14ac:dyDescent="0.2">
      <c r="A5" s="463" t="s">
        <v>1049</v>
      </c>
      <c r="B5" s="470">
        <v>120</v>
      </c>
      <c r="C5" s="465">
        <f>501562</f>
        <v>501562</v>
      </c>
      <c r="D5" s="466">
        <v>24398</v>
      </c>
      <c r="E5" s="466">
        <v>605</v>
      </c>
      <c r="F5" s="466"/>
      <c r="G5" s="466"/>
      <c r="H5" s="466"/>
      <c r="I5" s="466">
        <v>3602534</v>
      </c>
      <c r="J5" s="467"/>
      <c r="K5" s="471">
        <v>450000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30484</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6" t="s">
        <v>665</v>
      </c>
      <c r="B13" s="1709"/>
      <c r="C13" s="1737">
        <f>SUM(C4:C12)</f>
        <v>2572782</v>
      </c>
      <c r="D13" s="1737">
        <f t="shared" ref="D13:L13" si="0">SUM(D4:D12)</f>
        <v>517535</v>
      </c>
      <c r="E13" s="1737">
        <f t="shared" si="0"/>
        <v>605</v>
      </c>
      <c r="F13" s="1737">
        <f t="shared" si="0"/>
        <v>562628</v>
      </c>
      <c r="G13" s="1737">
        <f t="shared" si="0"/>
        <v>107184</v>
      </c>
      <c r="H13" s="1737">
        <f t="shared" si="0"/>
        <v>0</v>
      </c>
      <c r="I13" s="1737">
        <f t="shared" si="0"/>
        <v>6312742</v>
      </c>
      <c r="J13" s="1737">
        <f t="shared" si="0"/>
        <v>118854</v>
      </c>
      <c r="K13" s="1737">
        <f t="shared" si="0"/>
        <v>451282</v>
      </c>
      <c r="L13" s="1737">
        <f t="shared" si="0"/>
        <v>79857</v>
      </c>
      <c r="M13" s="468"/>
      <c r="N13" s="469"/>
    </row>
    <row r="14" spans="1:14" ht="18" customHeight="1" thickTop="1" x14ac:dyDescent="0.2">
      <c r="A14" s="2163" t="s">
        <v>149</v>
      </c>
      <c r="B14" s="2164"/>
      <c r="C14" s="1565"/>
      <c r="D14" s="1566"/>
      <c r="E14" s="1566"/>
      <c r="F14" s="1566"/>
      <c r="G14" s="1566"/>
      <c r="H14" s="1566"/>
      <c r="I14" s="1566"/>
      <c r="J14" s="1566"/>
      <c r="K14" s="1566"/>
      <c r="L14" s="1566"/>
      <c r="M14" s="1567"/>
      <c r="N14" s="156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1150441</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f>
        <v>30652569</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26'!L10</f>
        <v>261674</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26'!L12+'Cap Outlay Deprec 26'!L13</f>
        <v>2542547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-40912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12525589</v>
      </c>
    </row>
    <row r="23" spans="1:14" ht="13.5" customHeight="1" thickBot="1" x14ac:dyDescent="0.25">
      <c r="A23" s="1736" t="s">
        <v>664</v>
      </c>
      <c r="B23" s="1741"/>
      <c r="C23" s="468"/>
      <c r="D23" s="468"/>
      <c r="E23" s="468"/>
      <c r="F23" s="468"/>
      <c r="G23" s="468"/>
      <c r="H23" s="468"/>
      <c r="I23" s="468"/>
      <c r="J23" s="468"/>
      <c r="K23" s="468"/>
      <c r="L23" s="468"/>
      <c r="M23" s="1688">
        <f>SUM(M15:M22)</f>
        <v>34607231</v>
      </c>
      <c r="N23" s="1688">
        <f>SUM(N21:N22)</f>
        <v>12484677</v>
      </c>
    </row>
    <row r="24" spans="1:14" ht="18" customHeight="1" thickTop="1" x14ac:dyDescent="0.2">
      <c r="A24" s="2165" t="s">
        <v>619</v>
      </c>
      <c r="B24" s="2166"/>
      <c r="C24" s="1570"/>
      <c r="D24" s="1567"/>
      <c r="E24" s="1567"/>
      <c r="F24" s="1567"/>
      <c r="G24" s="1567"/>
      <c r="H24" s="1567"/>
      <c r="I24" s="1567"/>
      <c r="J24" s="1567"/>
      <c r="K24" s="1567"/>
      <c r="L24" s="1567"/>
      <c r="M24" s="1566"/>
      <c r="N24" s="1571"/>
    </row>
    <row r="25" spans="1:14" x14ac:dyDescent="0.2">
      <c r="A25" s="473" t="s">
        <v>666</v>
      </c>
      <c r="B25" s="470">
        <v>410</v>
      </c>
      <c r="C25" s="478"/>
      <c r="D25" s="478"/>
      <c r="E25" s="478">
        <v>30484</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299-2235+24+2151-302+1245</f>
        <v>1182</v>
      </c>
      <c r="D27" s="467"/>
      <c r="E27" s="467">
        <v>11033</v>
      </c>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2888</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79857</v>
      </c>
      <c r="M33" s="468"/>
      <c r="N33" s="469"/>
    </row>
    <row r="34" spans="1:14" ht="13.5" customHeight="1" thickBot="1" x14ac:dyDescent="0.25">
      <c r="A34" s="1738" t="s">
        <v>675</v>
      </c>
      <c r="B34" s="1739"/>
      <c r="C34" s="1740">
        <f>SUM(C25:C33)</f>
        <v>4070</v>
      </c>
      <c r="D34" s="1740">
        <f t="shared" ref="D34:K34" si="1">SUM(D25:D33)</f>
        <v>0</v>
      </c>
      <c r="E34" s="1740">
        <f t="shared" si="1"/>
        <v>41517</v>
      </c>
      <c r="F34" s="1740">
        <f t="shared" si="1"/>
        <v>0</v>
      </c>
      <c r="G34" s="1740">
        <f t="shared" si="1"/>
        <v>0</v>
      </c>
      <c r="H34" s="1740">
        <f t="shared" si="1"/>
        <v>0</v>
      </c>
      <c r="I34" s="1740">
        <f t="shared" si="1"/>
        <v>0</v>
      </c>
      <c r="J34" s="1740">
        <f t="shared" si="1"/>
        <v>0</v>
      </c>
      <c r="K34" s="1740">
        <f t="shared" si="1"/>
        <v>0</v>
      </c>
      <c r="L34" s="1721">
        <f>SUM(L33)</f>
        <v>79857</v>
      </c>
      <c r="M34" s="468"/>
      <c r="N34" s="480"/>
    </row>
    <row r="35" spans="1:14" ht="18" customHeight="1" thickTop="1" x14ac:dyDescent="0.2">
      <c r="A35" s="2167" t="s">
        <v>550</v>
      </c>
      <c r="B35" s="2168"/>
      <c r="C35" s="1572"/>
      <c r="D35" s="1573"/>
      <c r="E35" s="1573"/>
      <c r="F35" s="1573"/>
      <c r="G35" s="1573"/>
      <c r="H35" s="1573"/>
      <c r="I35" s="1573"/>
      <c r="J35" s="1573"/>
      <c r="K35" s="1573"/>
      <c r="L35" s="1573"/>
      <c r="M35" s="1567"/>
      <c r="N35" s="1571"/>
    </row>
    <row r="36" spans="1:14" x14ac:dyDescent="0.2">
      <c r="A36" s="494" t="s">
        <v>1</v>
      </c>
      <c r="B36" s="470">
        <v>511</v>
      </c>
      <c r="C36" s="477"/>
      <c r="D36" s="477"/>
      <c r="E36" s="477"/>
      <c r="F36" s="477"/>
      <c r="G36" s="477"/>
      <c r="H36" s="477"/>
      <c r="I36" s="477"/>
      <c r="J36" s="477"/>
      <c r="K36" s="477"/>
      <c r="L36" s="468"/>
      <c r="M36" s="468"/>
      <c r="N36" s="495">
        <f>'Short-Term Long-Term Debt 24'!I49</f>
        <v>12484677</v>
      </c>
    </row>
    <row r="37" spans="1:14" ht="13.5" thickBot="1" x14ac:dyDescent="0.25">
      <c r="A37" s="1736" t="s">
        <v>674</v>
      </c>
      <c r="B37" s="1741"/>
      <c r="C37" s="477"/>
      <c r="D37" s="477"/>
      <c r="E37" s="477"/>
      <c r="F37" s="477"/>
      <c r="G37" s="477"/>
      <c r="H37" s="477"/>
      <c r="I37" s="477"/>
      <c r="J37" s="477"/>
      <c r="K37" s="477"/>
      <c r="L37" s="480"/>
      <c r="M37" s="468"/>
      <c r="N37" s="1688">
        <f>SUM(N36:N36)</f>
        <v>12484677</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2568712</v>
      </c>
      <c r="D39" s="466">
        <v>517535</v>
      </c>
      <c r="E39" s="466">
        <v>-40912</v>
      </c>
      <c r="F39" s="466">
        <v>562628</v>
      </c>
      <c r="G39" s="466">
        <v>107184</v>
      </c>
      <c r="H39" s="466"/>
      <c r="I39" s="466">
        <v>6312742</v>
      </c>
      <c r="J39" s="467">
        <v>118854</v>
      </c>
      <c r="K39" s="466">
        <v>451282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34607231</v>
      </c>
      <c r="N40" s="497"/>
    </row>
    <row r="41" spans="1:14" ht="13.5" customHeight="1" thickBot="1" x14ac:dyDescent="0.25">
      <c r="A41" s="1736" t="s">
        <v>676</v>
      </c>
      <c r="B41" s="1706"/>
      <c r="C41" s="1688">
        <f>(SUM(C34,C37,C38,C39))</f>
        <v>2572782</v>
      </c>
      <c r="D41" s="1688">
        <f t="shared" ref="D41:L41" si="2">SUM(D34,D37,D38:D39)</f>
        <v>517535</v>
      </c>
      <c r="E41" s="1688">
        <f t="shared" si="2"/>
        <v>605</v>
      </c>
      <c r="F41" s="1688">
        <f t="shared" si="2"/>
        <v>562628</v>
      </c>
      <c r="G41" s="1688">
        <f t="shared" si="2"/>
        <v>107184</v>
      </c>
      <c r="H41" s="1688">
        <f t="shared" si="2"/>
        <v>0</v>
      </c>
      <c r="I41" s="1688">
        <f t="shared" si="2"/>
        <v>6312742</v>
      </c>
      <c r="J41" s="1688">
        <f t="shared" si="2"/>
        <v>118854</v>
      </c>
      <c r="K41" s="1688">
        <f t="shared" si="2"/>
        <v>451282</v>
      </c>
      <c r="L41" s="1688">
        <f t="shared" si="2"/>
        <v>79857</v>
      </c>
      <c r="M41" s="1688">
        <f>SUM(M40)</f>
        <v>34607231</v>
      </c>
      <c r="N41" s="1688">
        <f>SUM(N37)</f>
        <v>12484677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4" colorId="8" zoomScaleNormal="100" zoomScaleSheetLayoutView="100" workbookViewId="0"/>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9" t="s">
        <v>1237</v>
      </c>
      <c r="B3" s="2190"/>
      <c r="C3" s="1575"/>
      <c r="D3" s="1576"/>
      <c r="E3" s="1576"/>
      <c r="F3" s="1576"/>
      <c r="G3" s="1576"/>
      <c r="H3" s="1576"/>
      <c r="I3" s="1576"/>
      <c r="J3" s="1576"/>
      <c r="K3" s="1577"/>
      <c r="L3" s="506"/>
    </row>
    <row r="4" spans="1:13" ht="15.75" customHeight="1" x14ac:dyDescent="0.2">
      <c r="A4" s="1930" t="s">
        <v>1579</v>
      </c>
      <c r="B4" s="1931">
        <v>1000</v>
      </c>
      <c r="C4" s="1742">
        <f>'Revenues 9-14'!C109</f>
        <v>8528688</v>
      </c>
      <c r="D4" s="1742">
        <f>'Revenues 9-14'!D109</f>
        <v>964017.12999999989</v>
      </c>
      <c r="E4" s="1742">
        <f>'Revenues 9-14'!E109</f>
        <v>3134418</v>
      </c>
      <c r="F4" s="1742">
        <f>'Revenues 9-14'!F109</f>
        <v>1218548</v>
      </c>
      <c r="G4" s="1742">
        <f>'Revenues 9-14'!G109</f>
        <v>908772</v>
      </c>
      <c r="H4" s="1742">
        <f>'Revenues 9-14'!H109</f>
        <v>0</v>
      </c>
      <c r="I4" s="1742">
        <f>'Revenues 9-14'!I109</f>
        <v>192210</v>
      </c>
      <c r="J4" s="1742">
        <f>'Revenues 9-14'!J109</f>
        <v>560868.63</v>
      </c>
      <c r="K4" s="1742">
        <f>'Revenues 9-14'!K109</f>
        <v>137485.04999999999</v>
      </c>
      <c r="L4" s="347"/>
    </row>
    <row r="5" spans="1:13" ht="15.75" customHeight="1" x14ac:dyDescent="0.2">
      <c r="A5" s="1578" t="s">
        <v>1580</v>
      </c>
      <c r="B5" s="1579">
        <v>2000</v>
      </c>
      <c r="C5" s="1743">
        <f>'Revenues 9-14'!C114</f>
        <v>0</v>
      </c>
      <c r="D5" s="1743">
        <f>'Revenues 9-14'!D114</f>
        <v>0</v>
      </c>
      <c r="E5" s="508"/>
      <c r="F5" s="1743">
        <f>'Revenues 9-14'!F114</f>
        <v>0</v>
      </c>
      <c r="G5" s="1743">
        <f>'Revenues 9-14'!G114</f>
        <v>0</v>
      </c>
      <c r="H5" s="509" t="s">
        <v>1231</v>
      </c>
      <c r="I5" s="510" t="s">
        <v>1231</v>
      </c>
      <c r="J5" s="511" t="s">
        <v>1231</v>
      </c>
      <c r="K5" s="512" t="s">
        <v>1231</v>
      </c>
      <c r="L5" s="347"/>
    </row>
    <row r="6" spans="1:13" ht="15.75" customHeight="1" x14ac:dyDescent="0.2">
      <c r="A6" s="1578" t="s">
        <v>1581</v>
      </c>
      <c r="B6" s="1580">
        <v>3000</v>
      </c>
      <c r="C6" s="1743">
        <f>'Revenues 9-14'!C173</f>
        <v>7600037</v>
      </c>
      <c r="D6" s="1743">
        <f>'Revenues 9-14'!D173</f>
        <v>0</v>
      </c>
      <c r="E6" s="1743">
        <f>'Revenues 9-14'!E173</f>
        <v>0</v>
      </c>
      <c r="F6" s="1743">
        <f>'Revenues 9-14'!F173</f>
        <v>258342</v>
      </c>
      <c r="G6" s="1743">
        <f>'Revenues 9-14'!G173</f>
        <v>0</v>
      </c>
      <c r="H6" s="1743">
        <f>'Revenues 9-14'!H173</f>
        <v>0</v>
      </c>
      <c r="I6" s="1743">
        <f>'Revenues 9-14'!I173</f>
        <v>0</v>
      </c>
      <c r="J6" s="1743">
        <f>'Revenues 9-14'!J173</f>
        <v>0</v>
      </c>
      <c r="K6" s="1743">
        <f>'Revenues 9-14'!K173</f>
        <v>0</v>
      </c>
      <c r="L6" s="347"/>
      <c r="M6" s="513"/>
    </row>
    <row r="7" spans="1:13" ht="15.75" customHeight="1" x14ac:dyDescent="0.2">
      <c r="A7" s="1578" t="s">
        <v>1582</v>
      </c>
      <c r="B7" s="1580">
        <v>4000</v>
      </c>
      <c r="C7" s="1743">
        <f>'Revenues 9-14'!C274</f>
        <v>1833628</v>
      </c>
      <c r="D7" s="1743">
        <f>'Revenues 9-14'!D274</f>
        <v>0</v>
      </c>
      <c r="E7" s="1743">
        <f>'Revenues 9-14'!E274</f>
        <v>0</v>
      </c>
      <c r="F7" s="1743">
        <f>'Revenues 9-14'!F274</f>
        <v>0</v>
      </c>
      <c r="G7" s="1743">
        <f>'Revenues 9-14'!G274</f>
        <v>0</v>
      </c>
      <c r="H7" s="1743">
        <f>'Revenues 9-14'!H274</f>
        <v>0</v>
      </c>
      <c r="I7" s="1743">
        <f>'Revenues 9-14'!I274</f>
        <v>0</v>
      </c>
      <c r="J7" s="1743">
        <f>'Revenues 9-14'!J274</f>
        <v>0</v>
      </c>
      <c r="K7" s="1743">
        <f>'Revenues 9-14'!K274</f>
        <v>0</v>
      </c>
      <c r="L7" s="347"/>
      <c r="M7" s="513"/>
    </row>
    <row r="8" spans="1:13" ht="13.5" thickBot="1" x14ac:dyDescent="0.25">
      <c r="A8" s="1736" t="s">
        <v>1234</v>
      </c>
      <c r="B8" s="1709"/>
      <c r="C8" s="1688">
        <f>SUM(C4:C7)</f>
        <v>17962353</v>
      </c>
      <c r="D8" s="1688">
        <f t="shared" ref="D8:K8" si="0">SUM(D4:D7)</f>
        <v>964017.12999999989</v>
      </c>
      <c r="E8" s="1688">
        <f t="shared" si="0"/>
        <v>3134418</v>
      </c>
      <c r="F8" s="1688">
        <f t="shared" si="0"/>
        <v>1476890</v>
      </c>
      <c r="G8" s="1688">
        <f t="shared" si="0"/>
        <v>908772</v>
      </c>
      <c r="H8" s="1688">
        <f t="shared" si="0"/>
        <v>0</v>
      </c>
      <c r="I8" s="1688">
        <f t="shared" si="0"/>
        <v>192210</v>
      </c>
      <c r="J8" s="1688">
        <f t="shared" si="0"/>
        <v>560868.63</v>
      </c>
      <c r="K8" s="1688">
        <f t="shared" si="0"/>
        <v>137485.04999999999</v>
      </c>
      <c r="L8" s="347"/>
    </row>
    <row r="9" spans="1:13" ht="15.75" thickTop="1" x14ac:dyDescent="0.2">
      <c r="A9" s="514" t="s">
        <v>1752</v>
      </c>
      <c r="B9" s="515">
        <v>3998</v>
      </c>
      <c r="C9" s="481">
        <v>7217162</v>
      </c>
      <c r="D9" s="516"/>
      <c r="E9" s="481"/>
      <c r="F9" s="481"/>
      <c r="G9" s="517"/>
      <c r="H9" s="481"/>
      <c r="I9" s="509" t="s">
        <v>1231</v>
      </c>
      <c r="J9" s="478"/>
      <c r="K9" s="481"/>
      <c r="L9" s="347"/>
    </row>
    <row r="10" spans="1:13" s="519" customFormat="1" ht="13.5" thickBot="1" x14ac:dyDescent="0.25">
      <c r="A10" s="1736" t="s">
        <v>1235</v>
      </c>
      <c r="B10" s="1709"/>
      <c r="C10" s="1688">
        <f>SUM(C8:C9)</f>
        <v>25179515</v>
      </c>
      <c r="D10" s="1688">
        <f t="shared" ref="D10:K10" si="1">SUM(D8:D9)</f>
        <v>964017.12999999989</v>
      </c>
      <c r="E10" s="1688">
        <f t="shared" si="1"/>
        <v>3134418</v>
      </c>
      <c r="F10" s="1688">
        <f t="shared" si="1"/>
        <v>1476890</v>
      </c>
      <c r="G10" s="1688">
        <f t="shared" si="1"/>
        <v>908772</v>
      </c>
      <c r="H10" s="1688">
        <f t="shared" si="1"/>
        <v>0</v>
      </c>
      <c r="I10" s="1688">
        <f t="shared" si="1"/>
        <v>192210</v>
      </c>
      <c r="J10" s="1688">
        <f t="shared" si="1"/>
        <v>560868.63</v>
      </c>
      <c r="K10" s="1688">
        <f t="shared" si="1"/>
        <v>137485.04999999999</v>
      </c>
      <c r="L10" s="518"/>
    </row>
    <row r="11" spans="1:13" s="519" customFormat="1" ht="16.7" customHeight="1" thickTop="1" x14ac:dyDescent="0.2">
      <c r="A11" s="2163" t="s">
        <v>1238</v>
      </c>
      <c r="B11" s="2164"/>
      <c r="C11" s="1572"/>
      <c r="D11" s="1573"/>
      <c r="E11" s="1573"/>
      <c r="F11" s="1573"/>
      <c r="G11" s="1573"/>
      <c r="H11" s="1573"/>
      <c r="I11" s="1573"/>
      <c r="J11" s="1573"/>
      <c r="K11" s="1574"/>
      <c r="L11" s="518"/>
    </row>
    <row r="12" spans="1:13" ht="15.75" customHeight="1" x14ac:dyDescent="0.2">
      <c r="A12" s="1578" t="s">
        <v>476</v>
      </c>
      <c r="B12" s="1580">
        <v>1000</v>
      </c>
      <c r="C12" s="1742">
        <f>'Expenditures 15-22'!K33</f>
        <v>11756971</v>
      </c>
      <c r="D12" s="520" t="s">
        <v>1231</v>
      </c>
      <c r="E12" s="468" t="s">
        <v>1231</v>
      </c>
      <c r="F12" s="468" t="s">
        <v>1231</v>
      </c>
      <c r="G12" s="1742">
        <f>'Expenditures 15-22'!K229</f>
        <v>316827</v>
      </c>
      <c r="H12" s="521"/>
      <c r="I12" s="468" t="s">
        <v>1231</v>
      </c>
      <c r="J12" s="468" t="s">
        <v>1231</v>
      </c>
      <c r="K12" s="521" t="s">
        <v>1231</v>
      </c>
      <c r="L12" s="347"/>
    </row>
    <row r="13" spans="1:13" ht="15.75" customHeight="1" x14ac:dyDescent="0.2">
      <c r="A13" s="1578" t="s">
        <v>477</v>
      </c>
      <c r="B13" s="1580">
        <v>2000</v>
      </c>
      <c r="C13" s="1743">
        <f>'Expenditures 15-22'!K74</f>
        <v>4940105</v>
      </c>
      <c r="D13" s="1743">
        <f>'Expenditures 15-22'!K129</f>
        <v>1471677.1300000001</v>
      </c>
      <c r="E13" s="469" t="s">
        <v>1231</v>
      </c>
      <c r="F13" s="1743">
        <f>'Expenditures 15-22'!K184</f>
        <v>1787719</v>
      </c>
      <c r="G13" s="1743">
        <f>'Expenditures 15-22'!K279</f>
        <v>586087</v>
      </c>
      <c r="H13" s="1743">
        <f>'Expenditures 15-22'!K303</f>
        <v>0</v>
      </c>
      <c r="I13" s="468" t="s">
        <v>1231</v>
      </c>
      <c r="J13" s="1743">
        <f>'Expenditures 15-22'!K330</f>
        <v>503229.63</v>
      </c>
      <c r="K13" s="1747">
        <f>'Expenditures 15-22'!K352</f>
        <v>22685.05</v>
      </c>
      <c r="L13" s="347"/>
    </row>
    <row r="14" spans="1:13" ht="15.75" customHeight="1" x14ac:dyDescent="0.2">
      <c r="A14" s="1578" t="s">
        <v>469</v>
      </c>
      <c r="B14" s="1580">
        <v>3000</v>
      </c>
      <c r="C14" s="1743">
        <f>'Expenditures 15-22'!K75</f>
        <v>0</v>
      </c>
      <c r="D14" s="1743">
        <f>'Expenditures 15-22'!K130</f>
        <v>0</v>
      </c>
      <c r="E14" s="520" t="s">
        <v>1231</v>
      </c>
      <c r="F14" s="1743">
        <f>'Expenditures 15-22'!K185</f>
        <v>0</v>
      </c>
      <c r="G14" s="1743">
        <f>'Expenditures 15-22'!K280</f>
        <v>0</v>
      </c>
      <c r="H14" s="512"/>
      <c r="I14" s="468" t="s">
        <v>1231</v>
      </c>
      <c r="J14" s="468" t="s">
        <v>1231</v>
      </c>
      <c r="K14" s="512" t="s">
        <v>1231</v>
      </c>
      <c r="L14" s="347"/>
    </row>
    <row r="15" spans="1:13" ht="15.75" customHeight="1" x14ac:dyDescent="0.2">
      <c r="A15" s="1578" t="s">
        <v>109</v>
      </c>
      <c r="B15" s="1580">
        <v>4000</v>
      </c>
      <c r="C15" s="1743">
        <f>'Expenditures 15-22'!K102</f>
        <v>543374</v>
      </c>
      <c r="D15" s="1743">
        <f>'Expenditures 15-22'!K139</f>
        <v>0</v>
      </c>
      <c r="E15" s="1743">
        <f>'Expenditures 15-22'!K160</f>
        <v>0</v>
      </c>
      <c r="F15" s="1743">
        <f>'Expenditures 15-22'!K196</f>
        <v>0</v>
      </c>
      <c r="G15" s="1743">
        <f>'Expenditures 15-22'!K285</f>
        <v>0</v>
      </c>
      <c r="H15" s="1743">
        <f>'Expenditures 15-22'!K310</f>
        <v>0</v>
      </c>
      <c r="I15" s="468" t="s">
        <v>1231</v>
      </c>
      <c r="J15" s="1836">
        <f>'Expenditures 15-22'!K334</f>
        <v>0</v>
      </c>
      <c r="K15" s="1743">
        <f>'Expenditures 15-22'!K357</f>
        <v>0</v>
      </c>
      <c r="L15" s="347"/>
    </row>
    <row r="16" spans="1:13" ht="15.75" customHeight="1" x14ac:dyDescent="0.2">
      <c r="A16" s="1578" t="s">
        <v>470</v>
      </c>
      <c r="B16" s="1580">
        <v>5000</v>
      </c>
      <c r="C16" s="1743">
        <f>'Expenditures 15-22'!K112</f>
        <v>0</v>
      </c>
      <c r="D16" s="1743">
        <f>'Expenditures 15-22'!K149</f>
        <v>0</v>
      </c>
      <c r="E16" s="1743">
        <f>'Expenditures 15-22'!K172</f>
        <v>3284514</v>
      </c>
      <c r="F16" s="1743">
        <f>'Expenditures 15-22'!K208</f>
        <v>150266</v>
      </c>
      <c r="G16" s="1743">
        <f>'Expenditures 15-22'!K293</f>
        <v>0</v>
      </c>
      <c r="H16" s="523"/>
      <c r="I16" s="468" t="s">
        <v>1231</v>
      </c>
      <c r="J16" s="1748">
        <f>'Expenditures 15-22'!K340</f>
        <v>0</v>
      </c>
      <c r="K16" s="1743">
        <f>'Expenditures 15-22'!K365</f>
        <v>0</v>
      </c>
      <c r="L16" s="347"/>
    </row>
    <row r="17" spans="1:12" ht="13.5" thickBot="1" x14ac:dyDescent="0.25">
      <c r="A17" s="1708" t="s">
        <v>50</v>
      </c>
      <c r="B17" s="1709"/>
      <c r="C17" s="1688">
        <f t="shared" ref="C17:H17" si="2">SUM(C12:C16)</f>
        <v>17240450</v>
      </c>
      <c r="D17" s="1688">
        <f t="shared" si="2"/>
        <v>1471677.1300000001</v>
      </c>
      <c r="E17" s="1688">
        <f t="shared" si="2"/>
        <v>3284514</v>
      </c>
      <c r="F17" s="1688">
        <f t="shared" si="2"/>
        <v>1937985</v>
      </c>
      <c r="G17" s="1688">
        <f t="shared" si="2"/>
        <v>902914</v>
      </c>
      <c r="H17" s="1688">
        <f t="shared" si="2"/>
        <v>0</v>
      </c>
      <c r="I17" s="468"/>
      <c r="J17" s="1688">
        <f>SUM(J12:J16)</f>
        <v>503229.63</v>
      </c>
      <c r="K17" s="1688">
        <f>SUM(K12:K16)</f>
        <v>22685.05</v>
      </c>
      <c r="L17" s="347"/>
    </row>
    <row r="18" spans="1:12" ht="15" customHeight="1" thickTop="1" x14ac:dyDescent="0.2">
      <c r="A18" s="1744" t="s">
        <v>1753</v>
      </c>
      <c r="B18" s="1745">
        <v>4180</v>
      </c>
      <c r="C18" s="1742">
        <f t="shared" ref="C18:H18" si="3">C9</f>
        <v>7217162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526</v>
      </c>
      <c r="B19" s="1709"/>
      <c r="C19" s="1688">
        <f t="shared" ref="C19:H19" si="4">SUM(C17:C18)</f>
        <v>24457612</v>
      </c>
      <c r="D19" s="1688">
        <f t="shared" si="4"/>
        <v>1471677.1300000001</v>
      </c>
      <c r="E19" s="1688">
        <f t="shared" si="4"/>
        <v>3284514</v>
      </c>
      <c r="F19" s="1688">
        <f t="shared" si="4"/>
        <v>1937985</v>
      </c>
      <c r="G19" s="1688">
        <f t="shared" si="4"/>
        <v>902914</v>
      </c>
      <c r="H19" s="1688">
        <f t="shared" si="4"/>
        <v>0</v>
      </c>
      <c r="I19" s="468"/>
      <c r="J19" s="1688">
        <f>SUM(J17:J18)</f>
        <v>503229.63</v>
      </c>
      <c r="K19" s="1688">
        <f>SUM(K17:K18)</f>
        <v>22685.05</v>
      </c>
      <c r="L19" s="347"/>
    </row>
    <row r="20" spans="1:12" ht="16.5" thickTop="1" thickBot="1" x14ac:dyDescent="0.25">
      <c r="A20" s="2179" t="s">
        <v>1754</v>
      </c>
      <c r="B20" s="2180"/>
      <c r="C20" s="1746">
        <f>C8-C17</f>
        <v>721903</v>
      </c>
      <c r="D20" s="1746">
        <f t="shared" ref="D20:K20" si="5">D8-D17</f>
        <v>-507660.00000000023</v>
      </c>
      <c r="E20" s="1746">
        <f t="shared" si="5"/>
        <v>-150096</v>
      </c>
      <c r="F20" s="1746">
        <f t="shared" si="5"/>
        <v>-461095</v>
      </c>
      <c r="G20" s="1746">
        <f t="shared" si="5"/>
        <v>5858</v>
      </c>
      <c r="H20" s="1746">
        <f t="shared" si="5"/>
        <v>0</v>
      </c>
      <c r="I20" s="1746">
        <f t="shared" si="5"/>
        <v>192210</v>
      </c>
      <c r="J20" s="1746">
        <f t="shared" si="5"/>
        <v>57639</v>
      </c>
      <c r="K20" s="1746">
        <f t="shared" si="5"/>
        <v>114799.99999999999</v>
      </c>
      <c r="L20" s="347"/>
    </row>
    <row r="21" spans="1:12" ht="16.7" customHeight="1" thickTop="1" x14ac:dyDescent="0.2">
      <c r="A21" s="2191" t="s">
        <v>616</v>
      </c>
      <c r="B21" s="2192"/>
      <c r="C21" s="1572"/>
      <c r="D21" s="1573"/>
      <c r="E21" s="1573"/>
      <c r="F21" s="1573"/>
      <c r="G21" s="1573"/>
      <c r="H21" s="1573"/>
      <c r="I21" s="1573"/>
      <c r="J21" s="1573"/>
      <c r="K21" s="1574"/>
      <c r="L21" s="524"/>
    </row>
    <row r="22" spans="1:12" ht="15.75" customHeight="1" collapsed="1" x14ac:dyDescent="0.2">
      <c r="A22" s="2187" t="s">
        <v>617</v>
      </c>
      <c r="B22" s="2188"/>
      <c r="C22" s="477"/>
      <c r="D22" s="477"/>
      <c r="E22" s="477"/>
      <c r="F22" s="477"/>
      <c r="G22" s="477"/>
      <c r="H22" s="477"/>
      <c r="I22" s="477"/>
      <c r="J22" s="477"/>
      <c r="K22" s="477"/>
      <c r="L22" s="347"/>
    </row>
    <row r="23" spans="1:12" s="485" customFormat="1" ht="15.75" customHeight="1" x14ac:dyDescent="0.2">
      <c r="A23" s="2183" t="s">
        <v>311</v>
      </c>
      <c r="B23" s="2184"/>
      <c r="C23" s="480"/>
      <c r="D23" s="477"/>
      <c r="E23" s="477"/>
      <c r="F23" s="477"/>
      <c r="G23" s="477"/>
      <c r="H23" s="477"/>
      <c r="I23" s="477"/>
      <c r="J23" s="477"/>
      <c r="K23" s="477"/>
      <c r="L23" s="524"/>
    </row>
    <row r="24" spans="1:12" s="485" customFormat="1" ht="13.5" customHeight="1" x14ac:dyDescent="0.2">
      <c r="A24" s="1491" t="s">
        <v>1755</v>
      </c>
      <c r="B24" s="525">
        <v>7110</v>
      </c>
      <c r="C24" s="467"/>
      <c r="D24" s="477"/>
      <c r="E24" s="477"/>
      <c r="F24" s="477"/>
      <c r="G24" s="477"/>
      <c r="H24" s="477"/>
      <c r="I24" s="477"/>
      <c r="J24" s="477"/>
      <c r="K24" s="477"/>
      <c r="L24" s="524"/>
    </row>
    <row r="25" spans="1:12" s="485" customFormat="1" ht="13.5" customHeight="1" x14ac:dyDescent="0.2">
      <c r="A25" s="1491" t="s">
        <v>1756</v>
      </c>
      <c r="B25" s="525">
        <v>7110</v>
      </c>
      <c r="C25" s="467">
        <v>1727215</v>
      </c>
      <c r="D25" s="467">
        <v>1000000</v>
      </c>
      <c r="E25" s="467"/>
      <c r="F25" s="467">
        <v>772509</v>
      </c>
      <c r="G25" s="467"/>
      <c r="H25" s="467"/>
      <c r="I25" s="477"/>
      <c r="J25" s="467"/>
      <c r="K25" s="467"/>
      <c r="L25" s="524"/>
    </row>
    <row r="26" spans="1:12" s="485" customFormat="1" ht="13.5" customHeight="1" x14ac:dyDescent="0.2">
      <c r="A26" s="1491" t="s">
        <v>193</v>
      </c>
      <c r="B26" s="483">
        <v>7120</v>
      </c>
      <c r="C26" s="467"/>
      <c r="D26" s="467"/>
      <c r="E26" s="467"/>
      <c r="F26" s="467"/>
      <c r="G26" s="467"/>
      <c r="H26" s="467"/>
      <c r="I26" s="477"/>
      <c r="J26" s="467"/>
      <c r="K26" s="467"/>
      <c r="L26" s="524"/>
    </row>
    <row r="27" spans="1:12" s="485" customFormat="1" ht="13.5" customHeight="1" x14ac:dyDescent="0.2">
      <c r="A27" s="1491" t="s">
        <v>194</v>
      </c>
      <c r="B27" s="483">
        <v>7130</v>
      </c>
      <c r="C27" s="467"/>
      <c r="D27" s="467"/>
      <c r="E27" s="526"/>
      <c r="F27" s="467"/>
      <c r="G27" s="480"/>
      <c r="H27" s="480"/>
      <c r="I27" s="480"/>
      <c r="J27" s="480"/>
      <c r="K27" s="480"/>
      <c r="L27" s="524"/>
    </row>
    <row r="28" spans="1:12" s="485" customFormat="1" ht="13.5" customHeight="1" x14ac:dyDescent="0.2">
      <c r="A28" s="1491" t="s">
        <v>1465</v>
      </c>
      <c r="B28" s="483">
        <v>7140</v>
      </c>
      <c r="C28" s="467"/>
      <c r="D28" s="467"/>
      <c r="E28" s="467"/>
      <c r="F28" s="467"/>
      <c r="G28" s="467"/>
      <c r="H28" s="467"/>
      <c r="I28" s="467"/>
      <c r="J28" s="467"/>
      <c r="K28" s="467"/>
      <c r="L28" s="524"/>
    </row>
    <row r="29" spans="1:12" s="485" customFormat="1" ht="13.5" customHeight="1" x14ac:dyDescent="0.2">
      <c r="A29" s="1491" t="s">
        <v>312</v>
      </c>
      <c r="B29" s="483">
        <v>7150</v>
      </c>
      <c r="C29" s="475"/>
      <c r="D29" s="467"/>
      <c r="E29" s="475"/>
      <c r="F29" s="475"/>
      <c r="G29" s="475"/>
      <c r="H29" s="475"/>
      <c r="I29" s="475"/>
      <c r="J29" s="475"/>
      <c r="K29" s="475"/>
      <c r="L29" s="524"/>
    </row>
    <row r="30" spans="1:12" s="485" customFormat="1" ht="26.25" x14ac:dyDescent="0.2">
      <c r="A30" s="1491" t="s">
        <v>1893</v>
      </c>
      <c r="B30" s="527">
        <v>7160</v>
      </c>
      <c r="C30" s="477"/>
      <c r="D30" s="467"/>
      <c r="E30" s="477"/>
      <c r="F30" s="477"/>
      <c r="G30" s="477"/>
      <c r="H30" s="477"/>
      <c r="I30" s="477"/>
      <c r="J30" s="477"/>
      <c r="K30" s="477"/>
      <c r="L30" s="524"/>
    </row>
    <row r="31" spans="1:12" s="485" customFormat="1" ht="26.25" x14ac:dyDescent="0.2">
      <c r="A31" s="1491" t="s">
        <v>1897</v>
      </c>
      <c r="B31" s="527">
        <v>7170</v>
      </c>
      <c r="C31" s="477"/>
      <c r="D31" s="477"/>
      <c r="E31" s="474"/>
      <c r="F31" s="477"/>
      <c r="G31" s="477"/>
      <c r="H31" s="477"/>
      <c r="I31" s="477"/>
      <c r="J31" s="477"/>
      <c r="K31" s="477"/>
      <c r="L31" s="524"/>
    </row>
    <row r="32" spans="1:12" s="485" customFormat="1" ht="15.75" customHeight="1" x14ac:dyDescent="0.2">
      <c r="A32" s="2185" t="s">
        <v>1038</v>
      </c>
      <c r="B32" s="2186"/>
      <c r="C32" s="477"/>
      <c r="D32" s="477"/>
      <c r="E32" s="475"/>
      <c r="F32" s="477"/>
      <c r="G32" s="477"/>
      <c r="H32" s="477"/>
      <c r="I32" s="477"/>
      <c r="J32" s="477"/>
      <c r="K32" s="477"/>
      <c r="L32" s="524"/>
    </row>
    <row r="33" spans="1:12" s="485" customFormat="1" x14ac:dyDescent="0.2">
      <c r="A33" s="1491" t="s">
        <v>432</v>
      </c>
      <c r="B33" s="525">
        <v>7210</v>
      </c>
      <c r="C33" s="467"/>
      <c r="D33" s="467"/>
      <c r="E33" s="467"/>
      <c r="F33" s="467"/>
      <c r="G33" s="477"/>
      <c r="H33" s="467"/>
      <c r="I33" s="467">
        <v>6240000</v>
      </c>
      <c r="J33" s="467"/>
      <c r="K33" s="467"/>
      <c r="L33" s="524"/>
    </row>
    <row r="34" spans="1:12" s="485" customFormat="1" x14ac:dyDescent="0.2">
      <c r="A34" s="1491" t="s">
        <v>1058</v>
      </c>
      <c r="B34" s="525">
        <v>7220</v>
      </c>
      <c r="C34" s="467"/>
      <c r="D34" s="467"/>
      <c r="E34" s="467">
        <v>1685</v>
      </c>
      <c r="F34" s="467"/>
      <c r="G34" s="477"/>
      <c r="H34" s="478"/>
      <c r="I34" s="478">
        <v>166190</v>
      </c>
      <c r="J34" s="478"/>
      <c r="K34" s="478"/>
      <c r="L34" s="524"/>
    </row>
    <row r="35" spans="1:12" s="485" customFormat="1" x14ac:dyDescent="0.2">
      <c r="A35" s="1491" t="s">
        <v>1047</v>
      </c>
      <c r="B35" s="525">
        <v>7230</v>
      </c>
      <c r="C35" s="467"/>
      <c r="D35" s="467"/>
      <c r="E35" s="467"/>
      <c r="F35" s="467"/>
      <c r="G35" s="480"/>
      <c r="H35" s="467"/>
      <c r="I35" s="467"/>
      <c r="J35" s="467"/>
      <c r="K35" s="467"/>
      <c r="L35" s="524"/>
    </row>
    <row r="36" spans="1:12" s="485" customFormat="1" ht="15" x14ac:dyDescent="0.2">
      <c r="A36" s="1491" t="s">
        <v>1757</v>
      </c>
      <c r="B36" s="525">
        <v>7300</v>
      </c>
      <c r="C36" s="467"/>
      <c r="D36" s="467"/>
      <c r="E36" s="467"/>
      <c r="F36" s="467"/>
      <c r="G36" s="467"/>
      <c r="H36" s="467"/>
      <c r="I36" s="475"/>
      <c r="J36" s="467"/>
      <c r="K36" s="467"/>
      <c r="L36" s="524"/>
    </row>
    <row r="37" spans="1:12" s="485" customFormat="1" x14ac:dyDescent="0.2">
      <c r="A37" s="1491" t="s">
        <v>461</v>
      </c>
      <c r="B37" s="525">
        <v>7400</v>
      </c>
      <c r="C37" s="475"/>
      <c r="D37" s="475"/>
      <c r="E37" s="1743">
        <f>SUM(C54:D57,H54:H57)</f>
        <v>130237</v>
      </c>
      <c r="F37" s="475"/>
      <c r="G37" s="475"/>
      <c r="H37" s="475"/>
      <c r="I37" s="477"/>
      <c r="J37" s="475"/>
      <c r="K37" s="475"/>
      <c r="L37" s="524"/>
    </row>
    <row r="38" spans="1:12" s="485" customFormat="1" x14ac:dyDescent="0.2">
      <c r="A38" s="1491" t="s">
        <v>462</v>
      </c>
      <c r="B38" s="525">
        <v>7500</v>
      </c>
      <c r="C38" s="477"/>
      <c r="D38" s="477"/>
      <c r="E38" s="1743">
        <f>SUM(C58:D61,H58:H61)</f>
        <v>7745</v>
      </c>
      <c r="F38" s="477"/>
      <c r="G38" s="477"/>
      <c r="H38" s="477"/>
      <c r="I38" s="477"/>
      <c r="J38" s="477"/>
      <c r="K38" s="477"/>
      <c r="L38" s="524"/>
    </row>
    <row r="39" spans="1:12" s="485" customFormat="1" x14ac:dyDescent="0.2">
      <c r="A39" s="1491" t="s">
        <v>463</v>
      </c>
      <c r="B39" s="525">
        <v>7600</v>
      </c>
      <c r="C39" s="477"/>
      <c r="D39" s="477"/>
      <c r="E39" s="1743">
        <f>SUM(C62:D65)</f>
        <v>0</v>
      </c>
      <c r="F39" s="477"/>
      <c r="G39" s="477"/>
      <c r="H39" s="477"/>
      <c r="I39" s="477"/>
      <c r="J39" s="477"/>
      <c r="K39" s="477"/>
      <c r="L39" s="524"/>
    </row>
    <row r="40" spans="1:12" s="485" customFormat="1" ht="13.5" customHeight="1" x14ac:dyDescent="0.2">
      <c r="A40" s="1491" t="s">
        <v>663</v>
      </c>
      <c r="B40" s="483">
        <v>7700</v>
      </c>
      <c r="C40" s="477"/>
      <c r="D40" s="477"/>
      <c r="E40" s="1743">
        <f>SUM(C66:D69)</f>
        <v>0</v>
      </c>
      <c r="F40" s="477"/>
      <c r="G40" s="477"/>
      <c r="H40" s="480"/>
      <c r="I40" s="477"/>
      <c r="J40" s="477"/>
      <c r="K40" s="477"/>
      <c r="L40" s="524"/>
    </row>
    <row r="41" spans="1:12" s="485" customFormat="1" ht="13.5" customHeight="1" x14ac:dyDescent="0.2">
      <c r="A41" s="1491" t="s">
        <v>661</v>
      </c>
      <c r="B41" s="483">
        <v>7800</v>
      </c>
      <c r="C41" s="480"/>
      <c r="D41" s="480"/>
      <c r="E41" s="526"/>
      <c r="F41" s="480"/>
      <c r="G41" s="480"/>
      <c r="H41" s="1743">
        <f>SUM(C70:D73)</f>
        <v>0</v>
      </c>
      <c r="I41" s="477"/>
      <c r="J41" s="477"/>
      <c r="K41" s="480"/>
      <c r="L41" s="524"/>
    </row>
    <row r="42" spans="1:12" s="485" customFormat="1" ht="13.5" customHeight="1" x14ac:dyDescent="0.2">
      <c r="A42" s="1491" t="s">
        <v>662</v>
      </c>
      <c r="B42" s="483">
        <v>7900</v>
      </c>
      <c r="C42" s="467"/>
      <c r="D42" s="467"/>
      <c r="E42" s="467"/>
      <c r="F42" s="467"/>
      <c r="G42" s="467"/>
      <c r="H42" s="467"/>
      <c r="I42" s="480"/>
      <c r="J42" s="480"/>
      <c r="K42" s="467"/>
      <c r="L42" s="524"/>
    </row>
    <row r="43" spans="1:12" s="485" customFormat="1" ht="13.5" customHeight="1" x14ac:dyDescent="0.2">
      <c r="A43" s="1491" t="s">
        <v>391</v>
      </c>
      <c r="B43" s="483">
        <v>7990</v>
      </c>
      <c r="C43" s="467"/>
      <c r="D43" s="467"/>
      <c r="E43" s="467"/>
      <c r="F43" s="467"/>
      <c r="G43" s="467"/>
      <c r="H43" s="467"/>
      <c r="I43" s="467"/>
      <c r="J43" s="467"/>
      <c r="K43" s="467"/>
      <c r="L43" s="524"/>
    </row>
    <row r="44" spans="1:12" s="485" customFormat="1" ht="13.5" customHeight="1" thickBot="1" x14ac:dyDescent="0.25">
      <c r="A44" s="2193" t="s">
        <v>392</v>
      </c>
      <c r="B44" s="2194"/>
      <c r="C44" s="1703">
        <f>SUM(C24:C43)</f>
        <v>1727215</v>
      </c>
      <c r="D44" s="1703">
        <f t="shared" ref="D44:K44" si="6">SUM(D24:D43)</f>
        <v>1000000</v>
      </c>
      <c r="E44" s="1703">
        <f t="shared" si="6"/>
        <v>139667</v>
      </c>
      <c r="F44" s="1703">
        <f t="shared" si="6"/>
        <v>772509</v>
      </c>
      <c r="G44" s="1703">
        <f t="shared" si="6"/>
        <v>0</v>
      </c>
      <c r="H44" s="1703">
        <f t="shared" si="6"/>
        <v>0</v>
      </c>
      <c r="I44" s="1703">
        <f t="shared" si="6"/>
        <v>6406190</v>
      </c>
      <c r="J44" s="1703">
        <f t="shared" si="6"/>
        <v>0</v>
      </c>
      <c r="K44" s="1703">
        <f t="shared" si="6"/>
        <v>0</v>
      </c>
      <c r="L44" s="524"/>
    </row>
    <row r="45" spans="1:12" ht="15.75" customHeight="1" thickTop="1" x14ac:dyDescent="0.2">
      <c r="A45" s="2187" t="s">
        <v>110</v>
      </c>
      <c r="B45" s="2188"/>
      <c r="C45" s="528"/>
      <c r="D45" s="528"/>
      <c r="E45" s="528"/>
      <c r="F45" s="528"/>
      <c r="G45" s="528"/>
      <c r="H45" s="528"/>
      <c r="I45" s="528"/>
      <c r="J45" s="528"/>
      <c r="K45" s="528"/>
      <c r="L45" s="347"/>
    </row>
    <row r="46" spans="1:12" s="485" customFormat="1" ht="15.75" customHeight="1" x14ac:dyDescent="0.2">
      <c r="A46" s="2195" t="s">
        <v>111</v>
      </c>
      <c r="B46" s="2196"/>
      <c r="C46" s="477"/>
      <c r="D46" s="477"/>
      <c r="E46" s="477"/>
      <c r="F46" s="477"/>
      <c r="G46" s="477"/>
      <c r="H46" s="477"/>
      <c r="I46" s="480"/>
      <c r="J46" s="477"/>
      <c r="K46" s="477"/>
      <c r="L46" s="529"/>
    </row>
    <row r="47" spans="1:12" s="485" customFormat="1" ht="15" x14ac:dyDescent="0.2">
      <c r="A47" s="1492" t="s">
        <v>1758</v>
      </c>
      <c r="B47" s="483">
        <v>8110</v>
      </c>
      <c r="C47" s="477"/>
      <c r="D47" s="477"/>
      <c r="E47" s="477"/>
      <c r="F47" s="477"/>
      <c r="G47" s="477"/>
      <c r="H47" s="477"/>
      <c r="I47" s="1743">
        <f>SUM(C24,C25:H25,J25:K25)</f>
        <v>3499724</v>
      </c>
      <c r="J47" s="477"/>
      <c r="K47" s="477"/>
      <c r="L47" s="529"/>
    </row>
    <row r="48" spans="1:12" s="485" customFormat="1" ht="15" x14ac:dyDescent="0.2">
      <c r="A48" s="1492" t="s">
        <v>1759</v>
      </c>
      <c r="B48" s="483">
        <v>8120</v>
      </c>
      <c r="C48" s="480"/>
      <c r="D48" s="480"/>
      <c r="E48" s="477"/>
      <c r="F48" s="480"/>
      <c r="G48" s="477"/>
      <c r="H48" s="477"/>
      <c r="I48" s="1743">
        <f>SUM(C26:H26,J26,K26)</f>
        <v>0</v>
      </c>
      <c r="J48" s="477"/>
      <c r="K48" s="477"/>
      <c r="L48" s="529"/>
    </row>
    <row r="49" spans="1:12" s="485" customFormat="1" x14ac:dyDescent="0.2">
      <c r="A49" s="1492" t="s">
        <v>194</v>
      </c>
      <c r="B49" s="483">
        <v>8130</v>
      </c>
      <c r="C49" s="467"/>
      <c r="D49" s="467"/>
      <c r="E49" s="480"/>
      <c r="F49" s="467"/>
      <c r="G49" s="480"/>
      <c r="H49" s="480"/>
      <c r="I49" s="477"/>
      <c r="J49" s="480"/>
      <c r="K49" s="477"/>
      <c r="L49" s="524"/>
    </row>
    <row r="50" spans="1:12" s="485" customFormat="1" x14ac:dyDescent="0.2">
      <c r="A50" s="1492" t="s">
        <v>1465</v>
      </c>
      <c r="B50" s="483">
        <v>8140</v>
      </c>
      <c r="C50" s="467"/>
      <c r="D50" s="467"/>
      <c r="E50" s="467"/>
      <c r="F50" s="467"/>
      <c r="G50" s="467"/>
      <c r="H50" s="467"/>
      <c r="I50" s="477"/>
      <c r="J50" s="467"/>
      <c r="K50" s="477"/>
      <c r="L50" s="524"/>
    </row>
    <row r="51" spans="1:12" s="485" customFormat="1" x14ac:dyDescent="0.2">
      <c r="A51" s="1492" t="s">
        <v>312</v>
      </c>
      <c r="B51" s="483">
        <v>8150</v>
      </c>
      <c r="C51" s="475"/>
      <c r="D51" s="475"/>
      <c r="E51" s="475"/>
      <c r="F51" s="475"/>
      <c r="G51" s="475"/>
      <c r="H51" s="1743">
        <f>SUM(D29)</f>
        <v>0</v>
      </c>
      <c r="I51" s="477"/>
      <c r="J51" s="475"/>
      <c r="K51" s="480"/>
      <c r="L51" s="524"/>
    </row>
    <row r="52" spans="1:12" s="485" customFormat="1" ht="26.25" x14ac:dyDescent="0.2">
      <c r="A52" s="1492" t="s">
        <v>1896</v>
      </c>
      <c r="B52" s="483">
        <v>8160</v>
      </c>
      <c r="C52" s="477"/>
      <c r="D52" s="477"/>
      <c r="E52" s="477"/>
      <c r="F52" s="477"/>
      <c r="G52" s="477"/>
      <c r="H52" s="477"/>
      <c r="I52" s="477"/>
      <c r="J52" s="477"/>
      <c r="K52" s="1743">
        <f>D30</f>
        <v>0</v>
      </c>
      <c r="L52" s="524"/>
    </row>
    <row r="53" spans="1:12" s="485" customFormat="1" ht="26.25" x14ac:dyDescent="0.2">
      <c r="A53" s="1492" t="s">
        <v>1895</v>
      </c>
      <c r="B53" s="483">
        <v>8170</v>
      </c>
      <c r="C53" s="480"/>
      <c r="D53" s="480"/>
      <c r="E53" s="477"/>
      <c r="F53" s="477"/>
      <c r="G53" s="477"/>
      <c r="H53" s="480"/>
      <c r="I53" s="477"/>
      <c r="J53" s="477"/>
      <c r="K53" s="1743">
        <f>E31</f>
        <v>0</v>
      </c>
      <c r="L53" s="524"/>
    </row>
    <row r="54" spans="1:12" s="485" customFormat="1" ht="13.5" thickBot="1" x14ac:dyDescent="0.25">
      <c r="A54" s="1492" t="s">
        <v>716</v>
      </c>
      <c r="B54" s="483">
        <v>8410</v>
      </c>
      <c r="C54" s="530">
        <v>130237</v>
      </c>
      <c r="D54" s="530"/>
      <c r="E54" s="477"/>
      <c r="F54" s="477"/>
      <c r="G54" s="477"/>
      <c r="H54" s="530"/>
      <c r="I54" s="477"/>
      <c r="J54" s="477"/>
      <c r="K54" s="475"/>
      <c r="L54" s="524"/>
    </row>
    <row r="55" spans="1:12" s="485" customFormat="1" ht="14.25" thickTop="1" thickBot="1" x14ac:dyDescent="0.25">
      <c r="A55" s="1493" t="s">
        <v>717</v>
      </c>
      <c r="B55" s="483">
        <v>8420</v>
      </c>
      <c r="C55" s="531"/>
      <c r="D55" s="531"/>
      <c r="E55" s="477"/>
      <c r="F55" s="477"/>
      <c r="G55" s="477"/>
      <c r="H55" s="530"/>
      <c r="I55" s="477"/>
      <c r="J55" s="477"/>
      <c r="K55" s="477"/>
      <c r="L55" s="524"/>
    </row>
    <row r="56" spans="1:12" s="485" customFormat="1" ht="14.25" thickTop="1" thickBot="1" x14ac:dyDescent="0.25">
      <c r="A56" s="1492" t="s">
        <v>602</v>
      </c>
      <c r="B56" s="483">
        <v>8430</v>
      </c>
      <c r="C56" s="531"/>
      <c r="D56" s="531"/>
      <c r="E56" s="477"/>
      <c r="F56" s="477"/>
      <c r="G56" s="477"/>
      <c r="H56" s="530"/>
      <c r="I56" s="477"/>
      <c r="J56" s="477"/>
      <c r="K56" s="477"/>
      <c r="L56" s="524"/>
    </row>
    <row r="57" spans="1:12" s="485" customFormat="1" ht="14.25" thickTop="1" thickBot="1" x14ac:dyDescent="0.25">
      <c r="A57" s="1493" t="s">
        <v>599</v>
      </c>
      <c r="B57" s="483">
        <v>8440</v>
      </c>
      <c r="C57" s="531"/>
      <c r="D57" s="531"/>
      <c r="E57" s="477"/>
      <c r="F57" s="477"/>
      <c r="G57" s="477"/>
      <c r="H57" s="530"/>
      <c r="I57" s="477"/>
      <c r="J57" s="477"/>
      <c r="K57" s="477"/>
      <c r="L57" s="524"/>
    </row>
    <row r="58" spans="1:12" s="485" customFormat="1" ht="14.25" thickTop="1" thickBot="1" x14ac:dyDescent="0.25">
      <c r="A58" s="1492" t="s">
        <v>600</v>
      </c>
      <c r="B58" s="483">
        <v>8510</v>
      </c>
      <c r="C58" s="531">
        <v>7745</v>
      </c>
      <c r="D58" s="531"/>
      <c r="E58" s="477"/>
      <c r="F58" s="477"/>
      <c r="G58" s="477"/>
      <c r="H58" s="530"/>
      <c r="I58" s="477"/>
      <c r="J58" s="477"/>
      <c r="K58" s="477"/>
      <c r="L58" s="524"/>
    </row>
    <row r="59" spans="1:12" s="485" customFormat="1" ht="14.25" thickTop="1" thickBot="1" x14ac:dyDescent="0.25">
      <c r="A59" s="1494" t="s">
        <v>718</v>
      </c>
      <c r="B59" s="483">
        <v>8520</v>
      </c>
      <c r="C59" s="531"/>
      <c r="D59" s="531"/>
      <c r="E59" s="477"/>
      <c r="F59" s="477"/>
      <c r="G59" s="477"/>
      <c r="H59" s="530"/>
      <c r="I59" s="477"/>
      <c r="J59" s="477"/>
      <c r="K59" s="477"/>
      <c r="L59" s="524"/>
    </row>
    <row r="60" spans="1:12" s="485" customFormat="1" ht="14.25" thickTop="1" thickBot="1" x14ac:dyDescent="0.25">
      <c r="A60" s="1492" t="s">
        <v>601</v>
      </c>
      <c r="B60" s="483">
        <v>8530</v>
      </c>
      <c r="C60" s="531"/>
      <c r="D60" s="531"/>
      <c r="E60" s="477"/>
      <c r="F60" s="477"/>
      <c r="G60" s="477"/>
      <c r="H60" s="530"/>
      <c r="I60" s="477"/>
      <c r="J60" s="477"/>
      <c r="K60" s="477"/>
      <c r="L60" s="524"/>
    </row>
    <row r="61" spans="1:12" s="485" customFormat="1" ht="14.25" thickTop="1" thickBot="1" x14ac:dyDescent="0.25">
      <c r="A61" s="1493" t="s">
        <v>767</v>
      </c>
      <c r="B61" s="483">
        <v>8540</v>
      </c>
      <c r="C61" s="531"/>
      <c r="D61" s="531"/>
      <c r="E61" s="477"/>
      <c r="F61" s="477"/>
      <c r="G61" s="477"/>
      <c r="H61" s="530"/>
      <c r="I61" s="477"/>
      <c r="J61" s="477"/>
      <c r="K61" s="477"/>
      <c r="L61" s="524"/>
    </row>
    <row r="62" spans="1:12" s="485" customFormat="1" ht="13.5" customHeight="1" thickTop="1" thickBot="1" x14ac:dyDescent="0.25">
      <c r="A62" s="1492" t="s">
        <v>768</v>
      </c>
      <c r="B62" s="483">
        <v>8610</v>
      </c>
      <c r="C62" s="531"/>
      <c r="D62" s="531"/>
      <c r="E62" s="477"/>
      <c r="F62" s="477"/>
      <c r="G62" s="477"/>
      <c r="H62" s="477"/>
      <c r="I62" s="477"/>
      <c r="J62" s="477"/>
      <c r="K62" s="477"/>
      <c r="L62" s="524"/>
    </row>
    <row r="63" spans="1:12" s="485" customFormat="1" ht="14.25" thickTop="1" thickBot="1" x14ac:dyDescent="0.25">
      <c r="A63" s="1493" t="s">
        <v>719</v>
      </c>
      <c r="B63" s="483">
        <v>8620</v>
      </c>
      <c r="C63" s="531"/>
      <c r="D63" s="531"/>
      <c r="E63" s="477"/>
      <c r="F63" s="477"/>
      <c r="G63" s="477"/>
      <c r="H63" s="477"/>
      <c r="I63" s="477"/>
      <c r="J63" s="477"/>
      <c r="K63" s="477"/>
      <c r="L63" s="524"/>
    </row>
    <row r="64" spans="1:12" s="485" customFormat="1" ht="13.5" customHeight="1" thickTop="1" thickBot="1" x14ac:dyDescent="0.25">
      <c r="A64" s="1492" t="s">
        <v>769</v>
      </c>
      <c r="B64" s="483">
        <v>8630</v>
      </c>
      <c r="C64" s="531"/>
      <c r="D64" s="531"/>
      <c r="E64" s="477"/>
      <c r="F64" s="477"/>
      <c r="G64" s="477"/>
      <c r="H64" s="477"/>
      <c r="I64" s="477"/>
      <c r="J64" s="477"/>
      <c r="K64" s="477"/>
      <c r="L64" s="524"/>
    </row>
    <row r="65" spans="1:12" s="485" customFormat="1" ht="14.25" thickTop="1" thickBot="1" x14ac:dyDescent="0.25">
      <c r="A65" s="1493" t="s">
        <v>770</v>
      </c>
      <c r="B65" s="483">
        <v>8640</v>
      </c>
      <c r="C65" s="531"/>
      <c r="D65" s="531"/>
      <c r="E65" s="477"/>
      <c r="F65" s="477"/>
      <c r="G65" s="477"/>
      <c r="H65" s="477"/>
      <c r="I65" s="477"/>
      <c r="J65" s="477"/>
      <c r="K65" s="477"/>
      <c r="L65" s="524"/>
    </row>
    <row r="66" spans="1:12" s="485" customFormat="1" ht="14.25" thickTop="1" thickBot="1" x14ac:dyDescent="0.25">
      <c r="A66" s="1492" t="s">
        <v>771</v>
      </c>
      <c r="B66" s="483">
        <v>8710</v>
      </c>
      <c r="C66" s="531"/>
      <c r="D66" s="531"/>
      <c r="E66" s="477"/>
      <c r="F66" s="477"/>
      <c r="G66" s="477"/>
      <c r="H66" s="477"/>
      <c r="I66" s="477"/>
      <c r="J66" s="477"/>
      <c r="K66" s="477"/>
      <c r="L66" s="524"/>
    </row>
    <row r="67" spans="1:12" s="485" customFormat="1" ht="14.25" thickTop="1" thickBot="1" x14ac:dyDescent="0.25">
      <c r="A67" s="1493" t="s">
        <v>720</v>
      </c>
      <c r="B67" s="483">
        <v>8720</v>
      </c>
      <c r="C67" s="531"/>
      <c r="D67" s="531"/>
      <c r="E67" s="477"/>
      <c r="F67" s="477"/>
      <c r="G67" s="477"/>
      <c r="H67" s="477"/>
      <c r="I67" s="477"/>
      <c r="J67" s="477"/>
      <c r="K67" s="477"/>
      <c r="L67" s="524"/>
    </row>
    <row r="68" spans="1:12" s="485" customFormat="1" ht="14.25" thickTop="1" thickBot="1" x14ac:dyDescent="0.25">
      <c r="A68" s="1494" t="s">
        <v>772</v>
      </c>
      <c r="B68" s="483">
        <v>8730</v>
      </c>
      <c r="C68" s="531"/>
      <c r="D68" s="531"/>
      <c r="E68" s="477"/>
      <c r="F68" s="477"/>
      <c r="G68" s="477"/>
      <c r="H68" s="477"/>
      <c r="I68" s="477"/>
      <c r="J68" s="477"/>
      <c r="K68" s="477"/>
      <c r="L68" s="524"/>
    </row>
    <row r="69" spans="1:12" s="485" customFormat="1" ht="14.25" thickTop="1" thickBot="1" x14ac:dyDescent="0.25">
      <c r="A69" s="1493" t="s">
        <v>773</v>
      </c>
      <c r="B69" s="483">
        <v>8740</v>
      </c>
      <c r="C69" s="531"/>
      <c r="D69" s="531"/>
      <c r="E69" s="477"/>
      <c r="F69" s="477"/>
      <c r="G69" s="477"/>
      <c r="H69" s="477"/>
      <c r="I69" s="477"/>
      <c r="J69" s="477"/>
      <c r="K69" s="477"/>
      <c r="L69" s="524"/>
    </row>
    <row r="70" spans="1:12" s="485" customFormat="1" ht="14.25" thickTop="1" thickBot="1" x14ac:dyDescent="0.25">
      <c r="A70" s="1492" t="s">
        <v>774</v>
      </c>
      <c r="B70" s="483">
        <v>8810</v>
      </c>
      <c r="C70" s="531"/>
      <c r="D70" s="531"/>
      <c r="E70" s="477"/>
      <c r="F70" s="477"/>
      <c r="G70" s="477"/>
      <c r="H70" s="477"/>
      <c r="I70" s="477"/>
      <c r="J70" s="477"/>
      <c r="K70" s="477"/>
      <c r="L70" s="524"/>
    </row>
    <row r="71" spans="1:12" s="485" customFormat="1" ht="14.25" thickTop="1" thickBot="1" x14ac:dyDescent="0.25">
      <c r="A71" s="1492" t="s">
        <v>778</v>
      </c>
      <c r="B71" s="483">
        <v>8820</v>
      </c>
      <c r="C71" s="531"/>
      <c r="D71" s="531"/>
      <c r="E71" s="477"/>
      <c r="F71" s="477"/>
      <c r="G71" s="477"/>
      <c r="H71" s="477"/>
      <c r="I71" s="477"/>
      <c r="J71" s="477"/>
      <c r="K71" s="477"/>
      <c r="L71" s="524"/>
    </row>
    <row r="72" spans="1:12" s="485" customFormat="1" ht="14.25" thickTop="1" thickBot="1" x14ac:dyDescent="0.25">
      <c r="A72" s="1492" t="s">
        <v>775</v>
      </c>
      <c r="B72" s="483">
        <v>8830</v>
      </c>
      <c r="C72" s="531"/>
      <c r="D72" s="531"/>
      <c r="E72" s="477"/>
      <c r="F72" s="477"/>
      <c r="G72" s="477"/>
      <c r="H72" s="477"/>
      <c r="I72" s="477"/>
      <c r="J72" s="477"/>
      <c r="K72" s="477"/>
      <c r="L72" s="524"/>
    </row>
    <row r="73" spans="1:12" s="485" customFormat="1" ht="14.25" thickTop="1" thickBot="1" x14ac:dyDescent="0.25">
      <c r="A73" s="1492" t="s">
        <v>776</v>
      </c>
      <c r="B73" s="483">
        <v>8840</v>
      </c>
      <c r="C73" s="531"/>
      <c r="D73" s="531"/>
      <c r="E73" s="477"/>
      <c r="F73" s="477"/>
      <c r="G73" s="477"/>
      <c r="H73" s="477"/>
      <c r="I73" s="477"/>
      <c r="J73" s="477"/>
      <c r="K73" s="480"/>
      <c r="L73" s="524"/>
    </row>
    <row r="74" spans="1:12" s="485" customFormat="1" ht="14.25" thickTop="1" thickBot="1" x14ac:dyDescent="0.25">
      <c r="A74" s="1492" t="s">
        <v>393</v>
      </c>
      <c r="B74" s="483">
        <v>8910</v>
      </c>
      <c r="C74" s="531"/>
      <c r="D74" s="531"/>
      <c r="E74" s="480"/>
      <c r="F74" s="530"/>
      <c r="G74" s="530"/>
      <c r="H74" s="530"/>
      <c r="I74" s="480"/>
      <c r="J74" s="480"/>
      <c r="K74" s="530"/>
      <c r="L74" s="524"/>
    </row>
    <row r="75" spans="1:12" s="485" customFormat="1" ht="14.25" thickTop="1" thickBot="1" x14ac:dyDescent="0.25">
      <c r="A75" s="1495" t="s">
        <v>459</v>
      </c>
      <c r="B75" s="483">
        <v>8990</v>
      </c>
      <c r="C75" s="531"/>
      <c r="D75" s="531"/>
      <c r="E75" s="530"/>
      <c r="F75" s="532"/>
      <c r="G75" s="532"/>
      <c r="H75" s="532"/>
      <c r="I75" s="530">
        <v>135861</v>
      </c>
      <c r="J75" s="530"/>
      <c r="K75" s="532"/>
      <c r="L75" s="524"/>
    </row>
    <row r="76" spans="1:12" s="485" customFormat="1" ht="14.25" thickTop="1" thickBot="1" x14ac:dyDescent="0.25">
      <c r="A76" s="2169" t="s">
        <v>460</v>
      </c>
      <c r="B76" s="2170"/>
      <c r="C76" s="1703">
        <f t="shared" ref="C76:K76" si="7">SUM(C47:C75)</f>
        <v>137982</v>
      </c>
      <c r="D76" s="1703">
        <f t="shared" si="7"/>
        <v>0</v>
      </c>
      <c r="E76" s="1703">
        <f t="shared" si="7"/>
        <v>0</v>
      </c>
      <c r="F76" s="1703">
        <f t="shared" si="7"/>
        <v>0</v>
      </c>
      <c r="G76" s="1703">
        <f t="shared" si="7"/>
        <v>0</v>
      </c>
      <c r="H76" s="1703">
        <f t="shared" si="7"/>
        <v>0</v>
      </c>
      <c r="I76" s="1703">
        <f t="shared" si="7"/>
        <v>3635585</v>
      </c>
      <c r="J76" s="1703">
        <f t="shared" si="7"/>
        <v>0</v>
      </c>
      <c r="K76" s="1703">
        <f t="shared" si="7"/>
        <v>0</v>
      </c>
      <c r="L76" s="524"/>
    </row>
    <row r="77" spans="1:12" ht="14.25" thickTop="1" thickBot="1" x14ac:dyDescent="0.25">
      <c r="A77" s="2171" t="s">
        <v>1239</v>
      </c>
      <c r="B77" s="2172"/>
      <c r="C77" s="1703">
        <f t="shared" ref="C77:K77" si="8">C44-C76</f>
        <v>1589233</v>
      </c>
      <c r="D77" s="1703">
        <f t="shared" si="8"/>
        <v>1000000</v>
      </c>
      <c r="E77" s="1703">
        <f t="shared" si="8"/>
        <v>139667</v>
      </c>
      <c r="F77" s="1703">
        <f t="shared" si="8"/>
        <v>772509</v>
      </c>
      <c r="G77" s="1703">
        <f t="shared" si="8"/>
        <v>0</v>
      </c>
      <c r="H77" s="1703">
        <f t="shared" si="8"/>
        <v>0</v>
      </c>
      <c r="I77" s="1703">
        <f t="shared" si="8"/>
        <v>2770605</v>
      </c>
      <c r="J77" s="1703">
        <f t="shared" si="8"/>
        <v>0</v>
      </c>
      <c r="K77" s="1703">
        <f t="shared" si="8"/>
        <v>0</v>
      </c>
      <c r="L77" s="347"/>
    </row>
    <row r="78" spans="1:12" ht="21.75" customHeight="1" thickTop="1" thickBot="1" x14ac:dyDescent="0.25">
      <c r="A78" s="2175" t="s">
        <v>618</v>
      </c>
      <c r="B78" s="2176"/>
      <c r="C78" s="1702">
        <f t="shared" ref="C78:K78" si="9">C20+C77</f>
        <v>2311136</v>
      </c>
      <c r="D78" s="1702">
        <f t="shared" si="9"/>
        <v>492339.99999999977</v>
      </c>
      <c r="E78" s="1702">
        <f t="shared" si="9"/>
        <v>-10429</v>
      </c>
      <c r="F78" s="1702">
        <f t="shared" si="9"/>
        <v>311414</v>
      </c>
      <c r="G78" s="1702">
        <f t="shared" si="9"/>
        <v>5858</v>
      </c>
      <c r="H78" s="1702">
        <f t="shared" si="9"/>
        <v>0</v>
      </c>
      <c r="I78" s="1702">
        <f t="shared" si="9"/>
        <v>2962815</v>
      </c>
      <c r="J78" s="1702">
        <f t="shared" si="9"/>
        <v>57639</v>
      </c>
      <c r="K78" s="1702">
        <f t="shared" si="9"/>
        <v>114799.99999999999</v>
      </c>
      <c r="L78" s="533"/>
    </row>
    <row r="79" spans="1:12" ht="13.5" thickTop="1" x14ac:dyDescent="0.2">
      <c r="A79" s="1496" t="s">
        <v>2069</v>
      </c>
      <c r="B79" s="534"/>
      <c r="C79" s="478">
        <v>257576</v>
      </c>
      <c r="D79" s="535">
        <v>25195</v>
      </c>
      <c r="E79" s="535">
        <v>-30483</v>
      </c>
      <c r="F79" s="535">
        <v>251214</v>
      </c>
      <c r="G79" s="535">
        <v>101326</v>
      </c>
      <c r="H79" s="535">
        <v>0</v>
      </c>
      <c r="I79" s="535">
        <v>3349927</v>
      </c>
      <c r="J79" s="535">
        <v>61215</v>
      </c>
      <c r="K79" s="535">
        <v>336482</v>
      </c>
      <c r="L79" s="347"/>
    </row>
    <row r="80" spans="1:12" x14ac:dyDescent="0.2">
      <c r="A80" s="2181" t="s">
        <v>1894</v>
      </c>
      <c r="B80" s="2182"/>
      <c r="C80" s="467"/>
      <c r="D80" s="467"/>
      <c r="E80" s="467"/>
      <c r="F80" s="467"/>
      <c r="G80" s="467"/>
      <c r="H80" s="467"/>
      <c r="I80" s="467"/>
      <c r="J80" s="467"/>
      <c r="K80" s="467"/>
      <c r="L80" s="347"/>
    </row>
    <row r="81" spans="1:12" ht="13.5" thickBot="1" x14ac:dyDescent="0.25">
      <c r="A81" s="2173" t="s">
        <v>2070</v>
      </c>
      <c r="B81" s="2174"/>
      <c r="C81" s="1688">
        <f>(SUM(C78:C80))</f>
        <v>2568712</v>
      </c>
      <c r="D81" s="1688">
        <f>SUM(D78:D80)</f>
        <v>517534.99999999977</v>
      </c>
      <c r="E81" s="1688">
        <f t="shared" ref="E81:K81" si="10">SUM(E78:E80)</f>
        <v>-40912</v>
      </c>
      <c r="F81" s="1688">
        <f t="shared" si="10"/>
        <v>562628</v>
      </c>
      <c r="G81" s="1688">
        <f t="shared" si="10"/>
        <v>107184</v>
      </c>
      <c r="H81" s="1688">
        <f t="shared" si="10"/>
        <v>0</v>
      </c>
      <c r="I81" s="1688">
        <f t="shared" si="10"/>
        <v>6312742</v>
      </c>
      <c r="J81" s="1688">
        <f t="shared" si="10"/>
        <v>118854</v>
      </c>
      <c r="K81" s="1688">
        <f t="shared" si="10"/>
        <v>451282</v>
      </c>
      <c r="L81" s="347"/>
    </row>
    <row r="82" spans="1:12" ht="0.75" customHeight="1" thickTop="1" thickBot="1" x14ac:dyDescent="0.25">
      <c r="A82" s="536" t="s">
        <v>361</v>
      </c>
      <c r="B82" s="537"/>
      <c r="C82" s="538">
        <f>(C81-C79)</f>
        <v>2311136</v>
      </c>
      <c r="D82" s="538">
        <f t="shared" ref="D82:K82" si="11">(D81-D79)</f>
        <v>492339.99999999977</v>
      </c>
      <c r="E82" s="538">
        <f t="shared" si="11"/>
        <v>-10429</v>
      </c>
      <c r="F82" s="538">
        <f t="shared" si="11"/>
        <v>311414</v>
      </c>
      <c r="G82" s="538">
        <f t="shared" si="11"/>
        <v>5858</v>
      </c>
      <c r="H82" s="538">
        <f t="shared" si="11"/>
        <v>0</v>
      </c>
      <c r="I82" s="538">
        <f t="shared" si="11"/>
        <v>2962815</v>
      </c>
      <c r="J82" s="538">
        <f t="shared" si="11"/>
        <v>57639</v>
      </c>
      <c r="K82" s="538">
        <f t="shared" si="11"/>
        <v>114800</v>
      </c>
    </row>
    <row r="83" spans="1:12" ht="14.25" hidden="1" thickTop="1" thickBot="1" x14ac:dyDescent="0.25">
      <c r="A83" s="539" t="s">
        <v>362</v>
      </c>
      <c r="B83" s="464"/>
      <c r="C83" s="540">
        <f>C82/C81</f>
        <v>0.89972562124519995</v>
      </c>
      <c r="D83" s="540">
        <f t="shared" ref="D83:K83" si="12">D82/D81</f>
        <v>0.95131730221144462</v>
      </c>
      <c r="E83" s="540">
        <f t="shared" si="12"/>
        <v>0.25491298396558465</v>
      </c>
      <c r="F83" s="540">
        <f t="shared" si="12"/>
        <v>0.55349893713075071</v>
      </c>
      <c r="G83" s="540">
        <f t="shared" si="12"/>
        <v>5.4653679653679656E-2</v>
      </c>
      <c r="H83" s="540" t="e">
        <f t="shared" si="12"/>
        <v>#DIV/0!</v>
      </c>
      <c r="I83" s="540">
        <f t="shared" si="12"/>
        <v>0.4693388388120408</v>
      </c>
      <c r="J83" s="540">
        <f t="shared" si="12"/>
        <v>0.4849563329799586</v>
      </c>
      <c r="K83" s="540">
        <f t="shared" si="12"/>
        <v>0.25438639254390827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580" customWidth="1"/>
    <col min="2" max="2" width="4.7109375" style="581" customWidth="1"/>
    <col min="3" max="11" width="13.7109375" style="384" customWidth="1"/>
    <col min="12" max="16384" width="9.140625" style="384"/>
  </cols>
  <sheetData>
    <row r="1" spans="1:12" x14ac:dyDescent="0.2">
      <c r="A1" s="2177" t="s">
        <v>1901</v>
      </c>
      <c r="B1" s="452"/>
      <c r="C1" s="453" t="s">
        <v>445</v>
      </c>
      <c r="D1" s="453" t="s">
        <v>446</v>
      </c>
      <c r="E1" s="453" t="s">
        <v>447</v>
      </c>
      <c r="F1" s="453" t="s">
        <v>448</v>
      </c>
      <c r="G1" s="453" t="s">
        <v>449</v>
      </c>
      <c r="H1" s="453" t="s">
        <v>450</v>
      </c>
      <c r="I1" s="453" t="s">
        <v>451</v>
      </c>
      <c r="J1" s="453" t="s">
        <v>452</v>
      </c>
      <c r="K1" s="453" t="s">
        <v>780</v>
      </c>
    </row>
    <row r="2" spans="1:12" ht="36" x14ac:dyDescent="0.2">
      <c r="A2" s="217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1" t="s">
        <v>115</v>
      </c>
      <c r="B3" s="1582"/>
      <c r="C3" s="1583"/>
      <c r="D3" s="1583"/>
      <c r="E3" s="1583"/>
      <c r="F3" s="1584"/>
      <c r="G3" s="1585"/>
      <c r="H3" s="1584"/>
      <c r="I3" s="1584"/>
      <c r="J3" s="1584"/>
      <c r="K3" s="1586"/>
    </row>
    <row r="4" spans="1:12" ht="15.75" customHeight="1" x14ac:dyDescent="0.2">
      <c r="A4" s="1592" t="s">
        <v>397</v>
      </c>
      <c r="B4" s="1593">
        <v>1100</v>
      </c>
      <c r="C4" s="543"/>
      <c r="D4" s="543"/>
      <c r="E4" s="543"/>
      <c r="F4" s="544"/>
      <c r="G4" s="545"/>
      <c r="H4" s="546"/>
      <c r="I4" s="546"/>
      <c r="J4" s="546"/>
      <c r="K4" s="546"/>
    </row>
    <row r="5" spans="1:12" ht="15" x14ac:dyDescent="0.2">
      <c r="A5" s="493" t="s">
        <v>1760</v>
      </c>
      <c r="B5" s="547"/>
      <c r="C5" s="481">
        <v>6175972</v>
      </c>
      <c r="D5" s="481">
        <f>-SUMIF(Data!$A:$A,"2-111*",Data!$I:$I)-SUMIF(Data!$A:$A,"2-112*",Data!$I:$I)</f>
        <v>691043.19</v>
      </c>
      <c r="E5" s="466">
        <f>-ROUND(SUMIF(Data!$A:$A,"3-111*",Data!$I:$I)-SUMIF(Data!$A:$A,"3-112*",Data!$I:$I),0)</f>
        <v>3134418</v>
      </c>
      <c r="F5" s="548">
        <f>-ROUND(SUMIF(Data!$A:$A,"4-111*",Data!$I:$I),0)-ROUND(SUMIF(Data!$A:$A,"4-112*",Data!$I:$I),0)</f>
        <v>330447</v>
      </c>
      <c r="G5" s="1945">
        <v>343713</v>
      </c>
      <c r="H5" s="466">
        <f>-SUMIF(Data!$A:$A,"6-111*",Data!$I:$I)-SUMIF(Data!$A:$A,"6-112*",Data!$I:$I)</f>
        <v>0</v>
      </c>
      <c r="I5" s="466">
        <f>-SUMIF(Data!$A:$A,"7-111*",Data!$I:$I)-SUMIF(Data!$A:$A,"7-112*",Data!$I:$I)</f>
        <v>137485.04999999999</v>
      </c>
      <c r="J5" s="467">
        <f>-SUMIF(Data!$A:$A,"8-111*",Data!$I:$I)-SUMIF(Data!$A:$A,"8-112*",Data!$I:$I)</f>
        <v>498081.74</v>
      </c>
      <c r="K5" s="466">
        <f>-SUMIF(Data!$A:$A,"9-111*",Data!$I:$I)-SUMIF(Data!$A:$A,"9-112*",Data!$I:$I)</f>
        <v>137485.04999999999</v>
      </c>
    </row>
    <row r="6" spans="1:12" ht="15" x14ac:dyDescent="0.2">
      <c r="A6" s="463" t="s">
        <v>1761</v>
      </c>
      <c r="B6" s="470">
        <v>1130</v>
      </c>
      <c r="C6" s="466">
        <v>137485</v>
      </c>
      <c r="D6" s="466">
        <f>-SUMIF(Data!$A:$A,MID(C$1,2,1)&amp;"*-"&amp;LEFT($B6,4)&amp;"*",Data!$I:$I)</f>
        <v>0</v>
      </c>
      <c r="E6" s="475"/>
      <c r="F6" s="475"/>
      <c r="G6" s="468"/>
      <c r="H6" s="468"/>
      <c r="I6" s="468"/>
      <c r="J6" s="468"/>
      <c r="K6" s="468"/>
    </row>
    <row r="7" spans="1:12" x14ac:dyDescent="0.2">
      <c r="A7" s="463" t="s">
        <v>112</v>
      </c>
      <c r="B7" s="549">
        <v>1140</v>
      </c>
      <c r="C7" s="466">
        <v>55476</v>
      </c>
      <c r="D7" s="466">
        <f>-SUMIF(Data!$A:$A,MID(C$1,2,1)&amp;"*-"&amp;LEFT($B6,4)&amp;"*",Data!$I:$I)</f>
        <v>0</v>
      </c>
      <c r="E7" s="468"/>
      <c r="F7" s="466">
        <f>-SUMIF(Data!$A:$A,MID(F$1,2,1)&amp;"*-"&amp;LEFT($B7,4)&amp;"*",Data!$I:$I)</f>
        <v>0</v>
      </c>
      <c r="G7" s="466">
        <f>-ROUND(SUMIF(Data!$A:$A,MID(G$1,2,1)&amp;"*-"&amp;LEFT($B7,4)&amp;"*",Data!$I:$I),0)</f>
        <v>0</v>
      </c>
      <c r="H7" s="466">
        <f>-SUMIF(Data!$A:$A,MID(H$1,2,1)&amp;"*-"&amp;LEFT($B7,4)&amp;"*",Data!$I:$I)</f>
        <v>0</v>
      </c>
      <c r="I7" s="468"/>
      <c r="J7" s="468"/>
      <c r="K7" s="468"/>
    </row>
    <row r="8" spans="1:12" x14ac:dyDescent="0.2">
      <c r="A8" s="463" t="s">
        <v>433</v>
      </c>
      <c r="B8" s="470">
        <v>1150</v>
      </c>
      <c r="C8" s="475"/>
      <c r="D8" s="475"/>
      <c r="E8" s="477"/>
      <c r="F8" s="477"/>
      <c r="G8" s="466">
        <v>418485</v>
      </c>
      <c r="H8" s="468"/>
      <c r="I8" s="468"/>
      <c r="J8" s="468"/>
      <c r="K8" s="468"/>
    </row>
    <row r="9" spans="1:12" x14ac:dyDescent="0.2">
      <c r="A9" s="473" t="s">
        <v>113</v>
      </c>
      <c r="B9" s="470">
        <v>1160</v>
      </c>
      <c r="C9" s="468"/>
      <c r="D9" s="466">
        <f>-SUMIF(Data!$A:$A,MID(D$1,2,1)&amp;"*-"&amp;LEFT($B9,4)&amp;"*",Data!$I:$I)</f>
        <v>0</v>
      </c>
      <c r="E9" s="466">
        <f>-ROUND(SUMIF(Data!$A:$A,MID(E$1,2,1)&amp;"*-"&amp;LEFT($B9,4)&amp;"*",Data!$I:$I),0)</f>
        <v>0</v>
      </c>
      <c r="F9" s="469"/>
      <c r="G9" s="475"/>
      <c r="H9" s="466">
        <f>-SUMIF(Data!$A:$A,MID(H$1,2,1)&amp;"*-"&amp;LEFT($B9,4)&amp;"*",Data!$I:$I)</f>
        <v>0</v>
      </c>
      <c r="I9" s="468"/>
      <c r="J9" s="468"/>
      <c r="K9" s="468"/>
    </row>
    <row r="10" spans="1:12" x14ac:dyDescent="0.2">
      <c r="A10" s="473" t="s">
        <v>114</v>
      </c>
      <c r="B10" s="470">
        <v>1170</v>
      </c>
      <c r="C10" s="466">
        <f>-ROUND(SUMIF(Data!$A:$A,MID(C$1,2,1)&amp;"*-"&amp;LEFT($B10,4)&amp;"*",Data!$I:$I),0)</f>
        <v>0</v>
      </c>
      <c r="D10" s="526"/>
      <c r="E10" s="526"/>
      <c r="F10" s="469"/>
      <c r="G10" s="468"/>
      <c r="H10" s="468"/>
      <c r="I10" s="468"/>
      <c r="J10" s="468"/>
      <c r="K10" s="468"/>
    </row>
    <row r="11" spans="1:12" x14ac:dyDescent="0.2">
      <c r="A11" s="473" t="s">
        <v>434</v>
      </c>
      <c r="B11" s="550">
        <v>1190</v>
      </c>
      <c r="C11" s="466">
        <f>-ROUND(SUMIF(Data!$A:$A,MID(C$1,2,1)&amp;"*-"&amp;LEFT($B11,4)&amp;"*",Data!$I:$I),0)</f>
        <v>0</v>
      </c>
      <c r="D11" s="466">
        <f>-SUMIF(Data!$A:$A,MID(D$1,2,1)&amp;"*-"&amp;LEFT($B11,4)&amp;"*",Data!$I:$I)</f>
        <v>0</v>
      </c>
      <c r="E11" s="466">
        <f>-ROUND(SUMIF(Data!$A:$A,MID(E$1,2,1)&amp;"*-"&amp;LEFT($B11,4)&amp;"*",Data!$I:$I),0)</f>
        <v>0</v>
      </c>
      <c r="F11" s="466">
        <f>-SUMIF(Data!$A:$A,MID(F$1,2,1)&amp;"*-"&amp;LEFT($B11,4)&amp;"*",Data!$I:$I)</f>
        <v>0</v>
      </c>
      <c r="G11" s="466">
        <f>-ROUND(SUMIF(Data!$A:$A,MID(C$1,2,1)&amp;"*-"&amp;LEFT($B11,4)&amp;"*",Data!$I:$I),0)</f>
        <v>0</v>
      </c>
      <c r="H11" s="466">
        <f>-SUMIF(Data!$A:$A,MID(H$1,2,1)&amp;"*-"&amp;LEFT($B11,4)&amp;"*",Data!$I:$I)</f>
        <v>0</v>
      </c>
      <c r="I11" s="466">
        <f>-SUMIF(Data!$A:$A,MID(I$1,2,1)&amp;"*-"&amp;LEFT($B11,4)&amp;"*",Data!$I:$I)</f>
        <v>0</v>
      </c>
      <c r="J11" s="466">
        <f>-SUMIF(Data!$A:$A,MID(J$1,2,1)&amp;"*-"&amp;LEFT($B11,4)&amp;"*",Data!$I:$I)</f>
        <v>0</v>
      </c>
      <c r="K11" s="466">
        <f>-SUMIF(Data!$A:$A,MID(K$1,2,1)&amp;"*-"&amp;LEFT($B11,4)&amp;"*",Data!$I:$I)</f>
        <v>0</v>
      </c>
      <c r="L11" s="551"/>
    </row>
    <row r="12" spans="1:12" ht="12.75" customHeight="1" thickBot="1" x14ac:dyDescent="0.25">
      <c r="A12" s="1705" t="s">
        <v>29</v>
      </c>
      <c r="B12" s="1706"/>
      <c r="C12" s="1707">
        <f t="shared" ref="C12:K12" si="0">SUM(C5:C11)</f>
        <v>6368933</v>
      </c>
      <c r="D12" s="1707">
        <f t="shared" si="0"/>
        <v>691043.19</v>
      </c>
      <c r="E12" s="1707">
        <f t="shared" si="0"/>
        <v>3134418</v>
      </c>
      <c r="F12" s="1707">
        <f t="shared" si="0"/>
        <v>330447</v>
      </c>
      <c r="G12" s="1707">
        <f t="shared" si="0"/>
        <v>762198</v>
      </c>
      <c r="H12" s="1707">
        <f t="shared" si="0"/>
        <v>0</v>
      </c>
      <c r="I12" s="1707">
        <f t="shared" si="0"/>
        <v>137485.04999999999</v>
      </c>
      <c r="J12" s="1707">
        <f t="shared" si="0"/>
        <v>498081.74</v>
      </c>
      <c r="K12" s="1688">
        <f t="shared" si="0"/>
        <v>137485.04999999999</v>
      </c>
    </row>
    <row r="13" spans="1:12" ht="15.75" customHeight="1" thickTop="1" x14ac:dyDescent="0.2">
      <c r="A13" s="1594" t="s">
        <v>471</v>
      </c>
      <c r="B13" s="1595">
        <v>1200</v>
      </c>
      <c r="C13" s="552"/>
      <c r="D13" s="552"/>
      <c r="E13" s="552"/>
      <c r="F13" s="552"/>
      <c r="G13" s="552"/>
      <c r="H13" s="552"/>
      <c r="I13" s="552"/>
      <c r="J13" s="552"/>
      <c r="K13" s="468"/>
    </row>
    <row r="14" spans="1:12" x14ac:dyDescent="0.2">
      <c r="A14" s="463" t="s">
        <v>3</v>
      </c>
      <c r="B14" s="470">
        <v>1210</v>
      </c>
      <c r="C14" s="466">
        <f>-ROUND(SUMIF(Data!$A:$A,MID(C$1,2,1)&amp;"*-"&amp;LEFT($B14,4)&amp;"*",Data!$I:$I),0)</f>
        <v>0</v>
      </c>
      <c r="D14" s="466">
        <f>-SUMIF(Data!$A:$A,MID(D$1,2,1)&amp;"*-"&amp;LEFT($B14,4)&amp;"*",Data!$I:$I)</f>
        <v>0</v>
      </c>
      <c r="E14" s="466">
        <f>-ROUND(SUMIF(Data!$A:$A,MID(E$1,2,1)&amp;"*-"&amp;LEFT($B14,4)&amp;"*",Data!$I:$I),0)</f>
        <v>0</v>
      </c>
      <c r="F14" s="466">
        <f>-SUMIF(Data!$A:$A,MID(F$1,2,1)&amp;"*-"&amp;LEFT($B14,4)&amp;"*",Data!$I:$I)</f>
        <v>0</v>
      </c>
      <c r="G14" s="466">
        <f>-ROUND(SUMIF(Data!$A:$A,MID(G$1,2,1)&amp;"*-"&amp;LEFT($B14,4)&amp;"*",Data!$I:$I),0)</f>
        <v>0</v>
      </c>
      <c r="H14" s="466">
        <f>-SUMIF(Data!$A:$A,MID(H$1,2,1)&amp;"*-"&amp;LEFT($B14,4)&amp;"*",Data!$I:$I)</f>
        <v>0</v>
      </c>
      <c r="I14" s="466">
        <f>-SUMIF(Data!$A:$A,MID(I$1,2,1)&amp;"*-"&amp;LEFT($B14,4)&amp;"*",Data!$I:$I)</f>
        <v>0</v>
      </c>
      <c r="J14" s="466">
        <f>-SUMIF(Data!$A:$A,MID(J$1,2,1)&amp;"*-"&amp;LEFT($B14,4)&amp;"*",Data!$I:$I)</f>
        <v>0</v>
      </c>
      <c r="K14" s="466">
        <f>-SUMIF(Data!$A:$A,MID(K$1,2,1)&amp;"*-"&amp;LEFT($B14,4)&amp;"*",Data!$I:$I)</f>
        <v>0</v>
      </c>
    </row>
    <row r="15" spans="1:12" ht="12.75" customHeight="1" x14ac:dyDescent="0.2">
      <c r="A15" s="463" t="s">
        <v>97</v>
      </c>
      <c r="B15" s="470">
        <v>1220</v>
      </c>
      <c r="C15" s="466">
        <f>-ROUND(SUMIF(Data!$A:$A,MID(C$1,2,1)&amp;"*-"&amp;LEFT($B15,4)&amp;"*",Data!$I:$I),0)</f>
        <v>0</v>
      </c>
      <c r="D15" s="466">
        <f>-SUMIF(Data!$A:$A,MID(D$1,2,1)&amp;"*-"&amp;LEFT($B15,4)&amp;"*",Data!$I:$I)</f>
        <v>0</v>
      </c>
      <c r="E15" s="466">
        <f>-ROUND(SUMIF(Data!$A:$A,MID(E$1,2,1)&amp;"*-"&amp;LEFT($B15,4)&amp;"*",Data!$I:$I),0)</f>
        <v>0</v>
      </c>
      <c r="F15" s="466">
        <f>-SUMIF(Data!$A:$A,MID(F$1,2,1)&amp;"*-"&amp;LEFT($B15,4)&amp;"*",Data!$I:$I)</f>
        <v>0</v>
      </c>
      <c r="G15" s="466">
        <f>-ROUND(SUMIF(Data!$A:$A,MID(G$1,2,1)&amp;"*-"&amp;LEFT($B15,4)&amp;"*",Data!$I:$I),0)</f>
        <v>0</v>
      </c>
      <c r="H15" s="466">
        <f>-SUMIF(Data!$A:$A,MID(H$1,2,1)&amp;"*-"&amp;LEFT($B15,4)&amp;"*",Data!$I:$I)</f>
        <v>0</v>
      </c>
      <c r="I15" s="466">
        <f>-SUMIF(Data!$A:$A,MID(I$1,2,1)&amp;"*-"&amp;LEFT($B15,4)&amp;"*",Data!$I:$I)</f>
        <v>0</v>
      </c>
      <c r="J15" s="466">
        <f>-SUMIF(Data!$A:$A,MID(J$1,2,1)&amp;"*-"&amp;LEFT($B15,4)&amp;"*",Data!$I:$I)</f>
        <v>0</v>
      </c>
      <c r="K15" s="466">
        <f>-SUMIF(Data!$A:$A,MID(K$1,2,1)&amp;"*-"&amp;LEFT($B15,4)&amp;"*",Data!$I:$I)</f>
        <v>0</v>
      </c>
    </row>
    <row r="16" spans="1:12" ht="15" customHeight="1" x14ac:dyDescent="0.2">
      <c r="A16" s="463" t="s">
        <v>1762</v>
      </c>
      <c r="B16" s="549">
        <v>1230</v>
      </c>
      <c r="C16" s="466">
        <f>-ROUND(SUMIF(Data!$A:$A,MID(C$1,2,1)&amp;"*-"&amp;LEFT($B16,4)&amp;"*",Data!$I:$I),0)</f>
        <v>911514</v>
      </c>
      <c r="D16" s="466">
        <f>-SUMIF(Data!$A:$A,MID(D$1,2,1)&amp;"*-"&amp;LEFT($B16,4)&amp;"*",Data!$I:$I)</f>
        <v>250000</v>
      </c>
      <c r="E16" s="466">
        <f>-ROUND(SUMIF(Data!$A:$A,MID(E$1,2,1)&amp;"*-"&amp;LEFT($B16,4)&amp;"*",Data!$I:$I),0)</f>
        <v>0</v>
      </c>
      <c r="F16" s="466">
        <f>-SUMIF(Data!$A:$A,MID(F$1,2,1)&amp;"*-"&amp;LEFT($B16,4)&amp;"*",Data!$I:$I)</f>
        <v>0</v>
      </c>
      <c r="G16" s="466">
        <f>-ROUND(SUMIF(Data!$A:$A,MID(G$1,2,1)&amp;"*-"&amp;LEFT($B16,4)&amp;"*",Data!$I:$I),0)</f>
        <v>146574</v>
      </c>
      <c r="H16" s="466">
        <f>-SUMIF(Data!$A:$A,MID(H$1,2,1)&amp;"*-"&amp;LEFT($B16,4)&amp;"*",Data!$I:$I)</f>
        <v>0</v>
      </c>
      <c r="I16" s="466">
        <f>-SUMIF(Data!$A:$A,MID(I$1,2,1)&amp;"*-"&amp;LEFT($B16,4)&amp;"*",Data!$I:$I)</f>
        <v>0</v>
      </c>
      <c r="J16" s="466">
        <f>-SUMIF(Data!$A:$A,MID(J$1,2,1)&amp;"*-"&amp;LEFT($B16,4)&amp;"*",Data!$I:$I)</f>
        <v>0</v>
      </c>
      <c r="K16" s="466">
        <f>-SUMIF(Data!$A:$A,MID(K$1,2,1)&amp;"*-"&amp;LEFT($B16,4)&amp;"*",Data!$I:$I)</f>
        <v>0</v>
      </c>
    </row>
    <row r="17" spans="1:11" ht="12.75" customHeight="1" x14ac:dyDescent="0.2">
      <c r="A17" s="463" t="s">
        <v>840</v>
      </c>
      <c r="B17" s="470">
        <v>1290</v>
      </c>
      <c r="C17" s="466">
        <f>-ROUND(SUMIF(Data!$A:$A,MID(C$1,2,1)&amp;"*-"&amp;LEFT($B17,4)&amp;"*",Data!$I:$I),0)</f>
        <v>0</v>
      </c>
      <c r="D17" s="466">
        <f>-SUMIF(Data!$A:$A,MID(D$1,2,1)&amp;"*-"&amp;LEFT($B17,4)&amp;"*",Data!$I:$I)</f>
        <v>16554.7</v>
      </c>
      <c r="E17" s="466">
        <f>-ROUND(SUMIF(Data!$A:$A,MID(E$1,2,1)&amp;"*-"&amp;LEFT($B17,4)&amp;"*",Data!$I:$I),0)</f>
        <v>0</v>
      </c>
      <c r="F17" s="466">
        <f>-SUMIF(Data!$A:$A,MID(F$1,2,1)&amp;"*-"&amp;LEFT($B17,4)&amp;"*",Data!$I:$I)</f>
        <v>0</v>
      </c>
      <c r="G17" s="466">
        <f>-ROUND(SUMIF(Data!$A:$A,MID(G$1,2,1)&amp;"*-"&amp;LEFT($B17,4)&amp;"*",Data!$I:$I),0)</f>
        <v>0</v>
      </c>
      <c r="H17" s="466">
        <f>-SUMIF(Data!$A:$A,MID(H$1,2,1)&amp;"*-"&amp;LEFT($B17,4)&amp;"*",Data!$I:$I)</f>
        <v>0</v>
      </c>
      <c r="I17" s="466">
        <f>-SUMIF(Data!$A:$A,MID(I$1,2,1)&amp;"*-"&amp;LEFT($B17,4)&amp;"*",Data!$I:$I)</f>
        <v>0</v>
      </c>
      <c r="J17" s="466">
        <f>-SUMIF(Data!$A:$A,MID(J$1,2,1)&amp;"*-"&amp;LEFT($B17,4)&amp;"*",Data!$I:$I)</f>
        <v>0</v>
      </c>
      <c r="K17" s="466">
        <f>-SUMIF(Data!$A:$A,MID(K$1,2,1)&amp;"*-"&amp;LEFT($B17,4)&amp;"*",Data!$I:$I)</f>
        <v>0</v>
      </c>
    </row>
    <row r="18" spans="1:11" ht="12.75" customHeight="1" thickBot="1" x14ac:dyDescent="0.25">
      <c r="A18" s="1708" t="s">
        <v>558</v>
      </c>
      <c r="B18" s="1709"/>
      <c r="C18" s="1710">
        <f>SUM(C14:C17)</f>
        <v>911514</v>
      </c>
      <c r="D18" s="1710">
        <f t="shared" ref="D18:K18" si="1">SUM(D14:D17)</f>
        <v>266554.7</v>
      </c>
      <c r="E18" s="1710">
        <f t="shared" si="1"/>
        <v>0</v>
      </c>
      <c r="F18" s="1710">
        <f t="shared" si="1"/>
        <v>0</v>
      </c>
      <c r="G18" s="1710">
        <f t="shared" si="1"/>
        <v>146574</v>
      </c>
      <c r="H18" s="1710">
        <f t="shared" si="1"/>
        <v>0</v>
      </c>
      <c r="I18" s="1710">
        <f t="shared" si="1"/>
        <v>0</v>
      </c>
      <c r="J18" s="1710">
        <f t="shared" si="1"/>
        <v>0</v>
      </c>
      <c r="K18" s="1711">
        <f t="shared" si="1"/>
        <v>0</v>
      </c>
    </row>
    <row r="19" spans="1:11" ht="15.75" customHeight="1" thickTop="1" x14ac:dyDescent="0.2">
      <c r="A19" s="1594" t="s">
        <v>472</v>
      </c>
      <c r="B19" s="1595">
        <v>1300</v>
      </c>
      <c r="C19" s="553"/>
      <c r="D19" s="553"/>
      <c r="E19" s="553"/>
      <c r="F19" s="553"/>
      <c r="G19" s="552"/>
      <c r="H19" s="553"/>
      <c r="I19" s="553"/>
      <c r="J19" s="553"/>
      <c r="K19" s="554"/>
    </row>
    <row r="20" spans="1:11" x14ac:dyDescent="0.2">
      <c r="A20" s="463" t="s">
        <v>1133</v>
      </c>
      <c r="B20" s="470">
        <v>1311</v>
      </c>
      <c r="C20" s="466">
        <f>-ROUND(SUMIF(Data!$A:$A,MID(C$1,2,1)&amp;"*-"&amp;LEFT($B20,4)&amp;"*",Data!$I:$I),0)</f>
        <v>0</v>
      </c>
      <c r="D20" s="468"/>
      <c r="E20" s="468"/>
      <c r="F20" s="468"/>
      <c r="G20" s="468"/>
      <c r="H20" s="468"/>
      <c r="I20" s="468"/>
      <c r="J20" s="468"/>
      <c r="K20" s="468"/>
    </row>
    <row r="21" spans="1:11" ht="12.75" customHeight="1" x14ac:dyDescent="0.2">
      <c r="A21" s="463" t="s">
        <v>887</v>
      </c>
      <c r="B21" s="470">
        <v>1312</v>
      </c>
      <c r="C21" s="466">
        <f>-ROUND(SUMIF(Data!$A:$A,MID(C$1,2,1)&amp;"*-"&amp;LEFT($B21,4)&amp;"*",Data!$I:$I),0)</f>
        <v>0</v>
      </c>
      <c r="D21" s="468"/>
      <c r="E21" s="468"/>
      <c r="F21" s="468"/>
      <c r="G21" s="468"/>
      <c r="H21" s="468"/>
      <c r="I21" s="468"/>
      <c r="J21" s="468"/>
      <c r="K21" s="468"/>
    </row>
    <row r="22" spans="1:11" ht="12.75" customHeight="1" x14ac:dyDescent="0.2">
      <c r="A22" s="463" t="s">
        <v>1134</v>
      </c>
      <c r="B22" s="470">
        <v>1313</v>
      </c>
      <c r="C22" s="466">
        <f>-ROUND(SUMIF(Data!$A:$A,MID(C$1,2,1)&amp;"*-"&amp;LEFT($B22,4)&amp;"*",Data!$I:$I),0)</f>
        <v>0</v>
      </c>
      <c r="D22" s="468"/>
      <c r="E22" s="468"/>
      <c r="F22" s="468"/>
      <c r="G22" s="468"/>
      <c r="H22" s="468"/>
      <c r="I22" s="468"/>
      <c r="J22" s="468"/>
      <c r="K22" s="468"/>
    </row>
    <row r="23" spans="1:11" ht="12.75" customHeight="1" x14ac:dyDescent="0.2">
      <c r="A23" s="463" t="s">
        <v>1135</v>
      </c>
      <c r="B23" s="470">
        <v>1314</v>
      </c>
      <c r="C23" s="466">
        <f>-ROUND(SUMIF(Data!$A:$A,MID(C$1,2,1)&amp;"*-"&amp;LEFT($B23,4)&amp;"*",Data!$I:$I),0)</f>
        <v>0</v>
      </c>
      <c r="D23" s="468"/>
      <c r="E23" s="468"/>
      <c r="F23" s="468"/>
      <c r="G23" s="468"/>
      <c r="H23" s="468"/>
      <c r="I23" s="468"/>
      <c r="J23" s="468"/>
      <c r="K23" s="468"/>
    </row>
    <row r="24" spans="1:11" ht="12.75" customHeight="1" x14ac:dyDescent="0.2">
      <c r="A24" s="463" t="s">
        <v>1085</v>
      </c>
      <c r="B24" s="470">
        <v>1321</v>
      </c>
      <c r="C24" s="466">
        <f>-ROUND(SUMIF(Data!$A:$A,MID(C$1,2,1)&amp;"*-"&amp;LEFT($B24,4)&amp;"*",Data!$I:$I),0)</f>
        <v>0</v>
      </c>
      <c r="D24" s="468"/>
      <c r="E24" s="468"/>
      <c r="F24" s="468"/>
      <c r="G24" s="468"/>
      <c r="H24" s="468"/>
      <c r="I24" s="468"/>
      <c r="J24" s="468"/>
      <c r="K24" s="468"/>
    </row>
    <row r="25" spans="1:11" ht="12.75" customHeight="1" x14ac:dyDescent="0.2">
      <c r="A25" s="463" t="s">
        <v>888</v>
      </c>
      <c r="B25" s="470">
        <v>1322</v>
      </c>
      <c r="C25" s="466">
        <f>-ROUND(SUMIF(Data!$A:$A,MID(C$1,2,1)&amp;"*-"&amp;LEFT($B25,4)&amp;"*",Data!$I:$I),0)</f>
        <v>0</v>
      </c>
      <c r="D25" s="468"/>
      <c r="E25" s="468"/>
      <c r="F25" s="468"/>
      <c r="G25" s="468"/>
      <c r="H25" s="468"/>
      <c r="I25" s="468"/>
      <c r="J25" s="468"/>
      <c r="K25" s="468"/>
    </row>
    <row r="26" spans="1:11" ht="12.75" customHeight="1" x14ac:dyDescent="0.2">
      <c r="A26" s="463" t="s">
        <v>1163</v>
      </c>
      <c r="B26" s="470">
        <v>1323</v>
      </c>
      <c r="C26" s="466">
        <f>-ROUND(SUMIF(Data!$A:$A,MID(C$1,2,1)&amp;"*-"&amp;LEFT($B26,4)&amp;"*",Data!$I:$I),0)</f>
        <v>0</v>
      </c>
      <c r="D26" s="468"/>
      <c r="E26" s="468"/>
      <c r="F26" s="468"/>
      <c r="G26" s="468"/>
      <c r="H26" s="468"/>
      <c r="I26" s="468"/>
      <c r="J26" s="468"/>
      <c r="K26" s="468"/>
    </row>
    <row r="27" spans="1:11" ht="12.75" customHeight="1" x14ac:dyDescent="0.2">
      <c r="A27" s="463" t="s">
        <v>1081</v>
      </c>
      <c r="B27" s="470">
        <v>1324</v>
      </c>
      <c r="C27" s="466">
        <f>-ROUND(SUMIF(Data!$A:$A,MID(C$1,2,1)&amp;"*-"&amp;LEFT($B27,4)&amp;"*",Data!$I:$I),0)</f>
        <v>0</v>
      </c>
      <c r="D27" s="468"/>
      <c r="E27" s="468"/>
      <c r="F27" s="468"/>
      <c r="G27" s="468"/>
      <c r="H27" s="468"/>
      <c r="I27" s="468"/>
      <c r="J27" s="468"/>
      <c r="K27" s="468"/>
    </row>
    <row r="28" spans="1:11" ht="12.75" customHeight="1" x14ac:dyDescent="0.2">
      <c r="A28" s="463" t="s">
        <v>1082</v>
      </c>
      <c r="B28" s="470">
        <v>1331</v>
      </c>
      <c r="C28" s="466">
        <f>-ROUND(SUMIF(Data!$A:$A,MID(C$1,2,1)&amp;"*-"&amp;LEFT($B28,4)&amp;"*",Data!$I:$I),0)</f>
        <v>0</v>
      </c>
      <c r="D28" s="468"/>
      <c r="E28" s="468"/>
      <c r="F28" s="468"/>
      <c r="G28" s="468"/>
      <c r="H28" s="468"/>
      <c r="I28" s="468"/>
      <c r="J28" s="468"/>
      <c r="K28" s="468"/>
    </row>
    <row r="29" spans="1:11" ht="12.75" customHeight="1" x14ac:dyDescent="0.2">
      <c r="A29" s="463" t="s">
        <v>889</v>
      </c>
      <c r="B29" s="470">
        <v>1332</v>
      </c>
      <c r="C29" s="466">
        <f>-ROUND(SUMIF(Data!$A:$A,MID(C$1,2,1)&amp;"*-"&amp;LEFT($B29,4)&amp;"*",Data!$I:$I),0)</f>
        <v>0</v>
      </c>
      <c r="D29" s="468"/>
      <c r="E29" s="468"/>
      <c r="F29" s="468"/>
      <c r="G29" s="468"/>
      <c r="H29" s="468"/>
      <c r="I29" s="468"/>
      <c r="J29" s="468"/>
      <c r="K29" s="468"/>
    </row>
    <row r="30" spans="1:11" ht="12.75" customHeight="1" x14ac:dyDescent="0.2">
      <c r="A30" s="463" t="s">
        <v>1084</v>
      </c>
      <c r="B30" s="470">
        <v>1333</v>
      </c>
      <c r="C30" s="466">
        <f>-ROUND(SUMIF(Data!$A:$A,MID(C$1,2,1)&amp;"*-"&amp;LEFT($B30,4)&amp;"*",Data!$I:$I),0)</f>
        <v>0</v>
      </c>
      <c r="D30" s="468"/>
      <c r="E30" s="468"/>
      <c r="F30" s="468"/>
      <c r="G30" s="468"/>
      <c r="H30" s="468"/>
      <c r="I30" s="468"/>
      <c r="J30" s="468"/>
      <c r="K30" s="468"/>
    </row>
    <row r="31" spans="1:11" ht="12.75" customHeight="1" x14ac:dyDescent="0.2">
      <c r="A31" s="463" t="s">
        <v>1083</v>
      </c>
      <c r="B31" s="470">
        <v>1334</v>
      </c>
      <c r="C31" s="466">
        <f>-ROUND(SUMIF(Data!$A:$A,MID(C$1,2,1)&amp;"*-"&amp;LEFT($B31,4)&amp;"*",Data!$I:$I),0)</f>
        <v>0</v>
      </c>
      <c r="D31" s="468"/>
      <c r="E31" s="468"/>
      <c r="F31" s="468"/>
      <c r="G31" s="468"/>
      <c r="H31" s="468"/>
      <c r="I31" s="468"/>
      <c r="J31" s="468"/>
      <c r="K31" s="468"/>
    </row>
    <row r="32" spans="1:11" ht="12.75" customHeight="1" x14ac:dyDescent="0.2">
      <c r="A32" s="463" t="s">
        <v>515</v>
      </c>
      <c r="B32" s="470">
        <v>1341</v>
      </c>
      <c r="C32" s="466">
        <f>-ROUND(SUMIF(Data!$A:$A,MID(C$1,2,1)&amp;"*-"&amp;LEFT($B32,4)&amp;"*",Data!$I:$I),0)</f>
        <v>0</v>
      </c>
      <c r="D32" s="468"/>
      <c r="E32" s="468"/>
      <c r="F32" s="468"/>
      <c r="G32" s="468"/>
      <c r="H32" s="468"/>
      <c r="I32" s="468"/>
      <c r="J32" s="468"/>
      <c r="K32" s="468"/>
    </row>
    <row r="33" spans="1:11" ht="12.75" customHeight="1" x14ac:dyDescent="0.2">
      <c r="A33" s="463" t="s">
        <v>890</v>
      </c>
      <c r="B33" s="470">
        <v>1342</v>
      </c>
      <c r="C33" s="466">
        <f>-ROUND(SUMIF(Data!$A:$A,MID(C$1,2,1)&amp;"*-"&amp;LEFT($B33,4)&amp;"*",Data!$I:$I),0)</f>
        <v>375301</v>
      </c>
      <c r="D33" s="468"/>
      <c r="E33" s="468"/>
      <c r="F33" s="468"/>
      <c r="G33" s="468"/>
      <c r="H33" s="468"/>
      <c r="I33" s="468"/>
      <c r="J33" s="468"/>
      <c r="K33" s="468"/>
    </row>
    <row r="34" spans="1:11" ht="12.75" customHeight="1" x14ac:dyDescent="0.2">
      <c r="A34" s="463" t="s">
        <v>516</v>
      </c>
      <c r="B34" s="470">
        <v>1343</v>
      </c>
      <c r="C34" s="466">
        <f>-ROUND(SUMIF(Data!$A:$A,MID(C$1,2,1)&amp;"*-"&amp;LEFT($B34,4)&amp;"*",Data!$I:$I),0)</f>
        <v>0</v>
      </c>
      <c r="D34" s="468"/>
      <c r="E34" s="468"/>
      <c r="F34" s="468"/>
      <c r="G34" s="468"/>
      <c r="H34" s="468"/>
      <c r="I34" s="468"/>
      <c r="J34" s="468"/>
      <c r="K34" s="468"/>
    </row>
    <row r="35" spans="1:11" ht="12.75" customHeight="1" x14ac:dyDescent="0.2">
      <c r="A35" s="463" t="s">
        <v>514</v>
      </c>
      <c r="B35" s="470">
        <v>1344</v>
      </c>
      <c r="C35" s="466">
        <f>-ROUND(SUMIF(Data!$A:$A,MID(C$1,2,1)&amp;"*-"&amp;LEFT($B35,4)&amp;"*",Data!$I:$I),0)</f>
        <v>0</v>
      </c>
      <c r="D35" s="468"/>
      <c r="E35" s="468"/>
      <c r="F35" s="468"/>
      <c r="G35" s="468"/>
      <c r="H35" s="468"/>
      <c r="I35" s="468"/>
      <c r="J35" s="468"/>
      <c r="K35" s="468"/>
    </row>
    <row r="36" spans="1:11" ht="12.75" customHeight="1" x14ac:dyDescent="0.2">
      <c r="A36" s="463" t="s">
        <v>886</v>
      </c>
      <c r="B36" s="470">
        <v>1351</v>
      </c>
      <c r="C36" s="466">
        <f>-ROUND(SUMIF(Data!$A:$A,MID(C$1,2,1)&amp;"*-"&amp;LEFT($B36,4)&amp;"*",Data!$I:$I),0)</f>
        <v>0</v>
      </c>
      <c r="D36" s="468"/>
      <c r="E36" s="468"/>
      <c r="F36" s="468"/>
      <c r="G36" s="468"/>
      <c r="H36" s="468"/>
      <c r="I36" s="468"/>
      <c r="J36" s="468"/>
      <c r="K36" s="468"/>
    </row>
    <row r="37" spans="1:11" ht="12.75" customHeight="1" x14ac:dyDescent="0.2">
      <c r="A37" s="463" t="s">
        <v>891</v>
      </c>
      <c r="B37" s="470">
        <v>1352</v>
      </c>
      <c r="C37" s="466">
        <f>-ROUND(SUMIF(Data!$A:$A,MID(C$1,2,1)&amp;"*-"&amp;LEFT($B37,4)&amp;"*",Data!$I:$I),0)</f>
        <v>0</v>
      </c>
      <c r="D37" s="468"/>
      <c r="E37" s="468"/>
      <c r="F37" s="468"/>
      <c r="G37" s="468"/>
      <c r="H37" s="468"/>
      <c r="I37" s="468"/>
      <c r="J37" s="468"/>
      <c r="K37" s="468"/>
    </row>
    <row r="38" spans="1:11" ht="12.75" customHeight="1" x14ac:dyDescent="0.2">
      <c r="A38" s="463" t="s">
        <v>614</v>
      </c>
      <c r="B38" s="470">
        <v>1353</v>
      </c>
      <c r="C38" s="466">
        <f>-ROUND(SUMIF(Data!$A:$A,MID(C$1,2,1)&amp;"*-"&amp;LEFT($B38,4)&amp;"*",Data!$I:$I),0)</f>
        <v>0</v>
      </c>
      <c r="D38" s="468"/>
      <c r="E38" s="468"/>
      <c r="F38" s="468"/>
      <c r="G38" s="468"/>
      <c r="H38" s="468"/>
      <c r="I38" s="468"/>
      <c r="J38" s="468"/>
      <c r="K38" s="468"/>
    </row>
    <row r="39" spans="1:11" ht="12.75" customHeight="1" x14ac:dyDescent="0.2">
      <c r="A39" s="1497" t="s">
        <v>615</v>
      </c>
      <c r="B39" s="555">
        <v>1354</v>
      </c>
      <c r="C39" s="466">
        <f>-ROUND(SUMIF(Data!$A:$A,MID(C$1,2,1)&amp;"*-"&amp;LEFT($B39,4)&amp;"*",Data!$I:$I),0)</f>
        <v>0</v>
      </c>
      <c r="D39" s="468"/>
      <c r="E39" s="468"/>
      <c r="F39" s="468"/>
      <c r="G39" s="468"/>
      <c r="H39" s="468"/>
      <c r="I39" s="468"/>
      <c r="J39" s="468"/>
      <c r="K39" s="468"/>
    </row>
    <row r="40" spans="1:11" ht="12.75" customHeight="1" thickBot="1" x14ac:dyDescent="0.25">
      <c r="A40" s="1708" t="s">
        <v>559</v>
      </c>
      <c r="B40" s="1709"/>
      <c r="C40" s="1688">
        <f>SUM(C20:C39)</f>
        <v>375301</v>
      </c>
      <c r="D40" s="468"/>
      <c r="E40" s="468"/>
      <c r="F40" s="468"/>
      <c r="G40" s="468"/>
      <c r="H40" s="468"/>
      <c r="I40" s="468"/>
      <c r="J40" s="468"/>
      <c r="K40" s="468"/>
    </row>
    <row r="41" spans="1:11" ht="15.75" customHeight="1" thickTop="1" x14ac:dyDescent="0.2">
      <c r="A41" s="1594" t="s">
        <v>292</v>
      </c>
      <c r="B41" s="1595">
        <v>1400</v>
      </c>
      <c r="C41" s="468"/>
      <c r="D41" s="468"/>
      <c r="E41" s="468"/>
      <c r="F41" s="521"/>
      <c r="G41" s="468"/>
      <c r="H41" s="468"/>
      <c r="I41" s="468"/>
      <c r="J41" s="468"/>
      <c r="K41" s="468"/>
    </row>
    <row r="42" spans="1:11" ht="12.75" customHeight="1" x14ac:dyDescent="0.2">
      <c r="A42" s="463" t="s">
        <v>1136</v>
      </c>
      <c r="B42" s="470">
        <v>1411</v>
      </c>
      <c r="C42" s="468"/>
      <c r="D42" s="468"/>
      <c r="E42" s="468"/>
      <c r="F42" s="466">
        <f>-SUMIF(Data!$A:$A,MID(F$1,2,1)&amp;"*-"&amp;LEFT($B42,4)&amp;"*",Data!$I:$I)</f>
        <v>0</v>
      </c>
      <c r="G42" s="468"/>
      <c r="H42" s="468"/>
      <c r="I42" s="468"/>
      <c r="J42" s="468"/>
      <c r="K42" s="468"/>
    </row>
    <row r="43" spans="1:11" ht="12.75" customHeight="1" x14ac:dyDescent="0.2">
      <c r="A43" s="463" t="s">
        <v>892</v>
      </c>
      <c r="B43" s="470">
        <v>1412</v>
      </c>
      <c r="C43" s="468"/>
      <c r="D43" s="468"/>
      <c r="E43" s="468"/>
      <c r="F43" s="466">
        <f>-ROUND(SUMIF(Data!$A:$A,MID(F$1,2,1)&amp;"*-"&amp;LEFT($B43,4)&amp;"*",Data!$I:$I),0)</f>
        <v>858318</v>
      </c>
      <c r="G43" s="468"/>
      <c r="H43" s="468"/>
      <c r="I43" s="468"/>
      <c r="J43" s="468"/>
      <c r="K43" s="468"/>
    </row>
    <row r="44" spans="1:11" ht="12.75" customHeight="1" x14ac:dyDescent="0.2">
      <c r="A44" s="463" t="s">
        <v>402</v>
      </c>
      <c r="B44" s="470">
        <v>1413</v>
      </c>
      <c r="C44" s="468"/>
      <c r="D44" s="468"/>
      <c r="E44" s="468"/>
      <c r="F44" s="466">
        <f>-SUMIF(Data!$A:$A,MID(F$1,2,1)&amp;"*-"&amp;LEFT($B44,4)&amp;"*",Data!$I:$I)</f>
        <v>0</v>
      </c>
      <c r="G44" s="468"/>
      <c r="H44" s="468"/>
      <c r="I44" s="468"/>
      <c r="J44" s="468"/>
      <c r="K44" s="468"/>
    </row>
    <row r="45" spans="1:11" ht="12.75" customHeight="1" x14ac:dyDescent="0.2">
      <c r="A45" s="463" t="s">
        <v>258</v>
      </c>
      <c r="B45" s="470">
        <v>1415</v>
      </c>
      <c r="C45" s="468"/>
      <c r="D45" s="468"/>
      <c r="E45" s="468"/>
      <c r="F45" s="466">
        <f>-SUMIF(Data!$A:$A,MID(F$1,2,1)&amp;"*-"&amp;LEFT($B45,4)&amp;"*",Data!$I:$I)</f>
        <v>0</v>
      </c>
      <c r="G45" s="468"/>
      <c r="H45" s="468"/>
      <c r="I45" s="468"/>
      <c r="J45" s="468"/>
      <c r="K45" s="468"/>
    </row>
    <row r="46" spans="1:11" ht="12.75" customHeight="1" x14ac:dyDescent="0.2">
      <c r="A46" s="463" t="s">
        <v>1236</v>
      </c>
      <c r="B46" s="470">
        <v>1416</v>
      </c>
      <c r="C46" s="468"/>
      <c r="D46" s="468"/>
      <c r="E46" s="468"/>
      <c r="F46" s="466">
        <f>-SUMIF(Data!$A:$A,MID(F$1,2,1)&amp;"*-"&amp;LEFT($B46,4)&amp;"*",Data!$I:$I)</f>
        <v>0</v>
      </c>
      <c r="G46" s="468"/>
      <c r="H46" s="468"/>
      <c r="I46" s="468"/>
      <c r="J46" s="468"/>
      <c r="K46" s="468"/>
    </row>
    <row r="47" spans="1:11" ht="12.75" customHeight="1" x14ac:dyDescent="0.2">
      <c r="A47" s="463" t="s">
        <v>59</v>
      </c>
      <c r="B47" s="470">
        <v>1421</v>
      </c>
      <c r="C47" s="468"/>
      <c r="D47" s="468"/>
      <c r="E47" s="468"/>
      <c r="F47" s="466">
        <f>-SUMIF(Data!$A:$A,MID(F$1,2,1)&amp;"*-"&amp;LEFT($B47,4)&amp;"*",Data!$I:$I)</f>
        <v>0</v>
      </c>
      <c r="G47" s="468"/>
      <c r="H47" s="468"/>
      <c r="I47" s="468"/>
      <c r="J47" s="468"/>
      <c r="K47" s="468"/>
    </row>
    <row r="48" spans="1:11" ht="12.75" customHeight="1" x14ac:dyDescent="0.2">
      <c r="A48" s="463" t="s">
        <v>893</v>
      </c>
      <c r="B48" s="470">
        <v>1422</v>
      </c>
      <c r="C48" s="468"/>
      <c r="D48" s="468"/>
      <c r="E48" s="468"/>
      <c r="F48" s="466">
        <f>-SUMIF(Data!$A:$A,MID(F$1,2,1)&amp;"*-"&amp;LEFT($B48,4)&amp;"*",Data!$I:$I)</f>
        <v>0</v>
      </c>
      <c r="G48" s="468"/>
      <c r="H48" s="468"/>
      <c r="I48" s="468"/>
      <c r="J48" s="468"/>
      <c r="K48" s="468"/>
    </row>
    <row r="49" spans="1:11" ht="12.75" customHeight="1" x14ac:dyDescent="0.2">
      <c r="A49" s="463" t="s">
        <v>60</v>
      </c>
      <c r="B49" s="470">
        <v>1423</v>
      </c>
      <c r="C49" s="468"/>
      <c r="D49" s="468"/>
      <c r="E49" s="468"/>
      <c r="F49" s="466">
        <f>-SUMIF(Data!$A:$A,MID(F$1,2,1)&amp;"*-"&amp;LEFT($B49,4)&amp;"*",Data!$I:$I)</f>
        <v>0</v>
      </c>
      <c r="G49" s="468"/>
      <c r="H49" s="468"/>
      <c r="I49" s="468"/>
      <c r="J49" s="468"/>
      <c r="K49" s="468"/>
    </row>
    <row r="50" spans="1:11" ht="12.75" customHeight="1" x14ac:dyDescent="0.2">
      <c r="A50" s="463" t="s">
        <v>61</v>
      </c>
      <c r="B50" s="470">
        <v>1424</v>
      </c>
      <c r="C50" s="468"/>
      <c r="D50" s="468"/>
      <c r="E50" s="468"/>
      <c r="F50" s="466">
        <f>-SUMIF(Data!$A:$A,MID(F$1,2,1)&amp;"*-"&amp;LEFT($B50,4)&amp;"*",Data!$I:$I)</f>
        <v>0</v>
      </c>
      <c r="G50" s="468"/>
      <c r="H50" s="468"/>
      <c r="I50" s="468"/>
      <c r="J50" s="468"/>
      <c r="K50" s="468"/>
    </row>
    <row r="51" spans="1:11" ht="12.75" customHeight="1" x14ac:dyDescent="0.2">
      <c r="A51" s="1498" t="s">
        <v>62</v>
      </c>
      <c r="B51" s="556">
        <v>1431</v>
      </c>
      <c r="C51" s="468"/>
      <c r="D51" s="468"/>
      <c r="E51" s="468"/>
      <c r="F51" s="466">
        <f>-SUMIF(Data!$A:$A,MID(F$1,2,1)&amp;"*-"&amp;LEFT($B51,4)&amp;"*",Data!$I:$I)</f>
        <v>0</v>
      </c>
      <c r="G51" s="468"/>
      <c r="H51" s="468"/>
      <c r="I51" s="468"/>
      <c r="J51" s="468"/>
      <c r="K51" s="468"/>
    </row>
    <row r="52" spans="1:11" ht="12.75" customHeight="1" x14ac:dyDescent="0.2">
      <c r="A52" s="1498" t="s">
        <v>1168</v>
      </c>
      <c r="B52" s="556">
        <v>1432</v>
      </c>
      <c r="C52" s="468"/>
      <c r="D52" s="468"/>
      <c r="E52" s="468"/>
      <c r="F52" s="466">
        <f>-SUMIF(Data!$A:$A,MID(F$1,2,1)&amp;"*-"&amp;LEFT($B52,4)&amp;"*",Data!$I:$I)</f>
        <v>0</v>
      </c>
      <c r="G52" s="468"/>
      <c r="H52" s="468"/>
      <c r="I52" s="468"/>
      <c r="J52" s="468"/>
      <c r="K52" s="468"/>
    </row>
    <row r="53" spans="1:11" ht="12.75" customHeight="1" x14ac:dyDescent="0.2">
      <c r="A53" s="1498" t="s">
        <v>63</v>
      </c>
      <c r="B53" s="556">
        <v>1433</v>
      </c>
      <c r="C53" s="468"/>
      <c r="D53" s="468"/>
      <c r="E53" s="468"/>
      <c r="F53" s="466">
        <f>-SUMIF(Data!$A:$A,MID(F$1,2,1)&amp;"*-"&amp;LEFT($B53,4)&amp;"*",Data!$I:$I)</f>
        <v>0</v>
      </c>
      <c r="G53" s="468"/>
      <c r="H53" s="468"/>
      <c r="I53" s="468"/>
      <c r="J53" s="468"/>
      <c r="K53" s="468"/>
    </row>
    <row r="54" spans="1:11" ht="12.75" customHeight="1" x14ac:dyDescent="0.2">
      <c r="A54" s="1498" t="s">
        <v>64</v>
      </c>
      <c r="B54" s="556">
        <v>1434</v>
      </c>
      <c r="C54" s="468"/>
      <c r="D54" s="468"/>
      <c r="E54" s="468"/>
      <c r="F54" s="466">
        <f>-SUMIF(Data!$A:$A,MID(F$1,2,1)&amp;"*-"&amp;LEFT($B54,4)&amp;"*",Data!$I:$I)</f>
        <v>0</v>
      </c>
      <c r="G54" s="468"/>
      <c r="H54" s="468"/>
      <c r="I54" s="468"/>
      <c r="J54" s="468"/>
      <c r="K54" s="468"/>
    </row>
    <row r="55" spans="1:11" ht="12.75" customHeight="1" x14ac:dyDescent="0.2">
      <c r="A55" s="1498" t="s">
        <v>65</v>
      </c>
      <c r="B55" s="556">
        <v>1441</v>
      </c>
      <c r="C55" s="468"/>
      <c r="D55" s="468"/>
      <c r="E55" s="468"/>
      <c r="F55" s="466">
        <f>-SUMIF(Data!$A:$A,MID(F$1,2,1)&amp;"*-"&amp;LEFT($B55,4)&amp;"*",Data!$I:$I)</f>
        <v>0</v>
      </c>
      <c r="G55" s="468"/>
      <c r="H55" s="468"/>
      <c r="I55" s="468"/>
      <c r="J55" s="468"/>
      <c r="K55" s="468"/>
    </row>
    <row r="56" spans="1:11" ht="12.75" customHeight="1" x14ac:dyDescent="0.2">
      <c r="A56" s="1498" t="s">
        <v>1169</v>
      </c>
      <c r="B56" s="556">
        <v>1442</v>
      </c>
      <c r="C56" s="468"/>
      <c r="D56" s="468"/>
      <c r="E56" s="468"/>
      <c r="F56" s="466">
        <f>-SUMIF(Data!$A:$A,MID(F$1,2,1)&amp;"*-"&amp;LEFT($B56,4)&amp;"*",Data!$I:$I)</f>
        <v>0</v>
      </c>
      <c r="G56" s="468"/>
      <c r="H56" s="468"/>
      <c r="I56" s="468"/>
      <c r="J56" s="468"/>
      <c r="K56" s="468"/>
    </row>
    <row r="57" spans="1:11" ht="12.75" customHeight="1" x14ac:dyDescent="0.2">
      <c r="A57" s="1498" t="s">
        <v>510</v>
      </c>
      <c r="B57" s="556">
        <v>1443</v>
      </c>
      <c r="C57" s="468"/>
      <c r="D57" s="468"/>
      <c r="E57" s="468"/>
      <c r="F57" s="466">
        <f>-SUMIF(Data!$A:$A,MID(F$1,2,1)&amp;"*-"&amp;LEFT($B57,4)&amp;"*",Data!$I:$I)</f>
        <v>0</v>
      </c>
      <c r="G57" s="468"/>
      <c r="H57" s="468"/>
      <c r="I57" s="468"/>
      <c r="J57" s="468"/>
      <c r="K57" s="468"/>
    </row>
    <row r="58" spans="1:11" ht="12.75" customHeight="1" x14ac:dyDescent="0.2">
      <c r="A58" s="1498" t="s">
        <v>67</v>
      </c>
      <c r="B58" s="556">
        <v>1444</v>
      </c>
      <c r="C58" s="468"/>
      <c r="D58" s="468"/>
      <c r="E58" s="468"/>
      <c r="F58" s="466">
        <f>-SUMIF(Data!$A:$A,MID(F$1,2,1)&amp;"*-"&amp;LEFT($B58,4)&amp;"*",Data!$I:$I)</f>
        <v>0</v>
      </c>
      <c r="G58" s="468"/>
      <c r="H58" s="468"/>
      <c r="I58" s="468"/>
      <c r="J58" s="468"/>
      <c r="K58" s="468"/>
    </row>
    <row r="59" spans="1:11" ht="12.75" customHeight="1" x14ac:dyDescent="0.2">
      <c r="A59" s="1498" t="s">
        <v>933</v>
      </c>
      <c r="B59" s="556">
        <v>1451</v>
      </c>
      <c r="C59" s="468"/>
      <c r="D59" s="468"/>
      <c r="E59" s="468"/>
      <c r="F59" s="466">
        <f>-SUMIF(Data!$A:$A,MID(F$1,2,1)&amp;"*-"&amp;LEFT($B59,4)&amp;"*",Data!$I:$I)</f>
        <v>0</v>
      </c>
      <c r="G59" s="468"/>
      <c r="H59" s="468"/>
      <c r="I59" s="468"/>
      <c r="J59" s="468"/>
      <c r="K59" s="468"/>
    </row>
    <row r="60" spans="1:11" ht="12.75" customHeight="1" x14ac:dyDescent="0.2">
      <c r="A60" s="1498" t="s">
        <v>1170</v>
      </c>
      <c r="B60" s="556">
        <v>1452</v>
      </c>
      <c r="C60" s="468"/>
      <c r="D60" s="468"/>
      <c r="E60" s="468"/>
      <c r="F60" s="466">
        <f>-SUMIF(Data!$A:$A,MID(F$1,2,1)&amp;"*-"&amp;LEFT($B60,4)&amp;"*",Data!$I:$I)</f>
        <v>0</v>
      </c>
      <c r="G60" s="468"/>
      <c r="H60" s="468"/>
      <c r="I60" s="468"/>
      <c r="J60" s="468"/>
      <c r="K60" s="468"/>
    </row>
    <row r="61" spans="1:11" ht="12.75" customHeight="1" x14ac:dyDescent="0.2">
      <c r="A61" s="561" t="s">
        <v>934</v>
      </c>
      <c r="B61" s="556">
        <v>1453</v>
      </c>
      <c r="C61" s="468"/>
      <c r="D61" s="468"/>
      <c r="E61" s="468"/>
      <c r="F61" s="466">
        <f>-SUMIF(Data!$A:$A,MID(F$1,2,1)&amp;"*-"&amp;LEFT($B61,4)&amp;"*",Data!$I:$I)</f>
        <v>0</v>
      </c>
      <c r="G61" s="468"/>
      <c r="H61" s="468"/>
      <c r="I61" s="468"/>
      <c r="J61" s="468"/>
      <c r="K61" s="468"/>
    </row>
    <row r="62" spans="1:11" ht="12.75" customHeight="1" x14ac:dyDescent="0.2">
      <c r="A62" s="1499" t="s">
        <v>935</v>
      </c>
      <c r="B62" s="557">
        <v>1454</v>
      </c>
      <c r="C62" s="468"/>
      <c r="D62" s="468"/>
      <c r="E62" s="468"/>
      <c r="F62" s="466">
        <f>-SUMIF(Data!$A:$A,MID(F$1,2,1)&amp;"*-"&amp;LEFT($B62,4)&amp;"*",Data!$I:$I)</f>
        <v>0</v>
      </c>
      <c r="G62" s="468"/>
      <c r="H62" s="468"/>
      <c r="I62" s="468"/>
      <c r="J62" s="468"/>
      <c r="K62" s="468"/>
    </row>
    <row r="63" spans="1:11" ht="12.75" customHeight="1" thickBot="1" x14ac:dyDescent="0.25">
      <c r="A63" s="1708" t="s">
        <v>506</v>
      </c>
      <c r="B63" s="1709"/>
      <c r="C63" s="468"/>
      <c r="D63" s="468"/>
      <c r="E63" s="468"/>
      <c r="F63" s="1688">
        <f>SUM(F42:F62)</f>
        <v>858318</v>
      </c>
      <c r="G63" s="468"/>
      <c r="H63" s="468"/>
      <c r="I63" s="468"/>
      <c r="J63" s="468"/>
      <c r="K63" s="468"/>
    </row>
    <row r="64" spans="1:11" ht="15.75" customHeight="1" thickTop="1" x14ac:dyDescent="0.2">
      <c r="A64" s="1594" t="s">
        <v>474</v>
      </c>
      <c r="B64" s="1595">
        <v>1500</v>
      </c>
      <c r="C64" s="468"/>
      <c r="D64" s="468"/>
      <c r="E64" s="468"/>
      <c r="F64" s="468"/>
      <c r="G64" s="468"/>
      <c r="H64" s="468"/>
      <c r="I64" s="468"/>
      <c r="J64" s="468"/>
      <c r="K64" s="468"/>
    </row>
    <row r="65" spans="1:11" ht="12.75" customHeight="1" x14ac:dyDescent="0.2">
      <c r="A65" s="463" t="s">
        <v>568</v>
      </c>
      <c r="B65" s="470">
        <v>1510</v>
      </c>
      <c r="C65" s="466">
        <f>-ROUND(SUMIF(Data!$A:$A,MID(C$1,2,1)&amp;"*-"&amp;LEFT($B65,4)&amp;"*",Data!$I:$I),0)</f>
        <v>9635</v>
      </c>
      <c r="D65" s="466">
        <f>-SUMIF(Data!$A:$A,MID(D$1,2,1)&amp;"*-"&amp;LEFT($B65,4)&amp;"*",Data!$I:$I)</f>
        <v>0</v>
      </c>
      <c r="E65" s="466">
        <f>-ROUND(SUMIF(Data!$A:$A,MID(E$1,2,1)&amp;"*-"&amp;LEFT($B65,4)&amp;"*",Data!$I:$I),0)</f>
        <v>0</v>
      </c>
      <c r="F65" s="466">
        <f>-SUMIF(Data!$A:$A,MID(F$1,2,1)&amp;"*-"&amp;LEFT($B65,4)&amp;"*",Data!$I:$I)</f>
        <v>0</v>
      </c>
      <c r="G65" s="466">
        <f>-ROUND(SUMIF(Data!$A:$A,MID(G$1,2,1)&amp;"*-"&amp;LEFT($B65,4)&amp;"*",Data!$I:$I),0)</f>
        <v>0</v>
      </c>
      <c r="H65" s="466">
        <f>-SUMIF(Data!$A:$A,MID(H$1,2,1)&amp;"*-"&amp;LEFT($B65,4)&amp;"*",Data!$I:$I)</f>
        <v>0</v>
      </c>
      <c r="I65" s="466">
        <f>-SUMIF(Data!$A:$A,MID(I$1,2,1)&amp;"*-"&amp;LEFT($B65,4)&amp;"*",Data!$I:$I)</f>
        <v>54724.95</v>
      </c>
      <c r="J65" s="466">
        <f>-SUMIF(Data!$A:$A,MID(J$1,2,1)&amp;"*-"&amp;LEFT($B65,4)&amp;"*",Data!$I:$I)</f>
        <v>0</v>
      </c>
      <c r="K65" s="466">
        <f>-SUMIF(Data!$A:$A,MID(K$1,2,1)&amp;"*-"&amp;LEFT($B65,4)&amp;"*",Data!$I:$I)</f>
        <v>0</v>
      </c>
    </row>
    <row r="66" spans="1:11" ht="12.75" customHeight="1" x14ac:dyDescent="0.2">
      <c r="A66" s="463" t="s">
        <v>700</v>
      </c>
      <c r="B66" s="470">
        <v>1520</v>
      </c>
      <c r="C66" s="466">
        <f>-ROUND(SUMIF(Data!$A:$A,MID(C$1,2,1)&amp;"*-"&amp;LEFT($B66,4)&amp;"*",Data!$I:$I),0)</f>
        <v>0</v>
      </c>
      <c r="D66" s="466">
        <f>-SUMIF(Data!$A:$A,MID(D$1,2,1)&amp;"*-"&amp;LEFT($B66,4)&amp;"*",Data!$I:$I)</f>
        <v>0</v>
      </c>
      <c r="E66" s="466">
        <f>-ROUND(SUMIF(Data!$A:$A,MID(E$1,2,1)&amp;"*-"&amp;LEFT($B66,4)&amp;"*",Data!$I:$I),0)</f>
        <v>0</v>
      </c>
      <c r="F66" s="466">
        <f>-SUMIF(Data!$A:$A,MID(F$1,2,1)&amp;"*-"&amp;LEFT($B66,4)&amp;"*",Data!$I:$I)</f>
        <v>0</v>
      </c>
      <c r="G66" s="466">
        <f>-ROUND(SUMIF(Data!$A:$A,MID(G$1,2,1)&amp;"*-"&amp;LEFT($B66,4)&amp;"*",Data!$I:$I),0)</f>
        <v>0</v>
      </c>
      <c r="H66" s="466">
        <f>-SUMIF(Data!$A:$A,MID(H$1,2,1)&amp;"*-"&amp;LEFT($B66,4)&amp;"*",Data!$I:$I)</f>
        <v>0</v>
      </c>
      <c r="I66" s="466">
        <f>-SUMIF(Data!$A:$A,MID(I$1,2,1)&amp;"*-"&amp;LEFT($B66,4)&amp;"*",Data!$I:$I)</f>
        <v>0</v>
      </c>
      <c r="J66" s="466">
        <f>-SUMIF(Data!$A:$A,MID(J$1,2,1)&amp;"*-"&amp;LEFT($B66,4)&amp;"*",Data!$I:$I)</f>
        <v>0</v>
      </c>
      <c r="K66" s="466">
        <f>-SUMIF(Data!$A:$A,MID(K$1,2,1)&amp;"*-"&amp;LEFT($B66,4)&amp;"*",Data!$I:$I)</f>
        <v>0</v>
      </c>
    </row>
    <row r="67" spans="1:11" ht="12.75" customHeight="1" thickBot="1" x14ac:dyDescent="0.25">
      <c r="A67" s="1708" t="s">
        <v>507</v>
      </c>
      <c r="B67" s="1709"/>
      <c r="C67" s="1688">
        <f>SUM(C65:C66)</f>
        <v>9635</v>
      </c>
      <c r="D67" s="1688">
        <f t="shared" ref="D67:K67" si="2">SUM(D65:D66)</f>
        <v>0</v>
      </c>
      <c r="E67" s="1688">
        <f t="shared" si="2"/>
        <v>0</v>
      </c>
      <c r="F67" s="1688">
        <f t="shared" si="2"/>
        <v>0</v>
      </c>
      <c r="G67" s="1688">
        <f t="shared" si="2"/>
        <v>0</v>
      </c>
      <c r="H67" s="1688">
        <f t="shared" si="2"/>
        <v>0</v>
      </c>
      <c r="I67" s="1688">
        <f t="shared" si="2"/>
        <v>54724.95</v>
      </c>
      <c r="J67" s="1688">
        <f t="shared" si="2"/>
        <v>0</v>
      </c>
      <c r="K67" s="1688">
        <f t="shared" si="2"/>
        <v>0</v>
      </c>
    </row>
    <row r="68" spans="1:11" ht="15.75" customHeight="1" thickTop="1" x14ac:dyDescent="0.2">
      <c r="A68" s="1594" t="s">
        <v>475</v>
      </c>
      <c r="B68" s="1596">
        <v>1600</v>
      </c>
      <c r="C68" s="552"/>
      <c r="D68" s="468"/>
      <c r="E68" s="468"/>
      <c r="F68" s="468"/>
      <c r="G68" s="468"/>
      <c r="H68" s="468"/>
      <c r="I68" s="468"/>
      <c r="J68" s="468"/>
      <c r="K68" s="468"/>
    </row>
    <row r="69" spans="1:11" ht="12.75" customHeight="1" x14ac:dyDescent="0.2">
      <c r="A69" s="463" t="s">
        <v>687</v>
      </c>
      <c r="B69" s="470">
        <v>1611</v>
      </c>
      <c r="C69" s="466">
        <f>-ROUND(SUMIF(Data!$A:$A,MID(C$1,2,1)&amp;"*-"&amp;LEFT($B69,4)&amp;"*",Data!$I:$I),0)</f>
        <v>159502</v>
      </c>
      <c r="D69" s="468"/>
      <c r="E69" s="468"/>
      <c r="F69" s="468"/>
      <c r="G69" s="468"/>
      <c r="H69" s="468"/>
      <c r="I69" s="468"/>
      <c r="J69" s="468"/>
      <c r="K69" s="468"/>
    </row>
    <row r="70" spans="1:11" ht="12.75" customHeight="1" x14ac:dyDescent="0.2">
      <c r="A70" s="463" t="s">
        <v>1054</v>
      </c>
      <c r="B70" s="470">
        <v>1612</v>
      </c>
      <c r="C70" s="466">
        <f>-ROUND(SUMIF(Data!$A:$A,MID(C$1,2,1)&amp;"*-"&amp;LEFT($B70,4)&amp;"*",Data!$I:$I),0)</f>
        <v>6255</v>
      </c>
      <c r="D70" s="468"/>
      <c r="E70" s="468"/>
      <c r="F70" s="468"/>
      <c r="G70" s="468"/>
      <c r="H70" s="468"/>
      <c r="I70" s="468"/>
      <c r="J70" s="468"/>
      <c r="K70" s="468"/>
    </row>
    <row r="71" spans="1:11" ht="12.75" customHeight="1" x14ac:dyDescent="0.2">
      <c r="A71" s="463" t="s">
        <v>291</v>
      </c>
      <c r="B71" s="470">
        <v>1613</v>
      </c>
      <c r="C71" s="466">
        <f>-ROUND(SUMIF(Data!$A:$A,MID(C$1,2,1)&amp;"*-"&amp;LEFT($B71,4)&amp;"*",Data!$I:$I),0)</f>
        <v>33447</v>
      </c>
      <c r="D71" s="468"/>
      <c r="E71" s="468"/>
      <c r="F71" s="468"/>
      <c r="G71" s="468"/>
      <c r="H71" s="468"/>
      <c r="I71" s="468"/>
      <c r="J71" s="468"/>
      <c r="K71" s="468"/>
    </row>
    <row r="72" spans="1:11" ht="12.75" customHeight="1" x14ac:dyDescent="0.2">
      <c r="A72" s="463" t="s">
        <v>24</v>
      </c>
      <c r="B72" s="470">
        <v>1614</v>
      </c>
      <c r="C72" s="466">
        <f>-ROUND(SUMIF(Data!$A:$A,MID(C$1,2,1)&amp;"*-"&amp;LEFT($B72,4)&amp;"*",Data!$I:$I),0)</f>
        <v>0</v>
      </c>
      <c r="D72" s="468"/>
      <c r="E72" s="468"/>
      <c r="F72" s="468"/>
      <c r="G72" s="468"/>
      <c r="H72" s="468"/>
      <c r="I72" s="468"/>
      <c r="J72" s="468"/>
      <c r="K72" s="468"/>
    </row>
    <row r="73" spans="1:11" ht="12.75" customHeight="1" x14ac:dyDescent="0.2">
      <c r="A73" s="463" t="s">
        <v>1055</v>
      </c>
      <c r="B73" s="470">
        <v>1620</v>
      </c>
      <c r="C73" s="466">
        <f>-ROUND(SUMIF(Data!$A:$A,MID(C$1,2,1)&amp;"*-"&amp;LEFT($B73,4)&amp;"*",Data!$I:$I),0)</f>
        <v>13242</v>
      </c>
      <c r="D73" s="468"/>
      <c r="E73" s="468"/>
      <c r="F73" s="468"/>
      <c r="G73" s="468"/>
      <c r="H73" s="468"/>
      <c r="I73" s="468"/>
      <c r="J73" s="468"/>
      <c r="K73" s="468"/>
    </row>
    <row r="74" spans="1:11" ht="12.75" customHeight="1" x14ac:dyDescent="0.2">
      <c r="A74" s="463" t="s">
        <v>25</v>
      </c>
      <c r="B74" s="470">
        <v>1690</v>
      </c>
      <c r="C74" s="466">
        <f>-ROUND(SUMIF(Data!$A:$A,MID(C$1,2,1)&amp;"*-"&amp;LEFT($B74,4)&amp;"*",Data!$I:$I),0)</f>
        <v>1476</v>
      </c>
      <c r="D74" s="468"/>
      <c r="E74" s="468"/>
      <c r="F74" s="468"/>
      <c r="G74" s="468"/>
      <c r="H74" s="468"/>
      <c r="I74" s="468"/>
      <c r="J74" s="468"/>
      <c r="K74" s="468"/>
    </row>
    <row r="75" spans="1:11" ht="12.75" customHeight="1" thickBot="1" x14ac:dyDescent="0.25">
      <c r="A75" s="1708" t="s">
        <v>569</v>
      </c>
      <c r="B75" s="1709"/>
      <c r="C75" s="1688">
        <f>SUM(C69:C74)</f>
        <v>213922</v>
      </c>
      <c r="D75" s="468"/>
      <c r="E75" s="468"/>
      <c r="F75" s="468"/>
      <c r="G75" s="468"/>
      <c r="H75" s="468"/>
      <c r="I75" s="468"/>
      <c r="J75" s="468"/>
      <c r="K75" s="468"/>
    </row>
    <row r="76" spans="1:11" ht="15.75" customHeight="1" thickTop="1" x14ac:dyDescent="0.2">
      <c r="A76" s="1594" t="s">
        <v>936</v>
      </c>
      <c r="B76" s="1596">
        <v>1700</v>
      </c>
      <c r="C76" s="552"/>
      <c r="D76" s="468"/>
      <c r="E76" s="468"/>
      <c r="F76" s="468"/>
      <c r="G76" s="468"/>
      <c r="H76" s="468"/>
      <c r="I76" s="468"/>
      <c r="J76" s="468"/>
      <c r="K76" s="468"/>
    </row>
    <row r="77" spans="1:11" ht="12.75" customHeight="1" x14ac:dyDescent="0.2">
      <c r="A77" s="463" t="s">
        <v>570</v>
      </c>
      <c r="B77" s="470">
        <v>1711</v>
      </c>
      <c r="C77" s="466">
        <v>25695</v>
      </c>
      <c r="D77" s="466">
        <f>-SUMIF(Data!$A:$A,MID(D$1,2,1)&amp;"*-"&amp;LEFT($B77,4)&amp;"*",Data!$I:$I)</f>
        <v>0</v>
      </c>
      <c r="E77" s="468"/>
      <c r="F77" s="468"/>
      <c r="G77" s="468"/>
      <c r="H77" s="468"/>
      <c r="I77" s="468"/>
      <c r="J77" s="468"/>
      <c r="K77" s="468"/>
    </row>
    <row r="78" spans="1:11" ht="12.75" customHeight="1" x14ac:dyDescent="0.2">
      <c r="A78" s="463" t="s">
        <v>78</v>
      </c>
      <c r="B78" s="470">
        <v>1719</v>
      </c>
      <c r="C78" s="466">
        <v>0</v>
      </c>
      <c r="D78" s="466">
        <f>-SUMIF(Data!$A:$A,MID(D$1,2,1)&amp;"*-"&amp;LEFT($B78,4)&amp;"*",Data!$I:$I)</f>
        <v>0</v>
      </c>
      <c r="E78" s="468"/>
      <c r="F78" s="468"/>
      <c r="G78" s="468"/>
      <c r="H78" s="468"/>
      <c r="I78" s="468"/>
      <c r="J78" s="468"/>
      <c r="K78" s="468"/>
    </row>
    <row r="79" spans="1:11" ht="12.75" customHeight="1" x14ac:dyDescent="0.2">
      <c r="A79" s="463" t="s">
        <v>571</v>
      </c>
      <c r="B79" s="470">
        <v>1720</v>
      </c>
      <c r="C79" s="466">
        <v>103885</v>
      </c>
      <c r="D79" s="466">
        <f>-SUMIF(Data!$A:$A,MID(D$1,2,1)&amp;"*-"&amp;LEFT($B79,4)&amp;"*",Data!$I:$I)</f>
        <v>0</v>
      </c>
      <c r="E79" s="468"/>
      <c r="F79" s="468"/>
      <c r="G79" s="468"/>
      <c r="H79" s="468"/>
      <c r="I79" s="468"/>
      <c r="J79" s="468"/>
      <c r="K79" s="468"/>
    </row>
    <row r="80" spans="1:11" ht="12.75" customHeight="1" x14ac:dyDescent="0.2">
      <c r="A80" s="463" t="s">
        <v>572</v>
      </c>
      <c r="B80" s="470">
        <v>1730</v>
      </c>
      <c r="C80" s="466">
        <f>-ROUND(SUMIF(Data!$A:$A,MID(C$1,2,1)&amp;"*-"&amp;LEFT($B80,4)&amp;"*",Data!$I:$I),0)</f>
        <v>0</v>
      </c>
      <c r="D80" s="466">
        <f>-SUMIF(Data!$A:$A,MID(D$1,2,1)&amp;"*-"&amp;LEFT($B80,4)&amp;"*",Data!$I:$I)</f>
        <v>0</v>
      </c>
      <c r="E80" s="468"/>
      <c r="F80" s="468"/>
      <c r="G80" s="468"/>
      <c r="H80" s="468"/>
      <c r="I80" s="468"/>
      <c r="J80" s="468"/>
      <c r="K80" s="468"/>
    </row>
    <row r="81" spans="1:11" ht="12.75" customHeight="1" x14ac:dyDescent="0.2">
      <c r="A81" s="463" t="s">
        <v>26</v>
      </c>
      <c r="B81" s="470">
        <v>1790</v>
      </c>
      <c r="C81" s="466">
        <f>-ROUND(SUMIF(Data!$A:$A,MID(C$1,2,1)&amp;"*-"&amp;LEFT($B81,4)&amp;"*",Data!$I:$I),0)</f>
        <v>0</v>
      </c>
      <c r="D81" s="466">
        <f>-SUMIF(Data!$A:$A,MID(D$1,2,1)&amp;"*-"&amp;LEFT($B81,4)&amp;"*",Data!$I:$I)</f>
        <v>0</v>
      </c>
      <c r="E81" s="468"/>
      <c r="F81" s="468"/>
      <c r="G81" s="468"/>
      <c r="H81" s="468"/>
      <c r="I81" s="468"/>
      <c r="J81" s="468"/>
      <c r="K81" s="468"/>
    </row>
    <row r="82" spans="1:11" ht="12.75" customHeight="1" thickBot="1" x14ac:dyDescent="0.25">
      <c r="A82" s="1708" t="s">
        <v>259</v>
      </c>
      <c r="B82" s="1709"/>
      <c r="C82" s="1707">
        <f>SUM(C77:C81)</f>
        <v>129580</v>
      </c>
      <c r="D82" s="1688">
        <f>SUM(D77:D81)</f>
        <v>0</v>
      </c>
      <c r="E82" s="468"/>
      <c r="F82" s="468"/>
      <c r="G82" s="468"/>
      <c r="H82" s="468"/>
      <c r="I82" s="468"/>
      <c r="J82" s="468"/>
      <c r="K82" s="468"/>
    </row>
    <row r="83" spans="1:11" ht="15.75" customHeight="1" thickTop="1" x14ac:dyDescent="0.2">
      <c r="A83" s="1594" t="s">
        <v>260</v>
      </c>
      <c r="B83" s="1596">
        <v>1800</v>
      </c>
      <c r="C83" s="552"/>
      <c r="D83" s="468"/>
      <c r="E83" s="468"/>
      <c r="F83" s="468"/>
      <c r="G83" s="468"/>
      <c r="H83" s="468"/>
      <c r="I83" s="468"/>
      <c r="J83" s="468"/>
      <c r="K83" s="468"/>
    </row>
    <row r="84" spans="1:11" ht="12.75" customHeight="1" x14ac:dyDescent="0.2">
      <c r="A84" s="463" t="s">
        <v>573</v>
      </c>
      <c r="B84" s="470">
        <v>1811</v>
      </c>
      <c r="C84" s="466">
        <f>-ROUND(SUMIF(Data!$A:$A,MID(C$1,2,1)&amp;"*-"&amp;LEFT($B84,4)&amp;"*",Data!$I:$I),0)</f>
        <v>0</v>
      </c>
      <c r="D84" s="468"/>
      <c r="E84" s="468"/>
      <c r="F84" s="468"/>
      <c r="G84" s="468"/>
      <c r="H84" s="468"/>
      <c r="I84" s="468"/>
      <c r="J84" s="468"/>
      <c r="K84" s="468"/>
    </row>
    <row r="85" spans="1:11" ht="12.75" customHeight="1" x14ac:dyDescent="0.2">
      <c r="A85" s="463" t="s">
        <v>574</v>
      </c>
      <c r="B85" s="470">
        <v>1812</v>
      </c>
      <c r="C85" s="466">
        <f>-ROUND(SUMIF(Data!$A:$A,MID(C$1,2,1)&amp;"*-"&amp;LEFT($B85,4)&amp;"*",Data!$I:$I),0)</f>
        <v>0</v>
      </c>
      <c r="D85" s="468"/>
      <c r="E85" s="468"/>
      <c r="F85" s="468"/>
      <c r="G85" s="468"/>
      <c r="H85" s="468"/>
      <c r="I85" s="468"/>
      <c r="J85" s="468"/>
      <c r="K85" s="468"/>
    </row>
    <row r="86" spans="1:11" ht="12.75" customHeight="1" x14ac:dyDescent="0.2">
      <c r="A86" s="463" t="s">
        <v>1056</v>
      </c>
      <c r="B86" s="470">
        <v>1813</v>
      </c>
      <c r="C86" s="466">
        <f>-ROUND(SUMIF(Data!$A:$A,MID(C$1,2,1)&amp;"*-"&amp;LEFT($B86,4)&amp;"*",Data!$I:$I),0)</f>
        <v>0</v>
      </c>
      <c r="D86" s="468"/>
      <c r="E86" s="468"/>
      <c r="F86" s="468"/>
      <c r="G86" s="468"/>
      <c r="H86" s="468"/>
      <c r="I86" s="468"/>
      <c r="J86" s="468"/>
      <c r="K86" s="468"/>
    </row>
    <row r="87" spans="1:11" ht="12.75" customHeight="1" x14ac:dyDescent="0.2">
      <c r="A87" s="463" t="s">
        <v>79</v>
      </c>
      <c r="B87" s="470">
        <v>1819</v>
      </c>
      <c r="C87" s="466">
        <f>-ROUND(SUMIF(Data!$A:$A,MID(C$1,2,1)&amp;"*-"&amp;LEFT($B87,4)&amp;"*",Data!$I:$I),0)</f>
        <v>0</v>
      </c>
      <c r="D87" s="468"/>
      <c r="E87" s="468"/>
      <c r="F87" s="468"/>
      <c r="G87" s="468"/>
      <c r="H87" s="468"/>
      <c r="I87" s="468"/>
      <c r="J87" s="468"/>
      <c r="K87" s="468"/>
    </row>
    <row r="88" spans="1:11" ht="12.75" customHeight="1" x14ac:dyDescent="0.2">
      <c r="A88" s="463" t="s">
        <v>575</v>
      </c>
      <c r="B88" s="470">
        <v>1821</v>
      </c>
      <c r="C88" s="466">
        <f>-ROUND(SUMIF(Data!$A:$A,MID(C$1,2,1)&amp;"*-"&amp;LEFT($B88,4)&amp;"*",Data!$I:$I),0)</f>
        <v>0</v>
      </c>
      <c r="D88" s="468"/>
      <c r="E88" s="468"/>
      <c r="F88" s="468"/>
      <c r="G88" s="468"/>
      <c r="H88" s="468"/>
      <c r="I88" s="468"/>
      <c r="J88" s="468"/>
      <c r="K88" s="468"/>
    </row>
    <row r="89" spans="1:11" ht="12.75" customHeight="1" x14ac:dyDescent="0.2">
      <c r="A89" s="463" t="s">
        <v>738</v>
      </c>
      <c r="B89" s="470">
        <v>1822</v>
      </c>
      <c r="C89" s="466">
        <f>-ROUND(SUMIF(Data!$A:$A,MID(C$1,2,1)&amp;"*-"&amp;LEFT($B89,4)&amp;"*",Data!$I:$I),0)</f>
        <v>0</v>
      </c>
      <c r="D89" s="468"/>
      <c r="E89" s="468"/>
      <c r="F89" s="468"/>
      <c r="G89" s="468"/>
      <c r="H89" s="468"/>
      <c r="I89" s="468"/>
      <c r="J89" s="468"/>
      <c r="K89" s="468"/>
    </row>
    <row r="90" spans="1:11" ht="12.75" customHeight="1" x14ac:dyDescent="0.2">
      <c r="A90" s="463" t="s">
        <v>141</v>
      </c>
      <c r="B90" s="470">
        <v>1823</v>
      </c>
      <c r="C90" s="466">
        <f>-ROUND(SUMIF(Data!$A:$A,MID(C$1,2,1)&amp;"*-"&amp;LEFT($B90,4)&amp;"*",Data!$I:$I),0)</f>
        <v>0</v>
      </c>
      <c r="D90" s="468"/>
      <c r="E90" s="468"/>
      <c r="F90" s="468"/>
      <c r="G90" s="468"/>
      <c r="H90" s="468"/>
      <c r="I90" s="468"/>
      <c r="J90" s="468"/>
      <c r="K90" s="468"/>
    </row>
    <row r="91" spans="1:11" ht="12.75" customHeight="1" x14ac:dyDescent="0.2">
      <c r="A91" s="463" t="s">
        <v>27</v>
      </c>
      <c r="B91" s="470">
        <v>1829</v>
      </c>
      <c r="C91" s="466">
        <f>-ROUND(SUMIF(Data!$A:$A,MID(C$1,2,1)&amp;"*-"&amp;LEFT($B91,4)&amp;"*",Data!$I:$I),0)</f>
        <v>0</v>
      </c>
      <c r="D91" s="468"/>
      <c r="E91" s="468"/>
      <c r="F91" s="468"/>
      <c r="G91" s="468"/>
      <c r="H91" s="468"/>
      <c r="I91" s="468"/>
      <c r="J91" s="468"/>
      <c r="K91" s="468"/>
    </row>
    <row r="92" spans="1:11" ht="12.75" customHeight="1" x14ac:dyDescent="0.2">
      <c r="A92" s="463" t="s">
        <v>786</v>
      </c>
      <c r="B92" s="470">
        <v>1890</v>
      </c>
      <c r="C92" s="466">
        <f>-ROUND(SUMIF(Data!$A:$A,MID(C$1,2,1)&amp;"*-"&amp;LEFT($B92,4)&amp;"*",Data!$I:$I),0)</f>
        <v>0</v>
      </c>
      <c r="D92" s="468"/>
      <c r="E92" s="468"/>
      <c r="F92" s="468"/>
      <c r="G92" s="468"/>
      <c r="H92" s="468"/>
      <c r="I92" s="468"/>
      <c r="J92" s="468"/>
      <c r="K92" s="468"/>
    </row>
    <row r="93" spans="1:11" ht="12.75" customHeight="1" thickBot="1" x14ac:dyDescent="0.25">
      <c r="A93" s="1708" t="s">
        <v>261</v>
      </c>
      <c r="B93" s="1709"/>
      <c r="C93" s="1688">
        <f>SUM(C84:C92)</f>
        <v>0</v>
      </c>
      <c r="D93" s="468"/>
      <c r="E93" s="468"/>
      <c r="F93" s="468"/>
      <c r="G93" s="468"/>
      <c r="H93" s="468"/>
      <c r="I93" s="468"/>
      <c r="J93" s="468"/>
      <c r="K93" s="468"/>
    </row>
    <row r="94" spans="1:11" ht="15.75" customHeight="1" thickTop="1" x14ac:dyDescent="0.2">
      <c r="A94" s="1594" t="s">
        <v>1199</v>
      </c>
      <c r="B94" s="1596">
        <v>1900</v>
      </c>
      <c r="C94" s="552"/>
      <c r="D94" s="521"/>
      <c r="E94" s="468"/>
      <c r="F94" s="468"/>
      <c r="G94" s="468"/>
      <c r="H94" s="468"/>
      <c r="I94" s="468"/>
      <c r="J94" s="468"/>
      <c r="K94" s="468"/>
    </row>
    <row r="95" spans="1:11" ht="12.75" customHeight="1" x14ac:dyDescent="0.2">
      <c r="A95" s="463" t="s">
        <v>1124</v>
      </c>
      <c r="B95" s="470">
        <v>1910</v>
      </c>
      <c r="C95" s="466">
        <f>-ROUND(SUMIF(Data!$A:$A,MID(C$1,2,1)&amp;"*-"&amp;LEFT($B95,4)&amp;"*",Data!$I:$I),0)</f>
        <v>0</v>
      </c>
      <c r="D95" s="466">
        <f>-SUMIF(Data!$A:$A,MID(D$1,2,1)&amp;"*-"&amp;LEFT($B95,4)&amp;"*",Data!$I:$I)</f>
        <v>2165.36</v>
      </c>
      <c r="E95" s="521"/>
      <c r="F95" s="521"/>
      <c r="G95" s="521"/>
      <c r="H95" s="521"/>
      <c r="I95" s="521"/>
      <c r="J95" s="521"/>
      <c r="K95" s="521"/>
    </row>
    <row r="96" spans="1:11" ht="12.75" customHeight="1" x14ac:dyDescent="0.2">
      <c r="A96" s="463" t="s">
        <v>409</v>
      </c>
      <c r="B96" s="470">
        <v>1920</v>
      </c>
      <c r="C96" s="466">
        <f>-ROUND(SUMIF(Data!$A:$A,MID(C$1,2,1)&amp;"*-"&amp;LEFT($B96,4)&amp;"*",Data!$I:$I),0)</f>
        <v>290914</v>
      </c>
      <c r="D96" s="466">
        <f>-SUMIF(Data!$A:$A,MID(D$1,2,1)&amp;"*-"&amp;LEFT($B96,4)&amp;"*",Data!$I:$I)</f>
        <v>0</v>
      </c>
      <c r="E96" s="466">
        <f>-ROUND(SUMIF(Data!$A:$A,MID(E$1,2,1)&amp;"*-"&amp;LEFT($B96,4)&amp;"*",Data!$I:$I),0)</f>
        <v>0</v>
      </c>
      <c r="F96" s="466">
        <f>-SUMIF(Data!$A:$A,MID(F$1,2,1)&amp;"*-"&amp;LEFT($B96,4)&amp;"*",Data!$I:$I)</f>
        <v>0</v>
      </c>
      <c r="G96" s="466">
        <f>-ROUND(SUMIF(Data!$A:$A,MID(G$1,2,1)&amp;"*-"&amp;LEFT($B96,4)&amp;"*",Data!$I:$I),0)</f>
        <v>0</v>
      </c>
      <c r="H96" s="466">
        <f>-SUMIF(Data!$A:$A,MID(H$1,2,1)&amp;"*-"&amp;LEFT($B96,4)&amp;"*",Data!$I:$I)</f>
        <v>0</v>
      </c>
      <c r="I96" s="466">
        <f>-SUMIF(Data!$A:$A,MID(I$1,2,1)&amp;"*-"&amp;LEFT($B96,4)&amp;"*",Data!$I:$I)</f>
        <v>0</v>
      </c>
      <c r="J96" s="466">
        <f>-SUMIF(Data!$A:$A,MID(J$1,2,1)&amp;"*-"&amp;LEFT($B96,4)&amp;"*",Data!$I:$I)</f>
        <v>0</v>
      </c>
      <c r="K96" s="466">
        <f>-SUMIF(Data!$A:$A,MID(K$1,2,1)&amp;"*-"&amp;LEFT($B96,4)&amp;"*",Data!$I:$I)</f>
        <v>0</v>
      </c>
    </row>
    <row r="97" spans="1:12" ht="12.75" customHeight="1" x14ac:dyDescent="0.2">
      <c r="A97" s="1497" t="s">
        <v>262</v>
      </c>
      <c r="B97" s="558">
        <v>1930</v>
      </c>
      <c r="C97" s="466">
        <f>-ROUND(SUMIF(Data!$A:$A,MID(C$1,2,1)&amp;"*-"&amp;LEFT($B97,4)&amp;"*",Data!$I:$I),0)</f>
        <v>0</v>
      </c>
      <c r="D97" s="466">
        <f>-SUMIF(Data!$A:$A,MID(D$1,2,1)&amp;"*-"&amp;LEFT($B97,4)&amp;"*",Data!$I:$I)</f>
        <v>0</v>
      </c>
      <c r="E97" s="466">
        <f>-ROUND(SUMIF(Data!$A:$A,MID(E$1,2,1)&amp;"*-"&amp;LEFT($B97,4)&amp;"*",Data!$I:$I),0)</f>
        <v>0</v>
      </c>
      <c r="F97" s="466">
        <f>-SUMIF(Data!$A:$A,MID(F$1,2,1)&amp;"*-"&amp;LEFT($B97,4)&amp;"*",Data!$I:$I)</f>
        <v>0</v>
      </c>
      <c r="G97" s="466">
        <f>-ROUND(SUMIF(Data!$A:$A,MID(G$1,2,1)&amp;"*-"&amp;LEFT($B97,4)&amp;"*",Data!$I:$I),0)</f>
        <v>0</v>
      </c>
      <c r="H97" s="466">
        <f>-SUMIF(Data!$A:$A,MID(H$1,2,1)&amp;"*-"&amp;LEFT($B97,4)&amp;"*",Data!$I:$I)</f>
        <v>0</v>
      </c>
      <c r="I97" s="466">
        <f>-SUMIF(Data!$A:$A,MID(I$1,2,1)&amp;"*-"&amp;LEFT($B97,4)&amp;"*",Data!$I:$I)</f>
        <v>0</v>
      </c>
      <c r="J97" s="466">
        <f>-SUMIF(Data!$A:$A,MID(J$1,2,1)&amp;"*-"&amp;LEFT($B97,4)&amp;"*",Data!$I:$I)</f>
        <v>0</v>
      </c>
      <c r="K97" s="466">
        <f>-SUMIF(Data!$A:$A,MID(K$1,2,1)&amp;"*-"&amp;LEFT($B97,4)&amp;"*",Data!$I:$I)</f>
        <v>0</v>
      </c>
    </row>
    <row r="98" spans="1:12" ht="12.75" customHeight="1" x14ac:dyDescent="0.2">
      <c r="A98" s="463" t="s">
        <v>198</v>
      </c>
      <c r="B98" s="470">
        <v>1940</v>
      </c>
      <c r="C98" s="466">
        <f>-ROUND(SUMIF(Data!$A:$A,MID(C$1,2,1)&amp;"*-"&amp;LEFT($B98,4)&amp;"*",Data!$I:$I),0)</f>
        <v>217731</v>
      </c>
      <c r="D98" s="466">
        <f>-SUMIF(Data!$A:$A,MID(D$1,2,1)&amp;"*-"&amp;LEFT($B98,4)&amp;"*",Data!$I:$I)</f>
        <v>0</v>
      </c>
      <c r="E98" s="512"/>
      <c r="F98" s="466">
        <f>-SUMIF(Data!$A:$A,MID(F$1,2,1)&amp;"*-"&amp;LEFT($B98,4)&amp;"*",Data!$I:$I)</f>
        <v>0</v>
      </c>
      <c r="G98" s="512"/>
      <c r="H98" s="512"/>
      <c r="I98" s="510"/>
      <c r="J98" s="512"/>
      <c r="K98" s="512"/>
    </row>
    <row r="99" spans="1:12" ht="12.75" customHeight="1" x14ac:dyDescent="0.2">
      <c r="A99" s="463" t="s">
        <v>875</v>
      </c>
      <c r="B99" s="470">
        <v>1950</v>
      </c>
      <c r="C99" s="466">
        <f>-ROUND(SUMIF(Data!$A:$A,MID(C$1,2,1)&amp;"*-"&amp;LEFT($B99,4)&amp;"*",Data!$I:$I),0)</f>
        <v>10549</v>
      </c>
      <c r="D99" s="466">
        <f>-SUMIF(Data!$A:$A,MID(D$1,2,1)&amp;"*-"&amp;LEFT($B99,4)&amp;"*",Data!$I:$I)</f>
        <v>0</v>
      </c>
      <c r="E99" s="466">
        <f>-ROUND(SUMIF(Data!$A:$A,MID(E$1,2,1)&amp;"*-"&amp;LEFT($B99,4)&amp;"*",Data!$I:$I),0)</f>
        <v>0</v>
      </c>
      <c r="F99" s="466">
        <f>-ROUND(SUMIF(Data!$A:$A,MID(F$1,2,1)&amp;"*-"&amp;LEFT($B99,4)&amp;"*",Data!$I:$I),0)</f>
        <v>13546</v>
      </c>
      <c r="G99" s="466">
        <f>-ROUND(SUMIF(Data!$A:$A,MID(G$1,2,1)&amp;"*-"&amp;LEFT($B99,4)&amp;"*",Data!$I:$I),0)</f>
        <v>0</v>
      </c>
      <c r="H99" s="466">
        <f>-SUMIF(Data!$A:$A,MID(H$1,2,1)&amp;"*-"&amp;LEFT($B99,4)&amp;"*",Data!$I:$I)</f>
        <v>0</v>
      </c>
      <c r="I99" s="468"/>
      <c r="J99" s="466">
        <f>-SUMIF(Data!$A:$A,MID(I$1,2,1)&amp;"*-"&amp;LEFT($B98,4)&amp;"*",Data!$I:$I)</f>
        <v>0</v>
      </c>
      <c r="K99" s="466">
        <f>-SUMIF(Data!$A:$A,MID(J$1,2,1)&amp;"*-"&amp;LEFT($B98,4)&amp;"*",Data!$I:$I)</f>
        <v>0</v>
      </c>
    </row>
    <row r="100" spans="1:12" ht="12.75" customHeight="1" x14ac:dyDescent="0.2">
      <c r="A100" s="463" t="s">
        <v>263</v>
      </c>
      <c r="B100" s="470">
        <v>1960</v>
      </c>
      <c r="C100" s="466">
        <f>-ROUND(SUMIF(Data!$A:$A,MID(C$1,2,1)&amp;"*-"&amp;LEFT($B100,4)&amp;"*",Data!$I:$I),0)</f>
        <v>0</v>
      </c>
      <c r="D100" s="466">
        <f>-SUMIF(Data!$A:$A,MID(D$1,2,1)&amp;"*-"&amp;LEFT($B100,4)&amp;"*",Data!$I:$I)</f>
        <v>0</v>
      </c>
      <c r="E100" s="466">
        <f>-ROUND(SUMIF(Data!$A:$A,MID(E$1,2,1)&amp;"*-"&amp;LEFT($B100,4)&amp;"*",Data!$I:$I),0)</f>
        <v>0</v>
      </c>
      <c r="F100" s="466">
        <f>-SUMIF(Data!$A:$A,MID(F$1,2,1)&amp;"*-"&amp;LEFT($B100,4)&amp;"*",Data!$I:$I)</f>
        <v>0</v>
      </c>
      <c r="G100" s="466">
        <f>-ROUND(SUMIF(Data!$A:$A,MID(G$1,2,1)&amp;"*-"&amp;LEFT($B100,4)&amp;"*",Data!$I:$I),0)</f>
        <v>0</v>
      </c>
      <c r="H100" s="466">
        <f>-SUMIF(Data!$A:$A,MID(H$1,2,1)&amp;"*-"&amp;LEFT($B100,4)&amp;"*",Data!$I:$I)</f>
        <v>0</v>
      </c>
      <c r="I100" s="466">
        <f>-SUMIF(Data!$A:$A,MID(I$1,2,1)&amp;"*-"&amp;LEFT($B100,4)&amp;"*",Data!$I:$I)</f>
        <v>0</v>
      </c>
      <c r="J100" s="466">
        <f>-SUMIF(Data!$A:$A,MID(I$1,2,1)&amp;"*-"&amp;LEFT($B99,4)&amp;"*",Data!$I:$I)</f>
        <v>0</v>
      </c>
      <c r="K100" s="466">
        <f>-SUMIF(Data!$A:$A,MID(J$1,2,1)&amp;"*-"&amp;LEFT($B99,4)&amp;"*",Data!$I:$I)</f>
        <v>0</v>
      </c>
    </row>
    <row r="101" spans="1:12" ht="12.75" customHeight="1" x14ac:dyDescent="0.2">
      <c r="A101" s="463" t="s">
        <v>264</v>
      </c>
      <c r="B101" s="470">
        <v>1970</v>
      </c>
      <c r="C101" s="466">
        <f>-ROUND(SUMIF(Data!$A:$A,MID(C$1,2,1)&amp;"*-"&amp;LEFT($B101,4)&amp;"*",Data!$I:$I),0)</f>
        <v>0</v>
      </c>
      <c r="D101" s="526"/>
      <c r="E101" s="480"/>
      <c r="F101" s="526"/>
      <c r="G101" s="475"/>
      <c r="H101" s="526"/>
      <c r="I101" s="468"/>
      <c r="J101" s="475"/>
      <c r="K101" s="475"/>
    </row>
    <row r="102" spans="1:12" ht="12.75" customHeight="1" x14ac:dyDescent="0.2">
      <c r="A102" s="463" t="s">
        <v>265</v>
      </c>
      <c r="B102" s="470">
        <v>1980</v>
      </c>
      <c r="C102" s="466">
        <f>-ROUND(SUMIF(Data!$A:$A,MID(C$1,2,1)&amp;"*-"&amp;LEFT($B102,4)&amp;"*",Data!$I:$I),0)</f>
        <v>0</v>
      </c>
      <c r="D102" s="466">
        <f>-SUMIF(Data!$A:$A,MID(D$1,2,1)&amp;"*-"&amp;LEFT($B102,4)&amp;"*",Data!$I:$I)</f>
        <v>0</v>
      </c>
      <c r="E102" s="466">
        <f>-ROUND(SUMIF(Data!$A:$A,MID(E$1,2,1)&amp;"*-"&amp;LEFT($B102,4)&amp;"*",Data!$I:$I),0)</f>
        <v>0</v>
      </c>
      <c r="F102" s="466">
        <f>-SUMIF(Data!$A:$A,MID(F$1,2,1)&amp;"*-"&amp;LEFT($B102,4)&amp;"*",Data!$I:$I)</f>
        <v>0</v>
      </c>
      <c r="G102" s="466">
        <f>-ROUND(SUMIF(Data!$A:$A,MID(G$1,2,1)&amp;"*-"&amp;LEFT($B102,4)&amp;"*",Data!$I:$I),0)</f>
        <v>0</v>
      </c>
      <c r="H102" s="466">
        <f>-SUMIF(Data!$A:$A,MID(H$1,2,1)&amp;"*-"&amp;LEFT($B102,4)&amp;"*",Data!$I:$I)</f>
        <v>0</v>
      </c>
      <c r="I102" s="466">
        <f>-SUMIF(Data!$A:$A,MID(I$1,2,1)&amp;"*-"&amp;LEFT($B102,4)&amp;"*",Data!$I:$I)</f>
        <v>0</v>
      </c>
      <c r="J102" s="466">
        <f>-SUMIF(Data!$A:$A,MID(J$1,2,1)&amp;"*-"&amp;LEFT($B102,4)&amp;"*",Data!$I:$I)</f>
        <v>0</v>
      </c>
      <c r="K102" s="466">
        <f>-SUMIF(Data!$A:$A,MID(K$1,2,1)&amp;"*-"&amp;LEFT($B102,4)&amp;"*",Data!$I:$I)</f>
        <v>0</v>
      </c>
    </row>
    <row r="103" spans="1:12" ht="12.75" customHeight="1" x14ac:dyDescent="0.2">
      <c r="A103" s="463" t="s">
        <v>363</v>
      </c>
      <c r="B103" s="470">
        <v>1983</v>
      </c>
      <c r="C103" s="468"/>
      <c r="D103" s="468"/>
      <c r="E103" s="466">
        <f>-ROUND(SUMIF(Data!$A:$A,MID(E$1,2,1)&amp;"*-"&amp;LEFT($B103,4)&amp;"*",Data!$I:$I),0)</f>
        <v>0</v>
      </c>
      <c r="F103" s="468"/>
      <c r="G103" s="468"/>
      <c r="H103" s="466">
        <f>-SUMIF(Data!$A:$A,MID(H$1,2,1)&amp;"*-"&amp;LEFT($B103,4)&amp;"*",Data!$I:$I)</f>
        <v>0</v>
      </c>
      <c r="I103" s="468"/>
      <c r="J103" s="510"/>
      <c r="K103" s="510"/>
    </row>
    <row r="104" spans="1:12" ht="12.75" customHeight="1" x14ac:dyDescent="0.2">
      <c r="A104" s="463" t="s">
        <v>885</v>
      </c>
      <c r="B104" s="470">
        <v>1991</v>
      </c>
      <c r="C104" s="466">
        <f>-ROUND(SUMIF(Data!$A:$A,MID(C$1,2,1)&amp;"*-"&amp;LEFT($B104,4)&amp;"*",Data!$I:$I),0)</f>
        <v>0</v>
      </c>
      <c r="D104" s="466">
        <f>-SUMIF(Data!$A:$A,MID(D$1,2,1)&amp;"*-"&amp;LEFT($B104,4)&amp;"*",Data!$I:$I)</f>
        <v>0</v>
      </c>
      <c r="E104" s="466">
        <f>-ROUND(SUMIF(Data!$A:$A,MID(E$1,2,1)&amp;"*-"&amp;LEFT($B104,4)&amp;"*",Data!$I:$I),0)</f>
        <v>0</v>
      </c>
      <c r="F104" s="466">
        <f>-SUMIF(Data!$A:$A,MID(F$1,2,1)&amp;"*-"&amp;LEFT($B104,4)&amp;"*",Data!$I:$I)</f>
        <v>0</v>
      </c>
      <c r="G104" s="466">
        <f>-ROUND(SUMIF(Data!$A:$A,MID(G$1,2,1)&amp;"*-"&amp;LEFT($B104,4)&amp;"*",Data!$I:$I),0)</f>
        <v>0</v>
      </c>
      <c r="H104" s="466">
        <f>-SUMIF(Data!$A:$A,MID(H$1,2,1)&amp;"*-"&amp;LEFT($B104,4)&amp;"*",Data!$I:$I)</f>
        <v>0</v>
      </c>
      <c r="I104" s="468"/>
      <c r="J104" s="468"/>
      <c r="K104" s="468"/>
    </row>
    <row r="105" spans="1:12" ht="12.75" customHeight="1" x14ac:dyDescent="0.2">
      <c r="A105" s="463" t="s">
        <v>876</v>
      </c>
      <c r="B105" s="470">
        <v>1992</v>
      </c>
      <c r="C105" s="466">
        <f>-ROUND(SUMIF(Data!$A:$A,MID(C$1,2,1)&amp;"*-"&amp;LEFT($B105,4)&amp;"*",Data!$I:$I),0)</f>
        <v>0</v>
      </c>
      <c r="D105" s="559"/>
      <c r="E105" s="468"/>
      <c r="F105" s="468"/>
      <c r="G105" s="468"/>
      <c r="H105" s="510"/>
      <c r="I105" s="468"/>
      <c r="J105" s="468"/>
      <c r="K105" s="468"/>
    </row>
    <row r="106" spans="1:12" ht="12.75" customHeight="1" x14ac:dyDescent="0.2">
      <c r="A106" s="463" t="s">
        <v>1505</v>
      </c>
      <c r="B106" s="470">
        <v>1993</v>
      </c>
      <c r="C106" s="466">
        <f>-ROUND(SUMIF(Data!$A:$A,MID(C$1,2,1)&amp;"*-"&amp;LEFT($B106,4)&amp;"*",Data!$I:$I),0)</f>
        <v>0</v>
      </c>
      <c r="D106" s="466">
        <f>-SUMIF(Data!$A:$A,MID(D$1,2,1)&amp;"*-"&amp;LEFT($B106,4)&amp;"*",Data!$I:$I)</f>
        <v>0</v>
      </c>
      <c r="E106" s="466">
        <f>-ROUND(SUMIF(Data!$A:$A,MID(E$1,2,1)&amp;"*-"&amp;LEFT($B106,4)&amp;"*",Data!$I:$I),0)</f>
        <v>0</v>
      </c>
      <c r="F106" s="466">
        <f>-SUMIF(Data!$A:$A,MID(F$1,2,1)&amp;"*-"&amp;LEFT($B106,4)&amp;"*",Data!$I:$I)</f>
        <v>0</v>
      </c>
      <c r="G106" s="466">
        <f>-ROUND(SUMIF(Data!$A:$A,MID(G$1,2,1)&amp;"*-"&amp;LEFT($B106,4)&amp;"*",Data!$I:$I),0)</f>
        <v>0</v>
      </c>
      <c r="H106" s="466">
        <f>-SUMIF(Data!$A:$A,MID(H$1,2,1)&amp;"*-"&amp;LEFT($B106,4)&amp;"*",Data!$I:$I)</f>
        <v>0</v>
      </c>
      <c r="I106" s="521"/>
      <c r="J106" s="466">
        <f>-SUMIF(Data!$A:$A,MID(J$1,2,1)&amp;"*-"&amp;LEFT($B106,4)&amp;"*",Data!$I:$I)</f>
        <v>0</v>
      </c>
      <c r="K106" s="466">
        <f>-SUMIF(Data!$A:$A,MID(K$1,2,1)&amp;"*-"&amp;LEFT($B106,4)&amp;"*",Data!$I:$I)</f>
        <v>0</v>
      </c>
    </row>
    <row r="107" spans="1:12" ht="12.75" customHeight="1" x14ac:dyDescent="0.2">
      <c r="A107" s="463" t="s">
        <v>80</v>
      </c>
      <c r="B107" s="470">
        <v>1999</v>
      </c>
      <c r="C107" s="466">
        <f>-ROUND(SUMIF(Data!$A:$A,MID(C$1,2,1)&amp;"*-"&amp;LEFT($B107,4)&amp;"*",Data!$I:$I),0)</f>
        <v>609</v>
      </c>
      <c r="D107" s="466">
        <f>-SUMIF(Data!$A:$A,MID(D$1,2,1)&amp;"*-"&amp;LEFT($B107,4)&amp;"*",Data!$I:$I)</f>
        <v>4253.88</v>
      </c>
      <c r="E107" s="466">
        <f>-ROUND(SUMIF(Data!$A:$A,MID(E$1,2,1)&amp;"*-"&amp;LEFT($B107,4)&amp;"*",Data!$I:$I),0)</f>
        <v>0</v>
      </c>
      <c r="F107" s="466">
        <f>-ROUND(SUMIF(Data!$A:$A,MID(F$1,2,1)&amp;"*-"&amp;LEFT($B107,4)&amp;"*",Data!$I:$I),0)</f>
        <v>16237</v>
      </c>
      <c r="G107" s="466">
        <f>-ROUND(SUMIF(Data!$A:$A,MID(G$1,2,1)&amp;"*-"&amp;LEFT($B107,4)&amp;"*",Data!$I:$I),0)</f>
        <v>0</v>
      </c>
      <c r="H107" s="466">
        <f>-SUMIF(Data!$A:$A,MID(H$1,2,1)&amp;"*-"&amp;LEFT($B107,4)&amp;"*",Data!$I:$I)</f>
        <v>0</v>
      </c>
      <c r="I107" s="466">
        <f>-SUMIF(Data!$A:$A,MID(I$1,2,1)&amp;"*-"&amp;LEFT($B107,4)&amp;"*",Data!$I:$I)</f>
        <v>0</v>
      </c>
      <c r="J107" s="466">
        <f>-SUMIF(Data!$A:$A,MID(J$1,2,1)&amp;"*-"&amp;LEFT($B107,3)&amp;"*",Data!$I:$I)</f>
        <v>62786.89</v>
      </c>
      <c r="K107" s="466">
        <f>-SUMIF(Data!$A:$A,MID(K$1,2,1)&amp;"*-"&amp;LEFT($B107,4)&amp;"*",Data!$I:$I)</f>
        <v>0</v>
      </c>
    </row>
    <row r="108" spans="1:12" ht="12.75" customHeight="1" thickBot="1" x14ac:dyDescent="0.25">
      <c r="A108" s="1708" t="s">
        <v>508</v>
      </c>
      <c r="B108" s="1712"/>
      <c r="C108" s="1707">
        <f>SUM(C95:C107)</f>
        <v>519803</v>
      </c>
      <c r="D108" s="1707">
        <f t="shared" ref="D108:K108" si="3">SUM(D95:D107)</f>
        <v>6419.24</v>
      </c>
      <c r="E108" s="1707">
        <f t="shared" si="3"/>
        <v>0</v>
      </c>
      <c r="F108" s="1707">
        <f t="shared" si="3"/>
        <v>29783</v>
      </c>
      <c r="G108" s="1707">
        <f t="shared" si="3"/>
        <v>0</v>
      </c>
      <c r="H108" s="1707">
        <f t="shared" si="3"/>
        <v>0</v>
      </c>
      <c r="I108" s="1707">
        <f t="shared" si="3"/>
        <v>0</v>
      </c>
      <c r="J108" s="1707">
        <f t="shared" si="3"/>
        <v>62786.89</v>
      </c>
      <c r="K108" s="1688">
        <f t="shared" si="3"/>
        <v>0</v>
      </c>
    </row>
    <row r="109" spans="1:12" ht="14.25" thickTop="1" thickBot="1" x14ac:dyDescent="0.25">
      <c r="A109" s="1713" t="s">
        <v>266</v>
      </c>
      <c r="B109" s="1714" t="s">
        <v>591</v>
      </c>
      <c r="C109" s="1715">
        <f t="shared" ref="C109:K109" si="4">SUM(C12,C18,C40,C63,C67,C75,C82,C93,C108,)</f>
        <v>8528688</v>
      </c>
      <c r="D109" s="1715">
        <f t="shared" si="4"/>
        <v>964017.12999999989</v>
      </c>
      <c r="E109" s="1715">
        <f t="shared" si="4"/>
        <v>3134418</v>
      </c>
      <c r="F109" s="1715">
        <f t="shared" si="4"/>
        <v>1218548</v>
      </c>
      <c r="G109" s="1715">
        <f t="shared" si="4"/>
        <v>908772</v>
      </c>
      <c r="H109" s="1715">
        <f t="shared" si="4"/>
        <v>0</v>
      </c>
      <c r="I109" s="1715">
        <f t="shared" si="4"/>
        <v>192210</v>
      </c>
      <c r="J109" s="1715">
        <f t="shared" si="4"/>
        <v>560868.63</v>
      </c>
      <c r="K109" s="1702">
        <f t="shared" si="4"/>
        <v>137485.04999999999</v>
      </c>
    </row>
    <row r="110" spans="1:12" ht="30" customHeight="1" thickTop="1" x14ac:dyDescent="0.2">
      <c r="A110" s="1587" t="s">
        <v>364</v>
      </c>
      <c r="B110" s="1588"/>
      <c r="C110" s="1573"/>
      <c r="D110" s="1573"/>
      <c r="E110" s="1573"/>
      <c r="F110" s="1573"/>
      <c r="G110" s="1573"/>
      <c r="H110" s="1573"/>
      <c r="I110" s="1573"/>
      <c r="J110" s="1573"/>
      <c r="K110" s="1574"/>
    </row>
    <row r="111" spans="1:12" ht="12.75" customHeight="1" x14ac:dyDescent="0.2">
      <c r="A111" s="493" t="s">
        <v>877</v>
      </c>
      <c r="B111" s="491">
        <v>2100</v>
      </c>
      <c r="C111" s="466">
        <f>-ROUND(SUMIF(Data!$A:$A,MID(C$1,2,1)&amp;"*-"&amp;LEFT($B111,4)&amp;"*",Data!$I:$I),0)</f>
        <v>0</v>
      </c>
      <c r="D111" s="466">
        <f>-SUMIF(Data!$A:$A,MID(D$1,2,1)&amp;"*-"&amp;LEFT($B111,4)&amp;"*",Data!$I:$I)</f>
        <v>0</v>
      </c>
      <c r="E111" s="559"/>
      <c r="F111" s="466">
        <f>-SUMIF(Data!$A:$A,MID(F$1,2,1)&amp;"*-"&amp;LEFT($B111,4)&amp;"*",Data!$I:$I)</f>
        <v>0</v>
      </c>
      <c r="G111" s="466">
        <f>-ROUND(SUMIF(Data!$A:$A,MID(G$1,2,1)&amp;"*-"&amp;LEFT($B111,4)&amp;"*",Data!$I:$I),0)</f>
        <v>0</v>
      </c>
      <c r="H111" s="559"/>
      <c r="I111" s="468"/>
      <c r="J111" s="468"/>
      <c r="K111" s="468"/>
    </row>
    <row r="112" spans="1:12" ht="12.75" customHeight="1" x14ac:dyDescent="0.2">
      <c r="A112" s="463" t="s">
        <v>878</v>
      </c>
      <c r="B112" s="470">
        <v>2200</v>
      </c>
      <c r="C112" s="466">
        <f>-ROUND(SUMIF(Data!$A:$A,MID(C$1,2,1)&amp;"*-"&amp;LEFT($B112,4)&amp;"*",Data!$I:$I),0)</f>
        <v>0</v>
      </c>
      <c r="D112" s="466">
        <f>-SUMIF(Data!$A:$A,MID(D$1,2,1)&amp;"*-"&amp;LEFT($B112,4)&amp;"*",Data!$I:$I)</f>
        <v>0</v>
      </c>
      <c r="E112" s="559"/>
      <c r="F112" s="466">
        <f>-SUMIF(Data!$A:$A,MID(F$1,2,1)&amp;"*-"&amp;LEFT($B112,4)&amp;"*",Data!$I:$I)</f>
        <v>0</v>
      </c>
      <c r="G112" s="466">
        <f>-ROUND(SUMIF(Data!$A:$A,MID(G$1,2,1)&amp;"*-"&amp;LEFT($B112,4)&amp;"*",Data!$I:$I),0)</f>
        <v>0</v>
      </c>
      <c r="H112" s="559"/>
      <c r="I112" s="468"/>
      <c r="J112" s="468"/>
      <c r="K112" s="468"/>
      <c r="L112" s="551"/>
    </row>
    <row r="113" spans="1:11" ht="12.75" customHeight="1" x14ac:dyDescent="0.2">
      <c r="A113" s="463" t="s">
        <v>28</v>
      </c>
      <c r="B113" s="470">
        <v>2300</v>
      </c>
      <c r="C113" s="466">
        <f>-ROUND(SUMIF(Data!$A:$A,MID(C$1,2,1)&amp;"*-"&amp;LEFT($B113,4)&amp;"*",Data!$I:$I),0)</f>
        <v>0</v>
      </c>
      <c r="D113" s="466">
        <f>-SUMIF(Data!$A:$A,MID(D$1,2,1)&amp;"*-"&amp;LEFT($B113,4)&amp;"*",Data!$I:$I)</f>
        <v>0</v>
      </c>
      <c r="E113" s="559"/>
      <c r="F113" s="466">
        <f>-SUMIF(Data!$A:$A,MID(F$1,2,1)&amp;"*-"&amp;LEFT($B113,4)&amp;"*",Data!$I:$I)</f>
        <v>0</v>
      </c>
      <c r="G113" s="466">
        <f>-ROUND(SUMIF(Data!$A:$A,MID(G$1,2,1)&amp;"*-"&amp;LEFT($B113,4)&amp;"*",Data!$I:$I),0)</f>
        <v>0</v>
      </c>
      <c r="H113" s="559"/>
      <c r="I113" s="468"/>
      <c r="J113" s="468"/>
      <c r="K113" s="468"/>
    </row>
    <row r="114" spans="1:11" ht="13.5" thickBot="1" x14ac:dyDescent="0.25">
      <c r="A114" s="1716" t="s">
        <v>839</v>
      </c>
      <c r="B114" s="1717" t="s">
        <v>590</v>
      </c>
      <c r="C114" s="1718">
        <f>SUM(C111:C113)</f>
        <v>0</v>
      </c>
      <c r="D114" s="1718">
        <f>SUM(D111:D113)</f>
        <v>0</v>
      </c>
      <c r="E114" s="559" t="s">
        <v>1231</v>
      </c>
      <c r="F114" s="1718">
        <f>SUM(F111:F113)</f>
        <v>0</v>
      </c>
      <c r="G114" s="1718">
        <f>SUM(G111:G113)</f>
        <v>0</v>
      </c>
      <c r="H114" s="559"/>
      <c r="I114" s="468"/>
      <c r="J114" s="468"/>
      <c r="K114" s="468"/>
    </row>
    <row r="115" spans="1:11" ht="16.7" customHeight="1" thickTop="1" x14ac:dyDescent="0.2">
      <c r="A115" s="1589" t="s">
        <v>836</v>
      </c>
      <c r="B115" s="1590"/>
      <c r="C115" s="1572"/>
      <c r="D115" s="1573"/>
      <c r="E115" s="1573"/>
      <c r="F115" s="1573"/>
      <c r="G115" s="1573"/>
      <c r="H115" s="1573"/>
      <c r="I115" s="1573"/>
      <c r="J115" s="1573"/>
      <c r="K115" s="1574"/>
    </row>
    <row r="116" spans="1:11" ht="18" customHeight="1" x14ac:dyDescent="0.2">
      <c r="A116" s="1597" t="s">
        <v>1571</v>
      </c>
      <c r="B116" s="1598"/>
      <c r="C116" s="522"/>
      <c r="D116" s="521"/>
      <c r="E116" s="559"/>
      <c r="F116" s="521"/>
      <c r="G116" s="521"/>
      <c r="H116" s="559"/>
      <c r="I116" s="468"/>
      <c r="J116" s="521"/>
      <c r="K116" s="521"/>
    </row>
    <row r="117" spans="1:11" ht="12.75" customHeight="1" x14ac:dyDescent="0.2">
      <c r="A117" s="463" t="s">
        <v>1766</v>
      </c>
      <c r="B117" s="560">
        <v>3001</v>
      </c>
      <c r="C117" s="466">
        <f>-ROUND(SUMIF(Data!$A:$A,MID(C$1,2,1)&amp;"*-"&amp;LEFT($B117,4)&amp;"*",Data!$I:$I),0)</f>
        <v>6213326</v>
      </c>
      <c r="D117" s="466">
        <f>-SUMIF(Data!$A:$A,MID(D$1,2,1)&amp;"*-"&amp;LEFT($B117,4)&amp;"*",Data!$I:$I)</f>
        <v>0</v>
      </c>
      <c r="E117" s="466">
        <f>-ROUND(SUMIF(Data!$A:$A,MID(E$1,2,1)&amp;"*-"&amp;LEFT($B117,4)&amp;"*",Data!$I:$I),0)</f>
        <v>0</v>
      </c>
      <c r="F117" s="466">
        <f>-SUMIF(Data!$A:$A,MID(F$1,2,1)&amp;"*-"&amp;LEFT($B117,4)&amp;"*",Data!$I:$I)</f>
        <v>0</v>
      </c>
      <c r="G117" s="466">
        <f>-ROUND(SUMIF(Data!$A:$A,MID(G$1,2,1)&amp;"*-"&amp;LEFT($B117,4)&amp;"*",Data!$I:$I),0)</f>
        <v>0</v>
      </c>
      <c r="H117" s="466">
        <f>-SUMIF(Data!$A:$A,MID(H$1,2,1)&amp;"*-"&amp;LEFT($B117,4)&amp;"*",Data!$I:$I)</f>
        <v>0</v>
      </c>
      <c r="I117" s="468"/>
      <c r="J117" s="466">
        <f>-SUMIF(Data!$A:$A,MID(J$1,2,1)&amp;"*-"&amp;LEFT($B117,4)&amp;"*",Data!$I:$I)</f>
        <v>0</v>
      </c>
      <c r="K117" s="466">
        <f>-SUMIF(Data!$A:$A,MID(K$1,2,1)&amp;"*-"&amp;LEFT($B117,4)&amp;"*",Data!$I:$I)</f>
        <v>0</v>
      </c>
    </row>
    <row r="118" spans="1:11" ht="12.75" customHeight="1" x14ac:dyDescent="0.2">
      <c r="A118" s="463" t="s">
        <v>1898</v>
      </c>
      <c r="B118" s="560">
        <v>3002</v>
      </c>
      <c r="C118" s="466">
        <f>-ROUND(SUMIF(Data!$A:$A,MID(C$1,2,1)&amp;"*-"&amp;LEFT($B118,4)&amp;"*",Data!$I:$I),0)</f>
        <v>0</v>
      </c>
      <c r="D118" s="466">
        <f>-SUMIF(Data!$A:$A,MID(D$1,2,1)&amp;"*-"&amp;LEFT($B118,4)&amp;"*",Data!$I:$I)</f>
        <v>0</v>
      </c>
      <c r="E118" s="466">
        <f>-ROUND(SUMIF(Data!$A:$A,MID(E$1,2,1)&amp;"*-"&amp;LEFT($B118,4)&amp;"*",Data!$I:$I),0)</f>
        <v>0</v>
      </c>
      <c r="F118" s="466">
        <f>-SUMIF(Data!$A:$A,MID(F$1,2,1)&amp;"*-"&amp;LEFT($B118,4)&amp;"*",Data!$I:$I)</f>
        <v>0</v>
      </c>
      <c r="G118" s="466">
        <f>-ROUND(SUMIF(Data!$A:$A,MID(G$1,2,1)&amp;"*-"&amp;LEFT($B118,4)&amp;"*",Data!$I:$I),0)</f>
        <v>0</v>
      </c>
      <c r="H118" s="466">
        <f>-SUMIF(Data!$A:$A,MID(H$1,2,1)&amp;"*-"&amp;LEFT($B118,4)&amp;"*",Data!$I:$I)</f>
        <v>0</v>
      </c>
      <c r="I118" s="468"/>
      <c r="J118" s="466">
        <f>-SUMIF(Data!$A:$A,MID(J$1,2,1)&amp;"*-"&amp;LEFT($B118,4)&amp;"*",Data!$I:$I)</f>
        <v>0</v>
      </c>
      <c r="K118" s="466">
        <f>-SUMIF(Data!$A:$A,MID(K$1,2,1)&amp;"*-"&amp;LEFT($B118,4)&amp;"*",Data!$I:$I)</f>
        <v>0</v>
      </c>
    </row>
    <row r="119" spans="1:11" ht="12.75" customHeight="1" x14ac:dyDescent="0.2">
      <c r="A119" s="463" t="s">
        <v>1899</v>
      </c>
      <c r="B119" s="560">
        <v>3005</v>
      </c>
      <c r="C119" s="466">
        <f>-ROUND(SUMIF(Data!$A:$A,MID(C$1,2,1)&amp;"*-"&amp;LEFT($B119,4)&amp;"*",Data!$I:$I),0)</f>
        <v>0</v>
      </c>
      <c r="D119" s="466">
        <f>-SUMIF(Data!$A:$A,MID(D$1,2,1)&amp;"*-"&amp;LEFT($B119,4)&amp;"*",Data!$I:$I)</f>
        <v>0</v>
      </c>
      <c r="E119" s="466">
        <f>-ROUND(SUMIF(Data!$A:$A,MID(E$1,2,1)&amp;"*-"&amp;LEFT($B119,4)&amp;"*",Data!$I:$I),0)</f>
        <v>0</v>
      </c>
      <c r="F119" s="466">
        <f>-SUMIF(Data!$A:$A,MID(F$1,2,1)&amp;"*-"&amp;LEFT($B119,4)&amp;"*",Data!$I:$I)</f>
        <v>0</v>
      </c>
      <c r="G119" s="466">
        <f>-ROUND(SUMIF(Data!$A:$A,MID(G$1,2,1)&amp;"*-"&amp;LEFT($B119,4)&amp;"*",Data!$I:$I),0)</f>
        <v>0</v>
      </c>
      <c r="H119" s="466">
        <f>-SUMIF(Data!$A:$A,MID(H$1,2,1)&amp;"*-"&amp;LEFT($B119,4)&amp;"*",Data!$I:$I)</f>
        <v>0</v>
      </c>
      <c r="I119" s="468"/>
      <c r="J119" s="466">
        <f>-SUMIF(Data!$A:$A,MID(J$1,2,1)&amp;"*-"&amp;LEFT($B119,4)&amp;"*",Data!$I:$I)</f>
        <v>0</v>
      </c>
      <c r="K119" s="466">
        <f>-SUMIF(Data!$A:$A,MID(K$1,2,1)&amp;"*-"&amp;LEFT($B119,4)&amp;"*",Data!$I:$I)</f>
        <v>0</v>
      </c>
    </row>
    <row r="120" spans="1:11" x14ac:dyDescent="0.2">
      <c r="A120" s="1498" t="s">
        <v>1900</v>
      </c>
      <c r="B120" s="562">
        <v>3099</v>
      </c>
      <c r="C120" s="466">
        <f>-ROUND(SUMIF(Data!$A:$A,MID(C$1,2,1)&amp;"*-"&amp;LEFT($B120,4)&amp;"*",Data!$I:$I),0)</f>
        <v>0</v>
      </c>
      <c r="D120" s="466">
        <f>-SUMIF(Data!$A:$A,MID(D$1,2,1)&amp;"*-"&amp;LEFT($B120,4)&amp;"*",Data!$I:$I)</f>
        <v>0</v>
      </c>
      <c r="E120" s="466">
        <f>-ROUND(SUMIF(Data!$A:$A,MID(E$1,2,1)&amp;"*-"&amp;LEFT($B120,4)&amp;"*",Data!$I:$I),0)</f>
        <v>0</v>
      </c>
      <c r="F120" s="466">
        <f>-SUMIF(Data!$A:$A,MID(F$1,2,1)&amp;"*-"&amp;LEFT($B120,4)&amp;"*",Data!$I:$I)</f>
        <v>0</v>
      </c>
      <c r="G120" s="466">
        <f>-ROUND(SUMIF(Data!$A:$A,MID(G$1,2,1)&amp;"*-"&amp;LEFT($B120,4)&amp;"*",Data!$I:$I),0)</f>
        <v>0</v>
      </c>
      <c r="H120" s="466">
        <f>-SUMIF(Data!$A:$A,MID(H$1,2,1)&amp;"*-"&amp;LEFT($B120,4)&amp;"*",Data!$I:$I)</f>
        <v>0</v>
      </c>
      <c r="I120" s="468"/>
      <c r="J120" s="466">
        <f>-SUMIF(Data!$A:$A,MID(J$1,2,1)&amp;"*-"&amp;LEFT($B120,4)&amp;"*",Data!$I:$I)</f>
        <v>0</v>
      </c>
      <c r="K120" s="466">
        <f>-SUMIF(Data!$A:$A,MID(K$1,2,1)&amp;"*-"&amp;LEFT($B120,4)&amp;"*",Data!$I:$I)</f>
        <v>0</v>
      </c>
    </row>
    <row r="121" spans="1:11" ht="12.6" customHeight="1" thickBot="1" x14ac:dyDescent="0.25">
      <c r="A121" s="1708" t="s">
        <v>509</v>
      </c>
      <c r="B121" s="1719"/>
      <c r="C121" s="1707">
        <f t="shared" ref="C121:H121" si="5">SUM(C117:C120)</f>
        <v>6213326</v>
      </c>
      <c r="D121" s="1707">
        <f t="shared" si="5"/>
        <v>0</v>
      </c>
      <c r="E121" s="1707">
        <f t="shared" si="5"/>
        <v>0</v>
      </c>
      <c r="F121" s="1707">
        <f t="shared" si="5"/>
        <v>0</v>
      </c>
      <c r="G121" s="1707">
        <f t="shared" si="5"/>
        <v>0</v>
      </c>
      <c r="H121" s="1707">
        <f t="shared" si="5"/>
        <v>0</v>
      </c>
      <c r="I121" s="468"/>
      <c r="J121" s="1707">
        <f>SUM(J117:J120)</f>
        <v>0</v>
      </c>
      <c r="K121" s="1688">
        <f>SUM(K117:K120)</f>
        <v>0</v>
      </c>
    </row>
    <row r="122" spans="1:11" ht="15.75" customHeight="1" thickTop="1" x14ac:dyDescent="0.2">
      <c r="A122" s="1594" t="s">
        <v>1570</v>
      </c>
      <c r="B122" s="1599"/>
      <c r="C122" s="563"/>
      <c r="D122" s="509"/>
      <c r="E122" s="468"/>
      <c r="F122" s="564"/>
      <c r="G122" s="468"/>
      <c r="H122" s="468"/>
      <c r="I122" s="468"/>
      <c r="J122" s="468"/>
      <c r="K122" s="468"/>
    </row>
    <row r="123" spans="1:11" ht="15" customHeight="1" x14ac:dyDescent="0.2">
      <c r="A123" s="1600" t="s">
        <v>688</v>
      </c>
      <c r="B123" s="1601"/>
      <c r="C123" s="521"/>
      <c r="D123" s="509"/>
      <c r="E123" s="468"/>
      <c r="F123" s="521"/>
      <c r="G123" s="468"/>
      <c r="H123" s="468"/>
      <c r="I123" s="468"/>
      <c r="J123" s="468"/>
      <c r="K123" s="468"/>
    </row>
    <row r="124" spans="1:11" ht="12.75" customHeight="1" x14ac:dyDescent="0.2">
      <c r="A124" s="463" t="s">
        <v>921</v>
      </c>
      <c r="B124" s="565">
        <v>3100</v>
      </c>
      <c r="C124" s="466">
        <f>-ROUND(SUMIF(Data!$A:$A,MID(C$1,2,1)&amp;"*-"&amp;LEFT($B124,4)&amp;"*",Data!$I:$I),0)</f>
        <v>204916</v>
      </c>
      <c r="D124" s="559"/>
      <c r="E124" s="468"/>
      <c r="F124" s="466">
        <f>-SUMIF(Data!$A:$A,MID(F$1,2,1)&amp;"*-"&amp;LEFT($B124,4)&amp;"*",Data!$I:$I)</f>
        <v>0</v>
      </c>
      <c r="G124" s="468"/>
      <c r="H124" s="468"/>
      <c r="I124" s="468"/>
      <c r="J124" s="468"/>
      <c r="K124" s="468"/>
    </row>
    <row r="125" spans="1:11" ht="12.75" customHeight="1" x14ac:dyDescent="0.2">
      <c r="A125" s="463" t="s">
        <v>1521</v>
      </c>
      <c r="B125" s="560">
        <v>3105</v>
      </c>
      <c r="C125" s="466">
        <f>-ROUND(SUMIF(Data!$A:$A,MID(C$1,2,1)&amp;"*-"&amp;LEFT($B125,4)&amp;"*",Data!$I:$I),0)</f>
        <v>136256</v>
      </c>
      <c r="D125" s="559"/>
      <c r="E125" s="468"/>
      <c r="F125" s="466">
        <f>-SUMIF(Data!$A:$A,MID(F$1,2,1)&amp;"*-"&amp;LEFT($B125,4)&amp;"*",Data!$I:$I)</f>
        <v>0</v>
      </c>
      <c r="G125" s="468"/>
      <c r="H125" s="468"/>
      <c r="I125" s="468"/>
      <c r="J125" s="468"/>
      <c r="K125" s="468"/>
    </row>
    <row r="126" spans="1:11" ht="12.75" customHeight="1" x14ac:dyDescent="0.2">
      <c r="A126" s="463" t="s">
        <v>922</v>
      </c>
      <c r="B126" s="560">
        <v>3110</v>
      </c>
      <c r="C126" s="466">
        <f>-ROUND(SUMIF(Data!$A:$A,MID(C$1,2,1)&amp;"*-"&amp;LEFT($B126,4)&amp;"*",Data!$I:$I),0)</f>
        <v>293358</v>
      </c>
      <c r="D126" s="466">
        <f>-SUMIF(Data!$A:$A,MID(D$1,2,1)&amp;"*-"&amp;LEFT($B126,4)&amp;"*",Data!$I:$I)</f>
        <v>0</v>
      </c>
      <c r="E126" s="468"/>
      <c r="F126" s="466">
        <f>-SUMIF(Data!$A:$A,MID(F$1,2,1)&amp;"*-"&amp;LEFT($B126,4)&amp;"*",Data!$I:$I)</f>
        <v>0</v>
      </c>
      <c r="G126" s="468"/>
      <c r="H126" s="468"/>
      <c r="I126" s="468"/>
      <c r="J126" s="468"/>
      <c r="K126" s="468"/>
    </row>
    <row r="127" spans="1:11" ht="12.75" customHeight="1" x14ac:dyDescent="0.2">
      <c r="A127" s="463" t="s">
        <v>107</v>
      </c>
      <c r="B127" s="560">
        <v>3120</v>
      </c>
      <c r="C127" s="466">
        <f>-ROUND(SUMIF(Data!$A:$A,MID(C$1,2,1)&amp;"*-"&amp;LEFT($B127,4)&amp;"*",Data!$I:$I),0)</f>
        <v>0</v>
      </c>
      <c r="D127" s="559"/>
      <c r="E127" s="468"/>
      <c r="F127" s="466">
        <f>-SUMIF(Data!$A:$A,MID(F$1,2,1)&amp;"*-"&amp;LEFT($B127,4)&amp;"*",Data!$I:$I)</f>
        <v>0</v>
      </c>
      <c r="G127" s="468"/>
      <c r="H127" s="468"/>
      <c r="I127" s="468"/>
      <c r="J127" s="468"/>
      <c r="K127" s="468"/>
    </row>
    <row r="128" spans="1:11" ht="12.75" customHeight="1" x14ac:dyDescent="0.2">
      <c r="A128" s="463" t="s">
        <v>1522</v>
      </c>
      <c r="B128" s="560">
        <v>3130</v>
      </c>
      <c r="C128" s="466">
        <f>-ROUND(SUMIF(Data!$A:$A,MID(C$1,2,1)&amp;"*-"&amp;LEFT($B128,4)&amp;"*",Data!$I:$I),0)</f>
        <v>0</v>
      </c>
      <c r="D128" s="559"/>
      <c r="E128" s="468"/>
      <c r="F128" s="466">
        <f>-SUMIF(Data!$A:$A,MID(F$1,2,1)&amp;"*-"&amp;LEFT($B128,4)&amp;"*",Data!$I:$I)</f>
        <v>0</v>
      </c>
      <c r="G128" s="468"/>
      <c r="H128" s="468"/>
      <c r="I128" s="468"/>
      <c r="J128" s="468"/>
      <c r="K128" s="468"/>
    </row>
    <row r="129" spans="1:11" ht="12.75" customHeight="1" x14ac:dyDescent="0.2">
      <c r="A129" s="463" t="s">
        <v>139</v>
      </c>
      <c r="B129" s="560">
        <v>3145</v>
      </c>
      <c r="C129" s="466">
        <f>-ROUND(SUMIF(Data!$A:$A,MID(C$1,2,1)&amp;"*-"&amp;LEFT($B129,4)&amp;"*",Data!$I:$I),0)</f>
        <v>1517</v>
      </c>
      <c r="D129" s="559"/>
      <c r="E129" s="468"/>
      <c r="F129" s="466">
        <f>-SUMIF(Data!$A:$A,MID(F$1,2,1)&amp;"*-"&amp;LEFT($B129,4)&amp;"*",Data!$I:$I)</f>
        <v>0</v>
      </c>
      <c r="G129" s="468"/>
      <c r="H129" s="468"/>
      <c r="I129" s="468"/>
      <c r="J129" s="468"/>
      <c r="K129" s="468"/>
    </row>
    <row r="130" spans="1:11" ht="12.75" customHeight="1" x14ac:dyDescent="0.2">
      <c r="A130" s="463" t="s">
        <v>68</v>
      </c>
      <c r="B130" s="560">
        <v>3199</v>
      </c>
      <c r="C130" s="466">
        <f>-ROUND(SUMIF(Data!$A:$A,MID(C$1,2,1)&amp;"*-"&amp;LEFT($B130,4)&amp;"*",Data!$I:$I),0)</f>
        <v>0</v>
      </c>
      <c r="D130" s="466">
        <f>-SUMIF(Data!$A:$A,MID(D$1,2,1)&amp;"*-"&amp;LEFT($B130,4)&amp;"*",Data!$I:$I)</f>
        <v>0</v>
      </c>
      <c r="E130" s="468"/>
      <c r="F130" s="466">
        <f>-SUMIF(Data!$A:$A,MID(F$1,2,1)&amp;"*-"&amp;LEFT($B130,4)&amp;"*",Data!$I:$I)</f>
        <v>0</v>
      </c>
      <c r="G130" s="468"/>
      <c r="H130" s="468"/>
      <c r="I130" s="468"/>
      <c r="J130" s="468"/>
      <c r="K130" s="468"/>
    </row>
    <row r="131" spans="1:11" ht="12.75" customHeight="1" thickBot="1" x14ac:dyDescent="0.25">
      <c r="A131" s="1708" t="s">
        <v>1092</v>
      </c>
      <c r="B131" s="1720"/>
      <c r="C131" s="1707">
        <f>SUM(C124:C130)</f>
        <v>636047</v>
      </c>
      <c r="D131" s="1707">
        <f>SUM(D124:D130)</f>
        <v>0</v>
      </c>
      <c r="E131" s="469" t="s">
        <v>1231</v>
      </c>
      <c r="F131" s="1707">
        <f>SUM(F124:F130)</f>
        <v>0</v>
      </c>
      <c r="G131" s="468" t="s">
        <v>1231</v>
      </c>
      <c r="H131" s="468" t="s">
        <v>1231</v>
      </c>
      <c r="I131" s="468" t="s">
        <v>1231</v>
      </c>
      <c r="J131" s="468" t="s">
        <v>1231</v>
      </c>
      <c r="K131" s="468" t="s">
        <v>1231</v>
      </c>
    </row>
    <row r="132" spans="1:11" ht="15.75" customHeight="1" thickTop="1" x14ac:dyDescent="0.2">
      <c r="A132" s="1602" t="s">
        <v>268</v>
      </c>
      <c r="B132" s="1603"/>
      <c r="C132" s="552"/>
      <c r="D132" s="552"/>
      <c r="E132" s="509"/>
      <c r="F132" s="552"/>
      <c r="G132" s="468"/>
      <c r="H132" s="468"/>
      <c r="I132" s="468"/>
      <c r="J132" s="468"/>
      <c r="K132" s="468"/>
    </row>
    <row r="133" spans="1:11" x14ac:dyDescent="0.2">
      <c r="A133" s="463" t="s">
        <v>620</v>
      </c>
      <c r="B133" s="560">
        <v>3200</v>
      </c>
      <c r="C133" s="466">
        <f>-ROUND(SUMIF(Data!$A:$A,MID(C$1,2,1)&amp;"*-"&amp;LEFT($B133,4)&amp;"*",Data!$I:$I),0)</f>
        <v>0</v>
      </c>
      <c r="D133" s="466">
        <f>-SUMIF(Data!$A:$A,MID(D$1,2,1)&amp;"*-"&amp;LEFT($B133,4)&amp;"*",Data!$I:$I)</f>
        <v>0</v>
      </c>
      <c r="E133" s="559"/>
      <c r="F133" s="468"/>
      <c r="G133" s="466">
        <f>-ROUND(SUMIF(Data!$A:$A,MID(G$1,2,1)&amp;"*-"&amp;LEFT($B133,4)&amp;"*",Data!$I:$I),0)</f>
        <v>0</v>
      </c>
      <c r="H133" s="468"/>
      <c r="I133" s="468"/>
      <c r="J133" s="468"/>
      <c r="K133" s="468"/>
    </row>
    <row r="134" spans="1:11" ht="12.75" customHeight="1" x14ac:dyDescent="0.2">
      <c r="A134" s="463" t="s">
        <v>690</v>
      </c>
      <c r="B134" s="560">
        <v>3220</v>
      </c>
      <c r="C134" s="466">
        <f>-ROUND(SUMIF(Data!$A:$A,MID(C$1,2,1)&amp;"*-"&amp;LEFT($B134,4)&amp;"*",Data!$I:$I),0)</f>
        <v>0</v>
      </c>
      <c r="D134" s="466">
        <f>-SUMIF(Data!$A:$A,MID(D$1,2,1)&amp;"*-"&amp;LEFT($B134,4)&amp;"*",Data!$I:$I)</f>
        <v>0</v>
      </c>
      <c r="E134" s="559"/>
      <c r="F134" s="468"/>
      <c r="G134" s="466">
        <f>-ROUND(SUMIF(Data!$A:$A,MID(G$1,2,1)&amp;"*-"&amp;LEFT($B134,4)&amp;"*",Data!$I:$I),0)</f>
        <v>0</v>
      </c>
      <c r="H134" s="468"/>
      <c r="I134" s="468"/>
      <c r="J134" s="468"/>
      <c r="K134" s="468"/>
    </row>
    <row r="135" spans="1:11" ht="12.75" customHeight="1" x14ac:dyDescent="0.2">
      <c r="A135" s="463" t="s">
        <v>267</v>
      </c>
      <c r="B135" s="560">
        <v>3225</v>
      </c>
      <c r="C135" s="466">
        <f>-ROUND(SUMIF(Data!$A:$A,MID(C$1,2,1)&amp;"*-"&amp;LEFT($B135,4)&amp;"*",Data!$I:$I),0)</f>
        <v>0</v>
      </c>
      <c r="D135" s="466">
        <f>-SUMIF(Data!$A:$A,MID(D$1,2,1)&amp;"*-"&amp;LEFT($B135,4)&amp;"*",Data!$I:$I)</f>
        <v>0</v>
      </c>
      <c r="E135" s="559"/>
      <c r="F135" s="468"/>
      <c r="G135" s="466">
        <f>-ROUND(SUMIF(Data!$A:$A,MID(G$1,2,1)&amp;"*-"&amp;LEFT($B135,4)&amp;"*",Data!$I:$I),0)</f>
        <v>0</v>
      </c>
      <c r="H135" s="468"/>
      <c r="I135" s="468"/>
      <c r="J135" s="468"/>
      <c r="K135" s="468"/>
    </row>
    <row r="136" spans="1:11" ht="12.75" customHeight="1" x14ac:dyDescent="0.2">
      <c r="A136" s="463" t="s">
        <v>621</v>
      </c>
      <c r="B136" s="560">
        <v>3235</v>
      </c>
      <c r="C136" s="466">
        <f>-ROUND(SUMIF(Data!$A:$A,MID(C$1,2,1)&amp;"*-"&amp;LEFT($B136,4)&amp;"*",Data!$I:$I),0)</f>
        <v>0</v>
      </c>
      <c r="D136" s="466">
        <f>-SUMIF(Data!$A:$A,MID(D$1,2,1)&amp;"*-"&amp;LEFT($B136,4)&amp;"*",Data!$I:$I)</f>
        <v>0</v>
      </c>
      <c r="E136" s="559"/>
      <c r="F136" s="468"/>
      <c r="G136" s="466">
        <f>-ROUND(SUMIF(Data!$A:$A,MID(G$1,2,1)&amp;"*-"&amp;LEFT($B136,4)&amp;"*",Data!$I:$I),0)</f>
        <v>0</v>
      </c>
      <c r="H136" s="468"/>
      <c r="I136" s="468"/>
      <c r="J136" s="468"/>
      <c r="K136" s="468"/>
    </row>
    <row r="137" spans="1:11" ht="12.75" customHeight="1" x14ac:dyDescent="0.2">
      <c r="A137" s="463" t="s">
        <v>622</v>
      </c>
      <c r="B137" s="560">
        <v>3240</v>
      </c>
      <c r="C137" s="466">
        <f>-ROUND(SUMIF(Data!$A:$A,MID(C$1,2,1)&amp;"*-"&amp;LEFT($B137,4)&amp;"*",Data!$I:$I),0)</f>
        <v>0</v>
      </c>
      <c r="D137" s="466">
        <f>-SUMIF(Data!$A:$A,MID(D$1,2,1)&amp;"*-"&amp;LEFT($B137,4)&amp;"*",Data!$I:$I)</f>
        <v>0</v>
      </c>
      <c r="E137" s="559"/>
      <c r="F137" s="468"/>
      <c r="G137" s="466">
        <f>-ROUND(SUMIF(Data!$A:$A,MID(G$1,2,1)&amp;"*-"&amp;LEFT($B137,4)&amp;"*",Data!$I:$I),0)</f>
        <v>0</v>
      </c>
      <c r="H137" s="468"/>
      <c r="I137" s="468"/>
      <c r="J137" s="468"/>
      <c r="K137" s="468"/>
    </row>
    <row r="138" spans="1:11" ht="12.75" customHeight="1" x14ac:dyDescent="0.2">
      <c r="A138" s="463" t="s">
        <v>623</v>
      </c>
      <c r="B138" s="560">
        <v>3270</v>
      </c>
      <c r="C138" s="466">
        <f>-ROUND(SUMIF(Data!$A:$A,MID(C$1,2,1)&amp;"*-"&amp;LEFT($B138,4)&amp;"*",Data!$I:$I),0)</f>
        <v>0</v>
      </c>
      <c r="D138" s="466">
        <f>-SUMIF(Data!$A:$A,MID(D$1,2,1)&amp;"*-"&amp;LEFT($B138,4)&amp;"*",Data!$I:$I)</f>
        <v>0</v>
      </c>
      <c r="E138" s="559"/>
      <c r="F138" s="468"/>
      <c r="G138" s="466">
        <f>-ROUND(SUMIF(Data!$A:$A,MID(G$1,2,1)&amp;"*-"&amp;LEFT($B138,4)&amp;"*",Data!$I:$I),0)</f>
        <v>0</v>
      </c>
      <c r="H138" s="468"/>
      <c r="I138" s="468"/>
      <c r="J138" s="468"/>
      <c r="K138" s="468"/>
    </row>
    <row r="139" spans="1:11" ht="12.75" customHeight="1" x14ac:dyDescent="0.2">
      <c r="A139" s="463" t="s">
        <v>69</v>
      </c>
      <c r="B139" s="560">
        <v>3299</v>
      </c>
      <c r="C139" s="466">
        <f>-ROUND(SUMIF(Data!$A:$A,MID(C$1,2,1)&amp;"*-"&amp;LEFT($B139,4)&amp;"*",Data!$I:$I),0)</f>
        <v>0</v>
      </c>
      <c r="D139" s="466">
        <f>-SUMIF(Data!$A:$A,MID(D$1,2,1)&amp;"*-"&amp;LEFT($B139,4)&amp;"*",Data!$I:$I)</f>
        <v>0</v>
      </c>
      <c r="E139" s="559"/>
      <c r="F139" s="477"/>
      <c r="G139" s="466">
        <f>-ROUND(SUMIF(Data!$A:$A,MID(G$1,2,1)&amp;"*-"&amp;LEFT($B139,4)&amp;"*",Data!$I:$I),0)</f>
        <v>0</v>
      </c>
      <c r="H139" s="468"/>
      <c r="I139" s="468"/>
      <c r="J139" s="468"/>
      <c r="K139" s="468"/>
    </row>
    <row r="140" spans="1:11" ht="12.75" customHeight="1" thickBot="1" x14ac:dyDescent="0.25">
      <c r="A140" s="1708" t="s">
        <v>624</v>
      </c>
      <c r="B140" s="1720"/>
      <c r="C140" s="1707">
        <f>SUM(C133:C139)</f>
        <v>0</v>
      </c>
      <c r="D140" s="1707">
        <f>SUM(D133:D139)</f>
        <v>0</v>
      </c>
      <c r="E140" s="559" t="s">
        <v>1231</v>
      </c>
      <c r="F140" s="477"/>
      <c r="G140" s="1707">
        <f>SUM(G133:G139)</f>
        <v>0</v>
      </c>
      <c r="H140" s="468" t="s">
        <v>1231</v>
      </c>
      <c r="I140" s="468" t="s">
        <v>1231</v>
      </c>
      <c r="J140" s="468" t="s">
        <v>1231</v>
      </c>
      <c r="K140" s="468" t="s">
        <v>1231</v>
      </c>
    </row>
    <row r="141" spans="1:11" ht="15.75" customHeight="1" thickTop="1" x14ac:dyDescent="0.2">
      <c r="A141" s="1602" t="s">
        <v>691</v>
      </c>
      <c r="B141" s="1603"/>
      <c r="C141" s="552"/>
      <c r="D141" s="564"/>
      <c r="E141" s="559"/>
      <c r="F141" s="552"/>
      <c r="G141" s="552"/>
      <c r="H141" s="468"/>
      <c r="I141" s="468"/>
      <c r="J141" s="468"/>
      <c r="K141" s="468"/>
    </row>
    <row r="142" spans="1:11" ht="12.75" customHeight="1" x14ac:dyDescent="0.2">
      <c r="A142" s="463" t="s">
        <v>625</v>
      </c>
      <c r="B142" s="560">
        <v>3305</v>
      </c>
      <c r="C142" s="466">
        <f>-ROUND(SUMIF(Data!$A:$A,MID(C$1,2,1)&amp;"*-"&amp;LEFT($B142,4)&amp;"*",Data!$I:$I),0)</f>
        <v>0</v>
      </c>
      <c r="D142" s="468"/>
      <c r="E142" s="559"/>
      <c r="F142" s="468"/>
      <c r="G142" s="466">
        <f>-ROUND(SUMIF(Data!$A:$A,MID(G$1,2,1)&amp;"*-"&amp;LEFT($B142,4)&amp;"*",Data!$I:$I),0)</f>
        <v>0</v>
      </c>
      <c r="H142" s="468"/>
      <c r="I142" s="468"/>
      <c r="J142" s="468"/>
      <c r="K142" s="468"/>
    </row>
    <row r="143" spans="1:11" ht="12.75" customHeight="1" x14ac:dyDescent="0.2">
      <c r="A143" s="463" t="s">
        <v>365</v>
      </c>
      <c r="B143" s="560">
        <v>3310</v>
      </c>
      <c r="C143" s="466">
        <f>-ROUND(SUMIF(Data!$A:$A,MID(C$1,2,1)&amp;"*-"&amp;LEFT($B143,4)&amp;"*",Data!$I:$I),0)</f>
        <v>0</v>
      </c>
      <c r="D143" s="468"/>
      <c r="E143" s="559"/>
      <c r="F143" s="468"/>
      <c r="G143" s="466">
        <f>-ROUND(SUMIF(Data!$A:$A,MID(G$1,2,1)&amp;"*-"&amp;LEFT($B143,4)&amp;"*",Data!$I:$I),0)</f>
        <v>0</v>
      </c>
      <c r="H143" s="468"/>
      <c r="I143" s="468"/>
      <c r="J143" s="468"/>
      <c r="K143" s="468"/>
    </row>
    <row r="144" spans="1:11" s="202" customFormat="1" ht="13.5" thickBot="1" x14ac:dyDescent="0.25">
      <c r="A144" s="1708" t="s">
        <v>414</v>
      </c>
      <c r="B144" s="1720"/>
      <c r="C144" s="1688">
        <f>SUM(C142:C143)</f>
        <v>0</v>
      </c>
      <c r="D144" s="468"/>
      <c r="E144" s="509"/>
      <c r="F144" s="468"/>
      <c r="G144" s="1721">
        <f>SUM(G142:G143)</f>
        <v>0</v>
      </c>
      <c r="H144" s="468"/>
      <c r="I144" s="468"/>
      <c r="J144" s="468"/>
      <c r="K144" s="468"/>
    </row>
    <row r="145" spans="1:11" s="202" customFormat="1" ht="12.75" customHeight="1" thickTop="1" x14ac:dyDescent="0.2">
      <c r="A145" s="1500" t="s">
        <v>1116</v>
      </c>
      <c r="B145" s="566">
        <v>3360</v>
      </c>
      <c r="C145" s="466">
        <f>-ROUND(SUMIF(Data!$A:$A,MID(C$1,2,1)&amp;"*-"&amp;LEFT($B145,4)&amp;"*",Data!$I:$I),0)</f>
        <v>7143</v>
      </c>
      <c r="D145" s="567"/>
      <c r="E145" s="509"/>
      <c r="F145" s="468"/>
      <c r="G145" s="568"/>
      <c r="H145" s="468"/>
      <c r="I145" s="468"/>
      <c r="J145" s="468"/>
      <c r="K145" s="468"/>
    </row>
    <row r="146" spans="1:11" ht="12.75" customHeight="1" thickBot="1" x14ac:dyDescent="0.25">
      <c r="A146" s="1501" t="s">
        <v>979</v>
      </c>
      <c r="B146" s="569">
        <v>3365</v>
      </c>
      <c r="C146" s="466">
        <f>-ROUND(SUMIF(Data!$A:$A,MID(C$1,2,1)&amp;"*-"&amp;LEFT($B146,4)&amp;"*",Data!$I:$I),0)</f>
        <v>0</v>
      </c>
      <c r="D146" s="466">
        <f>-SUMIF(Data!$A:$A,MID(D$1,2,1)&amp;"*-"&amp;LEFT($B146,4)&amp;"*",Data!$I:$I)</f>
        <v>0</v>
      </c>
      <c r="E146" s="559"/>
      <c r="F146" s="468"/>
      <c r="G146" s="466">
        <f>-ROUND(SUMIF(Data!$A:$A,MID(G$1,2,1)&amp;"*-"&amp;LEFT($B146,4)&amp;"*",Data!$I:$I),0)</f>
        <v>0</v>
      </c>
      <c r="H146" s="468"/>
      <c r="I146" s="468"/>
      <c r="J146" s="468"/>
      <c r="K146" s="468"/>
    </row>
    <row r="147" spans="1:11" ht="12.75" customHeight="1" thickTop="1" thickBot="1" x14ac:dyDescent="0.25">
      <c r="A147" s="1502" t="s">
        <v>140</v>
      </c>
      <c r="B147" s="570">
        <v>3370</v>
      </c>
      <c r="C147" s="466">
        <f>-ROUND(SUMIF(Data!$A:$A,MID(C$1,2,1)&amp;"*-"&amp;LEFT($B147,4)&amp;"*",Data!$I:$I),0)</f>
        <v>0</v>
      </c>
      <c r="D147" s="466">
        <f>-SUMIF(Data!$A:$A,MID(D$1,2,1)&amp;"*-"&amp;LEFT($B147,4)&amp;"*",Data!$I:$I)</f>
        <v>0</v>
      </c>
      <c r="E147" s="509"/>
      <c r="F147" s="468"/>
      <c r="G147" s="468"/>
      <c r="H147" s="468"/>
      <c r="I147" s="468"/>
      <c r="J147" s="468"/>
      <c r="K147" s="468"/>
    </row>
    <row r="148" spans="1:11" ht="12.75" customHeight="1" thickTop="1" thickBot="1" x14ac:dyDescent="0.25">
      <c r="A148" s="1502" t="s">
        <v>791</v>
      </c>
      <c r="B148" s="570">
        <v>3410</v>
      </c>
      <c r="C148" s="466">
        <f>-ROUND(SUMIF(Data!$A:$A,MID(C$1,2,1)&amp;"*-"&amp;LEFT($B148,4)&amp;"*",Data!$I:$I),0)</f>
        <v>0</v>
      </c>
      <c r="D148" s="466">
        <f>-SUMIF(Data!$A:$A,MID(D$1,2,1)&amp;"*-"&amp;LEFT($B148,4)&amp;"*",Data!$I:$I)</f>
        <v>0</v>
      </c>
      <c r="E148" s="466">
        <f>-ROUND(SUMIF(Data!$A:$A,MID(E$1,2,1)&amp;"*-"&amp;LEFT($B148,4)&amp;"*",Data!$I:$I),0)</f>
        <v>0</v>
      </c>
      <c r="F148" s="466">
        <f>-SUMIF(Data!$A:$A,MID(F$1,2,1)&amp;"*-"&amp;LEFT($B148,4)&amp;"*",Data!$I:$I)</f>
        <v>0</v>
      </c>
      <c r="G148" s="466">
        <f>-ROUND(SUMIF(Data!$A:$A,MID(G$1,2,1)&amp;"*-"&amp;LEFT($B148,4)&amp;"*",Data!$I:$I),0)</f>
        <v>0</v>
      </c>
      <c r="H148" s="466">
        <f>-SUMIF(Data!$A:$A,MID(H$1,2,1)&amp;"*-"&amp;LEFT($B148,4)&amp;"*",Data!$I:$I)</f>
        <v>0</v>
      </c>
      <c r="I148" s="466">
        <f>-SUMIF(Data!$A:$A,MID(I$1,2,1)&amp;"*-"&amp;LEFT($B148,4)&amp;"*",Data!$I:$I)</f>
        <v>0</v>
      </c>
      <c r="J148" s="466">
        <f>-SUMIF(Data!$A:$A,MID(J$1,2,1)&amp;"*-"&amp;LEFT($B148,4)&amp;"*",Data!$I:$I)</f>
        <v>0</v>
      </c>
      <c r="K148" s="466">
        <f>-SUMIF(Data!$A:$A,MID(K$1,2,1)&amp;"*-"&amp;LEFT($B148,4)&amp;"*",Data!$I:$I)</f>
        <v>0</v>
      </c>
    </row>
    <row r="149" spans="1:11" ht="12.75" customHeight="1" thickTop="1" thickBot="1" x14ac:dyDescent="0.25">
      <c r="A149" s="1502" t="s">
        <v>70</v>
      </c>
      <c r="B149" s="570">
        <v>3499</v>
      </c>
      <c r="C149" s="466">
        <f>-ROUND(SUMIF(Data!$A:$A,MID(C$1,2,1)&amp;"*-"&amp;LEFT($B149,4)&amp;"*",Data!$I:$I),0)</f>
        <v>0</v>
      </c>
      <c r="D149" s="466">
        <f>-SUMIF(Data!$A:$A,MID(D$1,2,1)&amp;"*-"&amp;LEFT($B149,4)&amp;"*",Data!$I:$I)</f>
        <v>0</v>
      </c>
      <c r="E149" s="466">
        <f>-ROUND(SUMIF(Data!$A:$A,MID(E$1,2,1)&amp;"*-"&amp;LEFT($B149,4)&amp;"*",Data!$I:$I),0)</f>
        <v>0</v>
      </c>
      <c r="F149" s="466">
        <f>-SUMIF(Data!$A:$A,MID(F$1,2,1)&amp;"*-"&amp;LEFT($B149,4)&amp;"*",Data!$I:$I)</f>
        <v>0</v>
      </c>
      <c r="G149" s="466">
        <f>-ROUND(SUMIF(Data!$A:$A,MID(G$1,2,1)&amp;"*-"&amp;LEFT($B149,4)&amp;"*",Data!$I:$I),0)</f>
        <v>0</v>
      </c>
      <c r="H149" s="466">
        <f>-SUMIF(Data!$A:$A,MID(H$1,2,1)&amp;"*-"&amp;LEFT($B149,4)&amp;"*",Data!$I:$I)</f>
        <v>0</v>
      </c>
      <c r="I149" s="466">
        <f>-SUMIF(Data!$A:$A,MID(I$1,2,1)&amp;"*-"&amp;LEFT($B149,4)&amp;"*",Data!$I:$I)</f>
        <v>0</v>
      </c>
      <c r="J149" s="466">
        <f>-SUMIF(Data!$A:$A,MID(J$1,2,1)&amp;"*-"&amp;LEFT($B149,4)&amp;"*",Data!$I:$I)</f>
        <v>0</v>
      </c>
      <c r="K149" s="466">
        <f>-SUMIF(Data!$A:$A,MID(K$1,2,1)&amp;"*-"&amp;LEFT($B149,4)&amp;"*",Data!$I:$I)</f>
        <v>0</v>
      </c>
    </row>
    <row r="150" spans="1:11" ht="15.75" customHeight="1" thickTop="1" x14ac:dyDescent="0.2">
      <c r="A150" s="1602" t="s">
        <v>473</v>
      </c>
      <c r="B150" s="1604"/>
      <c r="C150" s="552"/>
      <c r="D150" s="468"/>
      <c r="E150" s="559"/>
      <c r="F150" s="468"/>
      <c r="G150" s="468"/>
      <c r="H150" s="468"/>
      <c r="I150" s="468"/>
      <c r="J150" s="468"/>
      <c r="K150" s="468"/>
    </row>
    <row r="151" spans="1:11" ht="12.75" customHeight="1" x14ac:dyDescent="0.2">
      <c r="A151" s="463" t="s">
        <v>1523</v>
      </c>
      <c r="B151" s="560">
        <v>3500</v>
      </c>
      <c r="C151" s="466">
        <f>-ROUND(SUMIF(Data!$A:$A,MID(C$1,2,1)&amp;"*-"&amp;LEFT($B151,4)&amp;"*",Data!$I:$I),0)</f>
        <v>0</v>
      </c>
      <c r="D151" s="466">
        <f>-SUMIF(Data!$A:$A,MID(D$1,2,1)&amp;"*-"&amp;LEFT($B151,4)&amp;"*",Data!$I:$I)</f>
        <v>0</v>
      </c>
      <c r="E151" s="559"/>
      <c r="F151" s="466">
        <f>-ROUND(SUMIF(Data!$A:$A,MID(F$1,2,1)&amp;"*-"&amp;LEFT($B151,4)&amp;"*",Data!$I:$I),0)</f>
        <v>140450</v>
      </c>
      <c r="G151" s="466">
        <f>-ROUND(SUMIF(Data!$A:$A,MID(G$1,2,1)&amp;"*-"&amp;LEFT($B151,4)&amp;"*",Data!$I:$I),0)</f>
        <v>0</v>
      </c>
      <c r="H151" s="468"/>
      <c r="I151" s="468"/>
      <c r="J151" s="468"/>
      <c r="K151" s="468"/>
    </row>
    <row r="152" spans="1:11" ht="12.75" customHeight="1" x14ac:dyDescent="0.2">
      <c r="A152" s="463" t="s">
        <v>1117</v>
      </c>
      <c r="B152" s="560">
        <v>3510</v>
      </c>
      <c r="C152" s="466">
        <f>-ROUND(SUMIF(Data!$A:$A,MID(C$1,2,1)&amp;"*-"&amp;LEFT($B152,4)&amp;"*",Data!$I:$I),0)</f>
        <v>0</v>
      </c>
      <c r="D152" s="466">
        <f>-SUMIF(Data!$A:$A,MID(D$1,2,1)&amp;"*-"&amp;LEFT($B152,4)&amp;"*",Data!$I:$I)</f>
        <v>0</v>
      </c>
      <c r="E152" s="559"/>
      <c r="F152" s="466">
        <f>-ROUND(SUMIF(Data!$A:$A,MID(F$1,2,1)&amp;"*-"&amp;LEFT($B152,4)&amp;"*",Data!$I:$I),0)</f>
        <v>117892</v>
      </c>
      <c r="G152" s="466">
        <f>-ROUND(SUMIF(Data!$A:$A,MID(G$1,2,1)&amp;"*-"&amp;LEFT($B152,4)&amp;"*",Data!$I:$I),0)</f>
        <v>0</v>
      </c>
      <c r="H152" s="468"/>
      <c r="I152" s="468"/>
      <c r="J152" s="468"/>
      <c r="K152" s="468"/>
    </row>
    <row r="153" spans="1:11" ht="12.75" customHeight="1" x14ac:dyDescent="0.2">
      <c r="A153" s="463" t="s">
        <v>71</v>
      </c>
      <c r="B153" s="560">
        <v>3599</v>
      </c>
      <c r="C153" s="466">
        <f>-ROUND(SUMIF(Data!$A:$A,MID(C$1,2,1)&amp;"*-"&amp;LEFT($B153,4)&amp;"*",Data!$I:$I),0)</f>
        <v>0</v>
      </c>
      <c r="D153" s="466">
        <f>-SUMIF(Data!$A:$A,MID(D$1,2,1)&amp;"*-"&amp;LEFT($B153,4)&amp;"*",Data!$I:$I)</f>
        <v>0</v>
      </c>
      <c r="E153" s="559"/>
      <c r="F153" s="466">
        <f>-SUMIF(Data!$A:$A,MID(F$1,2,1)&amp;"*-"&amp;LEFT($B153,4)&amp;"*",Data!$I:$I)</f>
        <v>0</v>
      </c>
      <c r="G153" s="466">
        <f>-ROUND(SUMIF(Data!$A:$A,MID(G$1,2,1)&amp;"*-"&amp;LEFT($B153,4)&amp;"*",Data!$I:$I),0)</f>
        <v>0</v>
      </c>
      <c r="H153" s="468"/>
      <c r="I153" s="468"/>
      <c r="J153" s="468"/>
      <c r="K153" s="468"/>
    </row>
    <row r="154" spans="1:11" ht="12.75" customHeight="1" thickBot="1" x14ac:dyDescent="0.25">
      <c r="A154" s="1708" t="s">
        <v>96</v>
      </c>
      <c r="B154" s="1720"/>
      <c r="C154" s="1707">
        <f>SUM(C151:C153)</f>
        <v>0</v>
      </c>
      <c r="D154" s="1707">
        <f>SUM(D151:D153)</f>
        <v>0</v>
      </c>
      <c r="E154" s="559"/>
      <c r="F154" s="1707">
        <f>SUM(F151:F153)</f>
        <v>258342</v>
      </c>
      <c r="G154" s="1707">
        <f>SUM(G151:G153)</f>
        <v>0</v>
      </c>
      <c r="H154" s="468"/>
      <c r="I154" s="468"/>
      <c r="J154" s="468"/>
      <c r="K154" s="468"/>
    </row>
    <row r="155" spans="1:11" ht="12.75" customHeight="1" thickTop="1" thickBot="1" x14ac:dyDescent="0.25">
      <c r="A155" s="1502" t="s">
        <v>398</v>
      </c>
      <c r="B155" s="570">
        <v>3610</v>
      </c>
      <c r="C155" s="466">
        <f>-ROUND(SUMIF(Data!$A:$A,MID(C$1,2,1)&amp;"*-"&amp;LEFT($B155,4)&amp;"*",Data!$I:$I),0)</f>
        <v>0</v>
      </c>
      <c r="D155" s="468"/>
      <c r="E155" s="509"/>
      <c r="F155" s="468"/>
      <c r="G155" s="468"/>
      <c r="H155" s="468"/>
      <c r="I155" s="468"/>
      <c r="J155" s="468"/>
      <c r="K155" s="468"/>
    </row>
    <row r="156" spans="1:11" ht="12.75" customHeight="1" thickTop="1" thickBot="1" x14ac:dyDescent="0.25">
      <c r="A156" s="1502" t="s">
        <v>52</v>
      </c>
      <c r="B156" s="570">
        <v>3660</v>
      </c>
      <c r="C156" s="466">
        <f>-ROUND(SUMIF(Data!$A:$A,MID(C$1,2,1)&amp;"*-"&amp;LEFT($B156,4)&amp;"*",Data!$I:$I),0)</f>
        <v>0</v>
      </c>
      <c r="D156" s="466">
        <f>-SUMIF(Data!$A:$A,MID(D$1,2,1)&amp;"*-"&amp;LEFT($B156,4)&amp;"*",Data!$I:$I)</f>
        <v>0</v>
      </c>
      <c r="E156" s="559"/>
      <c r="F156" s="466">
        <f>-SUMIF(Data!$A:$A,MID(F$1,2,1)&amp;"*-"&amp;LEFT($B156,4)&amp;"*",Data!$I:$I)</f>
        <v>0</v>
      </c>
      <c r="G156" s="466">
        <f>-ROUND(SUMIF(Data!$A:$A,MID(G$1,2,1)&amp;"*-"&amp;LEFT($B156,4)&amp;"*",Data!$I:$I),0)</f>
        <v>0</v>
      </c>
      <c r="H156" s="468"/>
      <c r="I156" s="468"/>
      <c r="J156" s="468"/>
      <c r="K156" s="468"/>
    </row>
    <row r="157" spans="1:11" ht="12.75" customHeight="1" thickTop="1" thickBot="1" x14ac:dyDescent="0.25">
      <c r="A157" s="1502" t="s">
        <v>1057</v>
      </c>
      <c r="B157" s="570">
        <v>3695</v>
      </c>
      <c r="C157" s="466">
        <f>-ROUND(SUMIF(Data!$A:$A,MID(C$1,2,1)&amp;"*-"&amp;LEFT($B157,4)&amp;"*",Data!$I:$I),0)</f>
        <v>0</v>
      </c>
      <c r="D157" s="468"/>
      <c r="E157" s="559"/>
      <c r="F157" s="466">
        <f>-SUMIF(Data!$A:$A,MID(F$1,2,1)&amp;"*-"&amp;LEFT($B157,4)&amp;"*",Data!$I:$I)</f>
        <v>0</v>
      </c>
      <c r="G157" s="466">
        <f>-ROUND(SUMIF(Data!$A:$A,MID(G$1,2,1)&amp;"*-"&amp;LEFT($B157,4)&amp;"*",Data!$I:$I),0)</f>
        <v>0</v>
      </c>
      <c r="H157" s="468"/>
      <c r="I157" s="468"/>
      <c r="J157" s="468"/>
      <c r="K157" s="468"/>
    </row>
    <row r="158" spans="1:11" ht="12.75" customHeight="1" thickTop="1" thickBot="1" x14ac:dyDescent="0.25">
      <c r="A158" s="1502" t="s">
        <v>1111</v>
      </c>
      <c r="B158" s="570">
        <v>3705</v>
      </c>
      <c r="C158" s="466">
        <f>-ROUND(SUMIF(Data!$A:$A,MID(C$1,2,1)&amp;"*-"&amp;LEFT($B158,4)&amp;"*",Data!$I:$I),0)</f>
        <v>740879</v>
      </c>
      <c r="D158" s="466">
        <f>-SUMIF(Data!$A:$A,MID(D$1,2,1)&amp;"*-"&amp;LEFT($B158,4)&amp;"*",Data!$I:$I)</f>
        <v>0</v>
      </c>
      <c r="E158" s="559"/>
      <c r="F158" s="466">
        <f>-SUMIF(Data!$A:$A,MID(F$1,2,1)&amp;"*-"&amp;LEFT($B158,4)&amp;"*",Data!$I:$I)</f>
        <v>0</v>
      </c>
      <c r="G158" s="466">
        <f>-ROUND(SUMIF(Data!$A:$A,MID(G$1,2,1)&amp;"*-"&amp;LEFT($B158,4)&amp;"*",Data!$I:$I),0)</f>
        <v>0</v>
      </c>
      <c r="H158" s="468"/>
      <c r="I158" s="468"/>
      <c r="J158" s="468"/>
      <c r="K158" s="468"/>
    </row>
    <row r="159" spans="1:11" ht="12.75" customHeight="1" thickTop="1" thickBot="1" x14ac:dyDescent="0.25">
      <c r="A159" s="1502" t="s">
        <v>39</v>
      </c>
      <c r="B159" s="570">
        <v>3715</v>
      </c>
      <c r="C159" s="466">
        <f>-ROUND(SUMIF(Data!$A:$A,MID(C$1,2,1)&amp;"*-"&amp;LEFT($B159,4)&amp;"*",Data!$I:$I),0)</f>
        <v>0</v>
      </c>
      <c r="D159" s="468"/>
      <c r="E159" s="559"/>
      <c r="F159" s="466">
        <f>-SUMIF(Data!$A:$A,MID(F$1,2,1)&amp;"*-"&amp;LEFT($B159,4)&amp;"*",Data!$I:$I)</f>
        <v>0</v>
      </c>
      <c r="G159" s="466">
        <f>-ROUND(SUMIF(Data!$A:$A,MID(G$1,2,1)&amp;"*-"&amp;LEFT($B159,4)&amp;"*",Data!$I:$I),0)</f>
        <v>0</v>
      </c>
      <c r="H159" s="468"/>
      <c r="I159" s="468"/>
      <c r="J159" s="468"/>
      <c r="K159" s="468"/>
    </row>
    <row r="160" spans="1:11" ht="12.75" customHeight="1" thickTop="1" thickBot="1" x14ac:dyDescent="0.25">
      <c r="A160" s="1502" t="s">
        <v>40</v>
      </c>
      <c r="B160" s="570">
        <v>3720</v>
      </c>
      <c r="C160" s="466">
        <f>-ROUND(SUMIF(Data!$A:$A,MID(C$1,2,1)&amp;"*-"&amp;LEFT($B160,4)&amp;"*",Data!$I:$I),0)</f>
        <v>0</v>
      </c>
      <c r="D160" s="468"/>
      <c r="E160" s="559"/>
      <c r="F160" s="466">
        <f>-SUMIF(Data!$A:$A,MID(F$1,2,1)&amp;"*-"&amp;LEFT($B160,4)&amp;"*",Data!$I:$I)</f>
        <v>0</v>
      </c>
      <c r="G160" s="466">
        <f>-ROUND(SUMIF(Data!$A:$A,MID(G$1,2,1)&amp;"*-"&amp;LEFT($B160,4)&amp;"*",Data!$I:$I),0)</f>
        <v>0</v>
      </c>
      <c r="H160" s="468"/>
      <c r="I160" s="468"/>
      <c r="J160" s="468"/>
      <c r="K160" s="468"/>
    </row>
    <row r="161" spans="1:11" ht="12.75" customHeight="1" thickTop="1" thickBot="1" x14ac:dyDescent="0.25">
      <c r="A161" s="1502" t="s">
        <v>415</v>
      </c>
      <c r="B161" s="570">
        <v>3725</v>
      </c>
      <c r="C161" s="466">
        <f>-ROUND(SUMIF(Data!$A:$A,MID(C$1,2,1)&amp;"*-"&amp;LEFT($B161,4)&amp;"*",Data!$I:$I),0)</f>
        <v>0</v>
      </c>
      <c r="D161" s="468"/>
      <c r="E161" s="559"/>
      <c r="F161" s="466">
        <f>-SUMIF(Data!$A:$A,MID(F$1,2,1)&amp;"*-"&amp;LEFT($B161,4)&amp;"*",Data!$I:$I)</f>
        <v>0</v>
      </c>
      <c r="G161" s="466">
        <f>-ROUND(SUMIF(Data!$A:$A,MID(G$1,2,1)&amp;"*-"&amp;LEFT($B161,4)&amp;"*",Data!$I:$I),0)</f>
        <v>0</v>
      </c>
      <c r="H161" s="468"/>
      <c r="I161" s="468"/>
      <c r="J161" s="468"/>
      <c r="K161" s="468"/>
    </row>
    <row r="162" spans="1:11" ht="12.75" customHeight="1" thickTop="1" thickBot="1" x14ac:dyDescent="0.25">
      <c r="A162" s="1502" t="s">
        <v>416</v>
      </c>
      <c r="B162" s="570">
        <v>3726</v>
      </c>
      <c r="C162" s="466">
        <f>-ROUND(SUMIF(Data!$A:$A,MID(C$1,2,1)&amp;"*-"&amp;LEFT($B162,4)&amp;"*",Data!$I:$I),0)</f>
        <v>0</v>
      </c>
      <c r="D162" s="468"/>
      <c r="E162" s="559"/>
      <c r="F162" s="466">
        <f>-SUMIF(Data!$A:$A,MID(F$1,2,1)&amp;"*-"&amp;LEFT($B162,4)&amp;"*",Data!$I:$I)</f>
        <v>0</v>
      </c>
      <c r="G162" s="466">
        <f>-ROUND(SUMIF(Data!$A:$A,MID(G$1,2,1)&amp;"*-"&amp;LEFT($B162,4)&amp;"*",Data!$I:$I),0)</f>
        <v>0</v>
      </c>
      <c r="H162" s="468"/>
      <c r="I162" s="468"/>
      <c r="J162" s="468"/>
      <c r="K162" s="468"/>
    </row>
    <row r="163" spans="1:11" ht="12.75" customHeight="1" thickTop="1" thickBot="1" x14ac:dyDescent="0.25">
      <c r="A163" s="1502" t="s">
        <v>41</v>
      </c>
      <c r="B163" s="570">
        <v>3766</v>
      </c>
      <c r="C163" s="466">
        <f>-ROUND(SUMIF(Data!$A:$A,MID(C$1,2,1)&amp;"*-"&amp;LEFT($B163,4)&amp;"*",Data!$I:$I),0)</f>
        <v>0</v>
      </c>
      <c r="D163" s="466">
        <f>-SUMIF(Data!$A:$A,MID(D$1,2,1)&amp;"*-"&amp;LEFT($B163,4)&amp;"*",Data!$I:$I)</f>
        <v>0</v>
      </c>
      <c r="E163" s="559"/>
      <c r="F163" s="466">
        <f>-SUMIF(Data!$A:$A,MID(F$1,2,1)&amp;"*-"&amp;LEFT($B163,4)&amp;"*",Data!$I:$I)</f>
        <v>0</v>
      </c>
      <c r="G163" s="466">
        <f>-ROUND(SUMIF(Data!$A:$A,MID(G$1,2,1)&amp;"*-"&amp;LEFT($B163,4)&amp;"*",Data!$I:$I),0)</f>
        <v>0</v>
      </c>
      <c r="H163" s="468"/>
      <c r="I163" s="468"/>
      <c r="J163" s="468"/>
      <c r="K163" s="468"/>
    </row>
    <row r="164" spans="1:11" ht="12.75" customHeight="1" thickTop="1" thickBot="1" x14ac:dyDescent="0.25">
      <c r="A164" s="1502" t="s">
        <v>1042</v>
      </c>
      <c r="B164" s="570">
        <v>3767</v>
      </c>
      <c r="C164" s="466">
        <f>-ROUND(SUMIF(Data!$A:$A,MID(C$1,2,1)&amp;"*-"&amp;LEFT($B164,4)&amp;"*",Data!$I:$I),0)</f>
        <v>0</v>
      </c>
      <c r="D164" s="466">
        <f>-SUMIF(Data!$A:$A,MID(D$1,2,1)&amp;"*-"&amp;LEFT($B164,4)&amp;"*",Data!$I:$I)</f>
        <v>0</v>
      </c>
      <c r="E164" s="559"/>
      <c r="F164" s="466">
        <f>-SUMIF(Data!$A:$A,MID(F$1,2,1)&amp;"*-"&amp;LEFT($B164,4)&amp;"*",Data!$I:$I)</f>
        <v>0</v>
      </c>
      <c r="G164" s="466">
        <f>-ROUND(SUMIF(Data!$A:$A,MID(G$1,2,1)&amp;"*-"&amp;LEFT($B164,4)&amp;"*",Data!$I:$I),0)</f>
        <v>0</v>
      </c>
      <c r="H164" s="468"/>
      <c r="I164" s="468"/>
      <c r="J164" s="468"/>
      <c r="K164" s="468"/>
    </row>
    <row r="165" spans="1:11" ht="12.75" customHeight="1" thickTop="1" thickBot="1" x14ac:dyDescent="0.25">
      <c r="A165" s="1502" t="s">
        <v>1043</v>
      </c>
      <c r="B165" s="570">
        <v>3775</v>
      </c>
      <c r="C165" s="466">
        <f>-ROUND(SUMIF(Data!$A:$A,MID(C$1,2,1)&amp;"*-"&amp;LEFT($B165,4)&amp;"*",Data!$I:$I),0)</f>
        <v>0</v>
      </c>
      <c r="D165" s="466">
        <f>-SUMIF(Data!$A:$A,MID(D$1,2,1)&amp;"*-"&amp;LEFT($B165,4)&amp;"*",Data!$I:$I)</f>
        <v>0</v>
      </c>
      <c r="E165" s="466">
        <f>-ROUND(SUMIF(Data!$A:$A,MID(E$1,2,1)&amp;"*-"&amp;LEFT($B165,4)&amp;"*",Data!$I:$I),0)</f>
        <v>0</v>
      </c>
      <c r="F165" s="466">
        <f>-SUMIF(Data!$A:$A,MID(F$1,2,1)&amp;"*-"&amp;LEFT($B165,4)&amp;"*",Data!$I:$I)</f>
        <v>0</v>
      </c>
      <c r="G165" s="466">
        <f>-ROUND(SUMIF(Data!$A:$A,MID(G$1,2,1)&amp;"*-"&amp;LEFT($B165,4)&amp;"*",Data!$I:$I),0)</f>
        <v>0</v>
      </c>
      <c r="H165" s="466">
        <f>-SUMIF(Data!$A:$A,MID(H$1,2,1)&amp;"*-"&amp;LEFT($B165,4)&amp;"*",Data!$I:$I)</f>
        <v>0</v>
      </c>
      <c r="I165" s="468"/>
      <c r="J165" s="468"/>
      <c r="K165" s="466">
        <f>-SUMIF(Data!$A:$A,MID(K$1,2,1)&amp;"*-"&amp;LEFT($B165,4)&amp;"*",Data!$I:$I)</f>
        <v>0</v>
      </c>
    </row>
    <row r="166" spans="1:11" ht="12.75" customHeight="1" thickTop="1" thickBot="1" x14ac:dyDescent="0.25">
      <c r="A166" s="1502" t="s">
        <v>1524</v>
      </c>
      <c r="B166" s="570">
        <v>3780</v>
      </c>
      <c r="C166" s="466">
        <f>-ROUND(SUMIF(Data!$A:$A,MID(C$1,2,1)&amp;"*-"&amp;LEFT($B166,4)&amp;"*",Data!$I:$I),0)</f>
        <v>0</v>
      </c>
      <c r="D166" s="466">
        <f>-SUMIF(Data!$A:$A,MID(D$1,2,1)&amp;"*-"&amp;LEFT($B166,4)&amp;"*",Data!$I:$I)</f>
        <v>0</v>
      </c>
      <c r="E166" s="466">
        <f>-ROUND(SUMIF(Data!$A:$A,MID(E$1,2,1)&amp;"*-"&amp;LEFT($B166,4)&amp;"*",Data!$I:$I),0)</f>
        <v>0</v>
      </c>
      <c r="F166" s="466">
        <f>-SUMIF(Data!$A:$A,MID(F$1,2,1)&amp;"*-"&amp;LEFT($B166,4)&amp;"*",Data!$I:$I)</f>
        <v>0</v>
      </c>
      <c r="G166" s="466">
        <f>-ROUND(SUMIF(Data!$A:$A,MID(G$1,2,1)&amp;"*-"&amp;LEFT($B166,4)&amp;"*",Data!$I:$I),0)</f>
        <v>0</v>
      </c>
      <c r="H166" s="466">
        <f>-SUMIF(Data!$A:$A,MID(H$1,2,1)&amp;"*-"&amp;LEFT($B166,4)&amp;"*",Data!$I:$I)</f>
        <v>0</v>
      </c>
      <c r="I166" s="468"/>
      <c r="J166" s="468"/>
      <c r="K166" s="466">
        <f>-SUMIF(Data!$A:$A,MID(K$1,2,1)&amp;"*-"&amp;LEFT($B166,4)&amp;"*",Data!$I:$I)</f>
        <v>0</v>
      </c>
    </row>
    <row r="167" spans="1:11" ht="12.75" customHeight="1" thickTop="1" thickBot="1" x14ac:dyDescent="0.25">
      <c r="A167" s="1502" t="s">
        <v>913</v>
      </c>
      <c r="B167" s="570">
        <v>3815</v>
      </c>
      <c r="C167" s="466">
        <f>-ROUND(SUMIF(Data!$A:$A,MID(C$1,2,1)&amp;"*-"&amp;LEFT($B167,4)&amp;"*",Data!$I:$I),0)</f>
        <v>0</v>
      </c>
      <c r="D167" s="468"/>
      <c r="E167" s="559"/>
      <c r="F167" s="466">
        <f>-SUMIF(Data!$A:$A,MID(F$1,2,1)&amp;"*-"&amp;LEFT($B167,4)&amp;"*",Data!$I:$I)</f>
        <v>0</v>
      </c>
      <c r="G167" s="468"/>
      <c r="H167" s="468"/>
      <c r="I167" s="468"/>
      <c r="J167" s="468"/>
      <c r="K167" s="468"/>
    </row>
    <row r="168" spans="1:11" ht="12.75" customHeight="1" thickTop="1" thickBot="1" x14ac:dyDescent="0.25">
      <c r="A168" s="1502" t="s">
        <v>417</v>
      </c>
      <c r="B168" s="570">
        <v>3825</v>
      </c>
      <c r="C168" s="466">
        <f>-ROUND(SUMIF(Data!$A:$A,MID(C$1,2,1)&amp;"*-"&amp;LEFT($B168,4)&amp;"*",Data!$I:$I),0)</f>
        <v>0</v>
      </c>
      <c r="D168" s="468"/>
      <c r="E168" s="559"/>
      <c r="F168" s="466">
        <f>-SUMIF(Data!$A:$A,MID(F$1,2,1)&amp;"*-"&amp;LEFT($B168,4)&amp;"*",Data!$I:$I)</f>
        <v>0</v>
      </c>
      <c r="G168" s="468"/>
      <c r="H168" s="468"/>
      <c r="I168" s="468"/>
      <c r="J168" s="468"/>
      <c r="K168" s="468"/>
    </row>
    <row r="169" spans="1:11" ht="12.75" customHeight="1" thickTop="1" thickBot="1" x14ac:dyDescent="0.25">
      <c r="A169" s="1502" t="s">
        <v>366</v>
      </c>
      <c r="B169" s="570">
        <v>3920</v>
      </c>
      <c r="C169" s="564"/>
      <c r="D169" s="466">
        <f>-SUMIF(Data!$A:$A,MID(D$1,2,1)&amp;"*-"&amp;LEFT($B169,4)&amp;"*",Data!$I:$I)</f>
        <v>0</v>
      </c>
      <c r="E169" s="468"/>
      <c r="F169" s="564"/>
      <c r="G169" s="468"/>
      <c r="H169" s="466">
        <f>-SUMIF(Data!$A:$A,MID(H$1,2,1)&amp;"*-"&amp;LEFT($B169,4)&amp;"*",Data!$I:$I)</f>
        <v>0</v>
      </c>
      <c r="I169" s="468"/>
      <c r="J169" s="468"/>
      <c r="K169" s="468"/>
    </row>
    <row r="170" spans="1:11" ht="12.75" customHeight="1" thickTop="1" thickBot="1" x14ac:dyDescent="0.25">
      <c r="A170" s="1502" t="s">
        <v>367</v>
      </c>
      <c r="B170" s="570">
        <v>3925</v>
      </c>
      <c r="C170" s="521"/>
      <c r="D170" s="466">
        <f>-SUMIF(Data!$A:$A,MID(D$1,2,1)&amp;"*-"&amp;LEFT($B170,4)&amp;"*",Data!$I:$I)</f>
        <v>0</v>
      </c>
      <c r="E170" s="521"/>
      <c r="F170" s="521"/>
      <c r="G170" s="468"/>
      <c r="H170" s="466">
        <f>-SUMIF(Data!$A:$A,MID(H$1,2,1)&amp;"*-"&amp;LEFT($B170,4)&amp;"*",Data!$I:$I)</f>
        <v>0</v>
      </c>
      <c r="I170" s="468"/>
      <c r="J170" s="468"/>
      <c r="K170" s="466">
        <f>-SUMIF(Data!$A:$A,MID(K$1,2,1)&amp;"*-"&amp;LEFT($B170,4)&amp;"*",Data!$I:$I)</f>
        <v>0</v>
      </c>
    </row>
    <row r="171" spans="1:11" ht="14.25" thickTop="1" thickBot="1" x14ac:dyDescent="0.25">
      <c r="A171" s="1502" t="s">
        <v>72</v>
      </c>
      <c r="B171" s="570">
        <v>3999</v>
      </c>
      <c r="C171" s="466">
        <f>-ROUND(SUMIF(Data!$A:$A,MID(C$1,2,1)&amp;"*-"&amp;LEFT($B171,4)&amp;"*",Data!$I:$I),0)</f>
        <v>2642</v>
      </c>
      <c r="D171" s="466">
        <f>-SUMIF(Data!$A:$A,MID(D$1,2,1)&amp;"*-"&amp;LEFT($B171,4)&amp;"*",Data!$I:$I)</f>
        <v>0</v>
      </c>
      <c r="E171" s="466">
        <f>-ROUND(SUMIF(Data!$A:$A,MID(E$1,2,1)&amp;"*-"&amp;LEFT($B171,4)&amp;"*",Data!$I:$I),0)</f>
        <v>0</v>
      </c>
      <c r="F171" s="466">
        <f>-SUMIF(Data!$A:$A,MID(F$1,2,1)&amp;"*-"&amp;LEFT($B171,4)&amp;"*",Data!$I:$I)</f>
        <v>0</v>
      </c>
      <c r="G171" s="466">
        <f>-ROUND(SUMIF(Data!$A:$A,MID(G$1,2,1)&amp;"*-"&amp;LEFT($B171,4)&amp;"*",Data!$I:$I),0)</f>
        <v>0</v>
      </c>
      <c r="H171" s="466">
        <f>-SUMIF(Data!$A:$A,MID(H$1,2,1)&amp;"*-"&amp;LEFT($B171,4)&amp;"*",Data!$I:$I)</f>
        <v>0</v>
      </c>
      <c r="I171" s="466">
        <f>-SUMIF(Data!$A:$A,MID(I$1,2,1)&amp;"*-"&amp;LEFT($B171,4)&amp;"*",Data!$I:$I)</f>
        <v>0</v>
      </c>
      <c r="J171" s="466">
        <f>-SUMIF(Data!$A:$A,MID(J$1,2,1)&amp;"*-"&amp;LEFT($B171,4)&amp;"*",Data!$I:$I)</f>
        <v>0</v>
      </c>
      <c r="K171" s="466">
        <f>-SUMIF(Data!$A:$A,MID(K$1,2,1)&amp;"*-"&amp;LEFT($B171,4)&amp;"*",Data!$I:$I)</f>
        <v>0</v>
      </c>
    </row>
    <row r="172" spans="1:11" ht="12.75" customHeight="1" thickTop="1" thickBot="1" x14ac:dyDescent="0.25">
      <c r="A172" s="2197" t="s">
        <v>418</v>
      </c>
      <c r="B172" s="2198"/>
      <c r="C172" s="1722">
        <f t="shared" ref="C172:K172" si="6">SUM(C131,C140,C144,C145:C149,C154,C155:C170,C171)</f>
        <v>1386711</v>
      </c>
      <c r="D172" s="1722">
        <f t="shared" si="6"/>
        <v>0</v>
      </c>
      <c r="E172" s="1722">
        <f t="shared" si="6"/>
        <v>0</v>
      </c>
      <c r="F172" s="1722">
        <f t="shared" si="6"/>
        <v>258342</v>
      </c>
      <c r="G172" s="1722">
        <f t="shared" si="6"/>
        <v>0</v>
      </c>
      <c r="H172" s="1722">
        <f t="shared" si="6"/>
        <v>0</v>
      </c>
      <c r="I172" s="1722">
        <f t="shared" si="6"/>
        <v>0</v>
      </c>
      <c r="J172" s="1722">
        <f t="shared" si="6"/>
        <v>0</v>
      </c>
      <c r="K172" s="1703">
        <f t="shared" si="6"/>
        <v>0</v>
      </c>
    </row>
    <row r="173" spans="1:11" ht="12.75" customHeight="1" thickTop="1" thickBot="1" x14ac:dyDescent="0.25">
      <c r="A173" s="1708" t="s">
        <v>419</v>
      </c>
      <c r="B173" s="1714" t="s">
        <v>596</v>
      </c>
      <c r="C173" s="1715">
        <f>SUM(C121,C172)</f>
        <v>7600037</v>
      </c>
      <c r="D173" s="1715">
        <f>SUM(D121,D172)</f>
        <v>0</v>
      </c>
      <c r="E173" s="1715">
        <f>SUM(E121,E172)</f>
        <v>0</v>
      </c>
      <c r="F173" s="1715">
        <f t="shared" ref="F173:K173" si="7">SUM(F121,F172)</f>
        <v>258342</v>
      </c>
      <c r="G173" s="1715">
        <f t="shared" si="7"/>
        <v>0</v>
      </c>
      <c r="H173" s="1715">
        <f t="shared" si="7"/>
        <v>0</v>
      </c>
      <c r="I173" s="1715">
        <f t="shared" si="7"/>
        <v>0</v>
      </c>
      <c r="J173" s="1715">
        <f t="shared" si="7"/>
        <v>0</v>
      </c>
      <c r="K173" s="1702">
        <f t="shared" si="7"/>
        <v>0</v>
      </c>
    </row>
    <row r="174" spans="1:11" ht="16.7" customHeight="1" thickTop="1" x14ac:dyDescent="0.2">
      <c r="A174" s="1591" t="s">
        <v>837</v>
      </c>
      <c r="B174" s="1569"/>
      <c r="C174" s="1572"/>
      <c r="D174" s="1573"/>
      <c r="E174" s="1573"/>
      <c r="F174" s="1573"/>
      <c r="G174" s="1573"/>
      <c r="H174" s="1573"/>
      <c r="I174" s="1573"/>
      <c r="J174" s="1573"/>
      <c r="K174" s="1574"/>
    </row>
    <row r="175" spans="1:11" ht="15.75" customHeight="1" x14ac:dyDescent="0.2">
      <c r="A175" s="2199" t="s">
        <v>1572</v>
      </c>
      <c r="B175" s="2200"/>
      <c r="C175" s="520"/>
      <c r="D175" s="520"/>
      <c r="E175" s="509"/>
      <c r="F175" s="468"/>
      <c r="G175" s="468"/>
      <c r="H175" s="468"/>
      <c r="I175" s="468"/>
      <c r="J175" s="468"/>
      <c r="K175" s="468"/>
    </row>
    <row r="176" spans="1:11" ht="12.6" customHeight="1" x14ac:dyDescent="0.2">
      <c r="A176" s="493" t="s">
        <v>1104</v>
      </c>
      <c r="B176" s="491">
        <v>4001</v>
      </c>
      <c r="C176" s="466">
        <f>-ROUND(SUMIF(Data!$A:$A,MID(C$1,2,1)&amp;"*-"&amp;LEFT($B176,4)&amp;"*",Data!$I:$I),0)</f>
        <v>0</v>
      </c>
      <c r="D176" s="466">
        <f>-SUMIF(Data!$A:$A,MID(D$1,2,1)&amp;"*-"&amp;LEFT($B176,4)&amp;"*",Data!$I:$I)</f>
        <v>0</v>
      </c>
      <c r="E176" s="466">
        <f>-ROUND(SUMIF(Data!$A:$A,MID(E$1,2,1)&amp;"*-"&amp;LEFT($B176,4)&amp;"*",Data!$I:$I),0)</f>
        <v>0</v>
      </c>
      <c r="F176" s="466">
        <f>-SUMIF(Data!$A:$A,MID(F$1,2,1)&amp;"*-"&amp;LEFT($B176,4)&amp;"*",Data!$I:$I)</f>
        <v>0</v>
      </c>
      <c r="G176" s="466">
        <f>-ROUND(SUMIF(Data!$A:$A,MID(G$1,2,1)&amp;"*-"&amp;LEFT($B176,4)&amp;"*",Data!$I:$I),0)</f>
        <v>0</v>
      </c>
      <c r="H176" s="466">
        <f>-SUMIF(Data!$A:$A,MID(H$1,2,1)&amp;"*-"&amp;LEFT($B176,4)&amp;"*",Data!$I:$I)</f>
        <v>0</v>
      </c>
      <c r="I176" s="466">
        <f>-SUMIF(Data!$A:$A,MID(I$1,2,1)&amp;"*-"&amp;LEFT($B176,4)&amp;"*",Data!$I:$I)</f>
        <v>0</v>
      </c>
      <c r="J176" s="466">
        <f>-SUMIF(Data!$A:$A,MID(J$1,2,1)&amp;"*-"&amp;LEFT($B176,4)&amp;"*",Data!$I:$I)</f>
        <v>0</v>
      </c>
      <c r="K176" s="466">
        <f>-SUMIF(Data!$A:$A,MID(K$1,2,1)&amp;"*-"&amp;LEFT($B176,4)&amp;"*",Data!$I:$I)</f>
        <v>0</v>
      </c>
    </row>
    <row r="177" spans="1:11" ht="22.5" x14ac:dyDescent="0.2">
      <c r="A177" s="561" t="s">
        <v>838</v>
      </c>
      <c r="B177" s="572">
        <v>4009</v>
      </c>
      <c r="C177" s="466">
        <f>-ROUND(SUMIF(Data!$A:$A,MID(C$1,2,1)&amp;"*-"&amp;LEFT($B177,4)&amp;"*",Data!$I:$I),0)</f>
        <v>0</v>
      </c>
      <c r="D177" s="466">
        <f>-SUMIF(Data!$A:$A,MID(D$1,2,1)&amp;"*-"&amp;LEFT($B177,4)&amp;"*",Data!$I:$I)</f>
        <v>0</v>
      </c>
      <c r="E177" s="466">
        <f>-ROUND(SUMIF(Data!$A:$A,MID(E$1,2,1)&amp;"*-"&amp;LEFT($B177,4)&amp;"*",Data!$I:$I),0)</f>
        <v>0</v>
      </c>
      <c r="F177" s="466">
        <f>-SUMIF(Data!$A:$A,MID(F$1,2,1)&amp;"*-"&amp;LEFT($B177,4)&amp;"*",Data!$I:$I)</f>
        <v>0</v>
      </c>
      <c r="G177" s="466">
        <f>-ROUND(SUMIF(Data!$A:$A,MID(G$1,2,1)&amp;"*-"&amp;LEFT($B177,4)&amp;"*",Data!$I:$I),0)</f>
        <v>0</v>
      </c>
      <c r="H177" s="466">
        <f>-SUMIF(Data!$A:$A,MID(H$1,2,1)&amp;"*-"&amp;LEFT($B177,4)&amp;"*",Data!$I:$I)</f>
        <v>0</v>
      </c>
      <c r="I177" s="466">
        <f>-SUMIF(Data!$A:$A,MID(I$1,2,1)&amp;"*-"&amp;LEFT($B177,4)&amp;"*",Data!$I:$I)</f>
        <v>0</v>
      </c>
      <c r="J177" s="466">
        <f>-SUMIF(Data!$A:$A,MID(J$1,2,1)&amp;"*-"&amp;LEFT($B177,4)&amp;"*",Data!$I:$I)</f>
        <v>0</v>
      </c>
      <c r="K177" s="466">
        <f>-SUMIF(Data!$A:$A,MID(K$1,2,1)&amp;"*-"&amp;LEFT($B177,4)&amp;"*",Data!$I:$I)</f>
        <v>0</v>
      </c>
    </row>
    <row r="178" spans="1:11" ht="13.5" thickBot="1" x14ac:dyDescent="0.25">
      <c r="A178" s="2203" t="s">
        <v>1764</v>
      </c>
      <c r="B178" s="2204"/>
      <c r="C178" s="1707">
        <f>SUM(C176:C177)</f>
        <v>0</v>
      </c>
      <c r="D178" s="1707">
        <f t="shared" ref="D178:K178" si="8">SUM(D176:D177)</f>
        <v>0</v>
      </c>
      <c r="E178" s="1707">
        <f t="shared" si="8"/>
        <v>0</v>
      </c>
      <c r="F178" s="1707">
        <f t="shared" si="8"/>
        <v>0</v>
      </c>
      <c r="G178" s="1707">
        <f t="shared" si="8"/>
        <v>0</v>
      </c>
      <c r="H178" s="1707">
        <f t="shared" si="8"/>
        <v>0</v>
      </c>
      <c r="I178" s="1707">
        <f t="shared" si="8"/>
        <v>0</v>
      </c>
      <c r="J178" s="1707">
        <f t="shared" si="8"/>
        <v>0</v>
      </c>
      <c r="K178" s="1688">
        <f t="shared" si="8"/>
        <v>0</v>
      </c>
    </row>
    <row r="179" spans="1:11" s="457" customFormat="1" ht="15.75" customHeight="1" thickTop="1" x14ac:dyDescent="0.2">
      <c r="A179" s="2207" t="s">
        <v>1763</v>
      </c>
      <c r="B179" s="2208"/>
      <c r="C179" s="584"/>
      <c r="D179" s="585"/>
      <c r="E179" s="586"/>
      <c r="F179" s="587"/>
      <c r="G179" s="587"/>
      <c r="H179" s="587"/>
      <c r="I179" s="587"/>
      <c r="J179" s="587"/>
      <c r="K179" s="587"/>
    </row>
    <row r="180" spans="1:11" ht="12.75" customHeight="1" x14ac:dyDescent="0.2">
      <c r="A180" s="463" t="s">
        <v>1105</v>
      </c>
      <c r="B180" s="470">
        <v>4045</v>
      </c>
      <c r="C180" s="466">
        <f>-ROUND(SUMIF(Data!$A:$A,MID(C$1,2,1)&amp;"*-"&amp;LEFT($B180,4)&amp;"*",Data!$I:$I),0)</f>
        <v>0</v>
      </c>
      <c r="D180" s="468"/>
      <c r="E180" s="559"/>
      <c r="F180" s="468"/>
      <c r="G180" s="468"/>
      <c r="H180" s="468"/>
      <c r="I180" s="468"/>
      <c r="J180" s="468"/>
      <c r="K180" s="468"/>
    </row>
    <row r="181" spans="1:11" ht="12.75" customHeight="1" x14ac:dyDescent="0.2">
      <c r="A181" s="463" t="s">
        <v>1106</v>
      </c>
      <c r="B181" s="470">
        <v>4050</v>
      </c>
      <c r="C181" s="466">
        <f>-ROUND(SUMIF(Data!$A:$A,MID(C$1,2,1)&amp;"*-"&amp;LEFT($B181,4)&amp;"*",Data!$I:$I),0)</f>
        <v>0</v>
      </c>
      <c r="D181" s="466">
        <f>-SUMIF(Data!$A:$A,MID(D$1,2,1)&amp;"*-"&amp;LEFT($B181,4)&amp;"*",Data!$I:$I)</f>
        <v>0</v>
      </c>
      <c r="E181" s="559"/>
      <c r="F181" s="468"/>
      <c r="G181" s="468"/>
      <c r="H181" s="466">
        <f>-SUMIF(Data!$A:$A,MID(H$1,2,1)&amp;"*-"&amp;LEFT($B181,4)&amp;"*",Data!$I:$I)</f>
        <v>0</v>
      </c>
      <c r="I181" s="468"/>
      <c r="J181" s="468"/>
      <c r="K181" s="468"/>
    </row>
    <row r="182" spans="1:11" ht="12.75" customHeight="1" x14ac:dyDescent="0.2">
      <c r="A182" s="463" t="s">
        <v>278</v>
      </c>
      <c r="B182" s="470">
        <v>4060</v>
      </c>
      <c r="C182" s="466">
        <f>-ROUND(SUMIF(Data!$A:$A,MID(C$1,2,1)&amp;"*-"&amp;LEFT($B182,4)&amp;"*",Data!$I:$I),0)</f>
        <v>0</v>
      </c>
      <c r="D182" s="466">
        <f>-SUMIF(Data!$A:$A,MID(D$1,2,1)&amp;"*-"&amp;LEFT($B182,4)&amp;"*",Data!$I:$I)</f>
        <v>0</v>
      </c>
      <c r="E182" s="468"/>
      <c r="F182" s="466">
        <f>-SUMIF(Data!$A:$A,MID(F$1,2,1)&amp;"*-"&amp;LEFT($B182,4)&amp;"*",Data!$I:$I)</f>
        <v>0</v>
      </c>
      <c r="G182" s="466">
        <f>-ROUND(SUMIF(Data!$A:$A,MID(G$1,2,1)&amp;"*-"&amp;LEFT($B182,4)&amp;"*",Data!$I:$I),0)</f>
        <v>0</v>
      </c>
      <c r="H182" s="466">
        <f>-SUMIF(Data!$A:$A,MID(H$1,2,1)&amp;"*-"&amp;LEFT($B182,4)&amp;"*",Data!$I:$I)</f>
        <v>0</v>
      </c>
      <c r="I182" s="468"/>
      <c r="J182" s="468"/>
      <c r="K182" s="521"/>
    </row>
    <row r="183" spans="1:11" ht="22.5" x14ac:dyDescent="0.2">
      <c r="A183" s="561" t="s">
        <v>819</v>
      </c>
      <c r="B183" s="572">
        <v>4090</v>
      </c>
      <c r="C183" s="466">
        <f>-ROUND(SUMIF(Data!$A:$A,MID(C$1,2,1)&amp;"*-"&amp;LEFT($B183,4)&amp;"*",Data!$I:$I),0)</f>
        <v>0</v>
      </c>
      <c r="D183" s="466">
        <f>-SUMIF(Data!$A:$A,MID(D$1,2,1)&amp;"*-"&amp;LEFT($B183,4)&amp;"*",Data!$I:$I)</f>
        <v>0</v>
      </c>
      <c r="E183" s="468"/>
      <c r="F183" s="466">
        <f>-SUMIF(Data!$A:$A,MID(F$1,2,1)&amp;"*-"&amp;LEFT($B183,4)&amp;"*",Data!$I:$I)</f>
        <v>0</v>
      </c>
      <c r="G183" s="466">
        <f>-ROUND(SUMIF(Data!$A:$A,MID(G$1,2,1)&amp;"*-"&amp;LEFT($B183,4)&amp;"*",Data!$I:$I),0)</f>
        <v>0</v>
      </c>
      <c r="H183" s="466">
        <f>-SUMIF(Data!$A:$A,MID(H$1,2,1)&amp;"*-"&amp;LEFT($B183,4)&amp;"*",Data!$I:$I)</f>
        <v>0</v>
      </c>
      <c r="I183" s="468"/>
      <c r="J183" s="468"/>
      <c r="K183" s="466">
        <f>-SUMIF(Data!$A:$A,MID(K$1,2,1)&amp;"*-"&amp;LEFT($B183,4)&amp;"*",Data!$I:$I)</f>
        <v>0</v>
      </c>
    </row>
    <row r="184" spans="1:11" ht="13.5" thickBot="1" x14ac:dyDescent="0.25">
      <c r="A184" s="2205" t="s">
        <v>818</v>
      </c>
      <c r="B184" s="2206"/>
      <c r="C184" s="1707">
        <f>SUM(C180:C183)</f>
        <v>0</v>
      </c>
      <c r="D184" s="1707">
        <f>SUM(D180:D183)</f>
        <v>0</v>
      </c>
      <c r="E184" s="468"/>
      <c r="F184" s="1707">
        <f>SUM(F180:F183)</f>
        <v>0</v>
      </c>
      <c r="G184" s="1707">
        <f>SUM(G180:G183)</f>
        <v>0</v>
      </c>
      <c r="H184" s="1707">
        <f>SUM(H180:H183)</f>
        <v>0</v>
      </c>
      <c r="I184" s="468"/>
      <c r="J184" s="468"/>
      <c r="K184" s="1688">
        <f>SUM(K180:K183)</f>
        <v>0</v>
      </c>
    </row>
    <row r="185" spans="1:11" ht="22.5" customHeight="1" thickTop="1" x14ac:dyDescent="0.2">
      <c r="A185" s="2201" t="s">
        <v>1902</v>
      </c>
      <c r="B185" s="2202"/>
      <c r="C185" s="573"/>
      <c r="D185" s="564"/>
      <c r="E185" s="509"/>
      <c r="F185" s="564"/>
      <c r="G185" s="564"/>
      <c r="H185" s="468"/>
      <c r="I185" s="468"/>
      <c r="J185" s="468"/>
      <c r="K185" s="468"/>
    </row>
    <row r="186" spans="1:11" ht="15.75" customHeight="1" x14ac:dyDescent="0.2">
      <c r="A186" s="1605" t="s">
        <v>1692</v>
      </c>
      <c r="B186" s="1606"/>
      <c r="C186" s="522"/>
      <c r="D186" s="521"/>
      <c r="E186" s="509"/>
      <c r="F186" s="521"/>
      <c r="G186" s="521"/>
      <c r="H186" s="468"/>
      <c r="I186" s="468"/>
      <c r="J186" s="468"/>
      <c r="K186" s="468"/>
    </row>
    <row r="187" spans="1:11" ht="12.75" customHeight="1" x14ac:dyDescent="0.2">
      <c r="A187" s="463" t="s">
        <v>1693</v>
      </c>
      <c r="B187" s="470">
        <v>4100</v>
      </c>
      <c r="C187" s="466">
        <f>-ROUND(SUMIF(Data!$A:$A,MID(C$1,2,1)&amp;"*-"&amp;LEFT($B187,4)&amp;"*",Data!$I:$I),0)</f>
        <v>0</v>
      </c>
      <c r="D187" s="466">
        <f>-SUMIF(Data!$A:$A,MID(D$1,2,1)&amp;"*-"&amp;LEFT($B187,4)&amp;"*",Data!$I:$I)</f>
        <v>0</v>
      </c>
      <c r="E187" s="559"/>
      <c r="F187" s="466">
        <f>-SUMIF(Data!$A:$A,MID(F$1,2,1)&amp;"*-"&amp;LEFT($B187,4)&amp;"*",Data!$I:$I)</f>
        <v>0</v>
      </c>
      <c r="G187" s="466">
        <f>-ROUND(SUMIF(Data!$A:$A,MID(G$1,2,1)&amp;"*-"&amp;LEFT($B187,4)&amp;"*",Data!$I:$I),0)</f>
        <v>0</v>
      </c>
      <c r="H187" s="468"/>
      <c r="I187" s="468"/>
      <c r="J187" s="468"/>
      <c r="K187" s="468"/>
    </row>
    <row r="188" spans="1:11" ht="12.75" customHeight="1" x14ac:dyDescent="0.2">
      <c r="A188" s="463" t="s">
        <v>1694</v>
      </c>
      <c r="B188" s="470">
        <v>4105</v>
      </c>
      <c r="C188" s="466">
        <f>-ROUND(SUMIF(Data!$A:$A,MID(C$1,2,1)&amp;"*-"&amp;LEFT($B188,4)&amp;"*",Data!$I:$I),0)</f>
        <v>0</v>
      </c>
      <c r="D188" s="466">
        <f>-SUMIF(Data!$A:$A,MID(D$1,2,1)&amp;"*-"&amp;LEFT($B188,4)&amp;"*",Data!$I:$I)</f>
        <v>0</v>
      </c>
      <c r="E188" s="559"/>
      <c r="F188" s="466">
        <f>-SUMIF(Data!$A:$A,MID(F$1,2,1)&amp;"*-"&amp;LEFT($B188,4)&amp;"*",Data!$I:$I)</f>
        <v>0</v>
      </c>
      <c r="G188" s="466">
        <f>-ROUND(SUMIF(Data!$A:$A,MID(G$1,2,1)&amp;"*-"&amp;LEFT($B188,4)&amp;"*",Data!$I:$I),0)</f>
        <v>0</v>
      </c>
      <c r="H188" s="468"/>
      <c r="I188" s="468"/>
      <c r="J188" s="468"/>
      <c r="K188" s="468"/>
    </row>
    <row r="189" spans="1:11" ht="12.75" customHeight="1" x14ac:dyDescent="0.2">
      <c r="A189" s="463" t="s">
        <v>1696</v>
      </c>
      <c r="B189" s="470">
        <v>4107</v>
      </c>
      <c r="C189" s="466">
        <f>-ROUND(SUMIF(Data!$A:$A,MID(C$1,2,1)&amp;"*-"&amp;LEFT($B189,4)&amp;"*",Data!$I:$I),0)</f>
        <v>0</v>
      </c>
      <c r="D189" s="466">
        <f>-SUMIF(Data!$A:$A,MID(D$1,2,1)&amp;"*-"&amp;LEFT($B189,4)&amp;"*",Data!$I:$I)</f>
        <v>0</v>
      </c>
      <c r="E189" s="559"/>
      <c r="F189" s="466">
        <f>-SUMIF(Data!$A:$A,MID(F$1,2,1)&amp;"*-"&amp;LEFT($B189,4)&amp;"*",Data!$I:$I)</f>
        <v>0</v>
      </c>
      <c r="G189" s="466">
        <f>-ROUND(SUMIF(Data!$A:$A,MID(G$1,2,1)&amp;"*-"&amp;LEFT($B189,4)&amp;"*",Data!$I:$I),0)</f>
        <v>0</v>
      </c>
      <c r="H189" s="468"/>
      <c r="I189" s="468"/>
      <c r="J189" s="468"/>
      <c r="K189" s="468"/>
    </row>
    <row r="190" spans="1:11" ht="12.75" customHeight="1" x14ac:dyDescent="0.2">
      <c r="A190" s="463" t="s">
        <v>1695</v>
      </c>
      <c r="B190" s="470">
        <v>4199</v>
      </c>
      <c r="C190" s="466">
        <f>-ROUND(SUMIF(Data!$A:$A,MID(C$1,2,1)&amp;"*-"&amp;LEFT($B190,4)&amp;"*",Data!$I:$I),0)</f>
        <v>0</v>
      </c>
      <c r="D190" s="466">
        <f>-SUMIF(Data!$A:$A,MID(D$1,2,1)&amp;"*-"&amp;LEFT($B190,4)&amp;"*",Data!$I:$I)</f>
        <v>0</v>
      </c>
      <c r="E190" s="559"/>
      <c r="F190" s="466">
        <f>-SUMIF(Data!$A:$A,MID(F$1,2,1)&amp;"*-"&amp;LEFT($B190,4)&amp;"*",Data!$I:$I)</f>
        <v>0</v>
      </c>
      <c r="G190" s="466">
        <f>-ROUND(SUMIF(Data!$A:$A,MID(G$1,2,1)&amp;"*-"&amp;LEFT($B190,4)&amp;"*",Data!$I:$I),0)</f>
        <v>0</v>
      </c>
      <c r="H190" s="468"/>
      <c r="I190" s="468"/>
      <c r="J190" s="468"/>
      <c r="K190" s="468"/>
    </row>
    <row r="191" spans="1:11" ht="12.75" customHeight="1" thickBot="1" x14ac:dyDescent="0.25">
      <c r="A191" s="1708" t="s">
        <v>1697</v>
      </c>
      <c r="B191" s="1709"/>
      <c r="C191" s="1707">
        <f>SUM(C187:C190)</f>
        <v>0</v>
      </c>
      <c r="D191" s="1707">
        <f>SUM(D187:D190)</f>
        <v>0</v>
      </c>
      <c r="E191" s="559"/>
      <c r="F191" s="1707">
        <f>SUM(F187:F190)</f>
        <v>0</v>
      </c>
      <c r="G191" s="1707">
        <f>SUM(G187:G190)</f>
        <v>0</v>
      </c>
      <c r="H191" s="468"/>
      <c r="I191" s="468"/>
      <c r="J191" s="468"/>
      <c r="K191" s="468"/>
    </row>
    <row r="192" spans="1:11" ht="15.75" customHeight="1" thickTop="1" x14ac:dyDescent="0.2">
      <c r="A192" s="1602" t="s">
        <v>475</v>
      </c>
      <c r="B192" s="1607"/>
      <c r="C192" s="552"/>
      <c r="D192" s="564"/>
      <c r="E192" s="559"/>
      <c r="F192" s="552"/>
      <c r="G192" s="552"/>
      <c r="H192" s="468"/>
      <c r="I192" s="468"/>
      <c r="J192" s="468"/>
      <c r="K192" s="468"/>
    </row>
    <row r="193" spans="1:11" x14ac:dyDescent="0.2">
      <c r="A193" s="463" t="s">
        <v>1525</v>
      </c>
      <c r="B193" s="470">
        <v>4200</v>
      </c>
      <c r="C193" s="466">
        <f>-ROUND(SUMIF(Data!$A:$A,MID(C$1,2,1)&amp;"*-"&amp;LEFT($B193,4)&amp;"*",Data!$I:$I),0)</f>
        <v>0</v>
      </c>
      <c r="D193" s="468"/>
      <c r="E193" s="559"/>
      <c r="F193" s="552"/>
      <c r="G193" s="466">
        <f>-ROUND(SUMIF(Data!$A:$A,MID(G$1,2,1)&amp;"*-"&amp;LEFT($B193,4)&amp;"*",Data!$I:$I),0)</f>
        <v>0</v>
      </c>
      <c r="H193" s="468"/>
      <c r="I193" s="468"/>
      <c r="J193" s="468"/>
      <c r="K193" s="468"/>
    </row>
    <row r="194" spans="1:11" ht="12.75" customHeight="1" x14ac:dyDescent="0.2">
      <c r="A194" s="463" t="s">
        <v>1118</v>
      </c>
      <c r="B194" s="470">
        <v>4210</v>
      </c>
      <c r="C194" s="466">
        <f>-ROUND(SUMIF(Data!$A:$A,MID(C$1,2,1)&amp;"*-"&amp;LEFT($B194,4)&amp;"*",Data!$I:$I),0)</f>
        <v>403764</v>
      </c>
      <c r="D194" s="468"/>
      <c r="E194" s="559"/>
      <c r="F194" s="468"/>
      <c r="G194" s="466">
        <f>-ROUND(SUMIF(Data!$A:$A,MID(G$1,2,1)&amp;"*-"&amp;LEFT($B194,4)&amp;"*",Data!$I:$I),0)</f>
        <v>0</v>
      </c>
      <c r="H194" s="468"/>
      <c r="I194" s="468"/>
      <c r="J194" s="468"/>
      <c r="K194" s="468"/>
    </row>
    <row r="195" spans="1:11" ht="12.75" customHeight="1" x14ac:dyDescent="0.2">
      <c r="A195" s="463" t="s">
        <v>1107</v>
      </c>
      <c r="B195" s="470">
        <v>4215</v>
      </c>
      <c r="C195" s="466">
        <f>-ROUND(SUMIF(Data!$A:$A,MID(C$1,2,1)&amp;"*-"&amp;LEFT($B195,4)&amp;"*",Data!$I:$I),0)</f>
        <v>0</v>
      </c>
      <c r="D195" s="468"/>
      <c r="E195" s="559"/>
      <c r="F195" s="468"/>
      <c r="G195" s="466">
        <f>-ROUND(SUMIF(Data!$A:$A,MID(G$1,2,1)&amp;"*-"&amp;LEFT($B195,4)&amp;"*",Data!$I:$I),0)</f>
        <v>0</v>
      </c>
      <c r="H195" s="468"/>
      <c r="I195" s="468"/>
      <c r="J195" s="468"/>
      <c r="K195" s="468"/>
    </row>
    <row r="196" spans="1:11" ht="12.75" customHeight="1" x14ac:dyDescent="0.2">
      <c r="A196" s="463" t="s">
        <v>1119</v>
      </c>
      <c r="B196" s="470">
        <v>4220</v>
      </c>
      <c r="C196" s="466">
        <f>-ROUND(SUMIF(Data!$A:$A,MID(C$1,2,1)&amp;"*-"&amp;LEFT($B196,4)&amp;"*",Data!$I:$I),0)</f>
        <v>92904</v>
      </c>
      <c r="D196" s="468"/>
      <c r="E196" s="559"/>
      <c r="F196" s="468"/>
      <c r="G196" s="466">
        <f>-ROUND(SUMIF(Data!$A:$A,MID(G$1,2,1)&amp;"*-"&amp;LEFT($B196,4)&amp;"*",Data!$I:$I),0)</f>
        <v>0</v>
      </c>
      <c r="H196" s="468"/>
      <c r="I196" s="468"/>
      <c r="J196" s="468"/>
      <c r="K196" s="468"/>
    </row>
    <row r="197" spans="1:11" ht="12.75" customHeight="1" x14ac:dyDescent="0.2">
      <c r="A197" s="463" t="s">
        <v>1526</v>
      </c>
      <c r="B197" s="470">
        <v>4225</v>
      </c>
      <c r="C197" s="466">
        <f>-ROUND(SUMIF(Data!$A:$A,MID(C$1,2,1)&amp;"*-"&amp;LEFT($B197,4)&amp;"*",Data!$I:$I),0)</f>
        <v>0</v>
      </c>
      <c r="D197" s="468"/>
      <c r="E197" s="559"/>
      <c r="F197" s="468"/>
      <c r="G197" s="466">
        <f>-ROUND(SUMIF(Data!$A:$A,MID(G$1,2,1)&amp;"*-"&amp;LEFT($B197,4)&amp;"*",Data!$I:$I),0)</f>
        <v>0</v>
      </c>
      <c r="H197" s="468"/>
      <c r="I197" s="468"/>
      <c r="J197" s="468"/>
      <c r="K197" s="468"/>
    </row>
    <row r="198" spans="1:11" ht="12.75" customHeight="1" x14ac:dyDescent="0.2">
      <c r="A198" s="463" t="s">
        <v>1527</v>
      </c>
      <c r="B198" s="470">
        <v>4226</v>
      </c>
      <c r="C198" s="466">
        <f>-ROUND(SUMIF(Data!$A:$A,MID(C$1,2,1)&amp;"*-"&amp;LEFT($B198,4)&amp;"*",Data!$I:$I),0)</f>
        <v>0</v>
      </c>
      <c r="D198" s="468"/>
      <c r="E198" s="559"/>
      <c r="F198" s="468"/>
      <c r="G198" s="466">
        <f>-ROUND(SUMIF(Data!$A:$A,MID(G$1,2,1)&amp;"*-"&amp;LEFT($B198,4)&amp;"*",Data!$I:$I),0)</f>
        <v>0</v>
      </c>
      <c r="H198" s="468"/>
      <c r="I198" s="468"/>
      <c r="J198" s="468"/>
      <c r="K198" s="468"/>
    </row>
    <row r="199" spans="1:11" ht="12.75" customHeight="1" x14ac:dyDescent="0.2">
      <c r="A199" s="463" t="s">
        <v>825</v>
      </c>
      <c r="B199" s="470">
        <v>4240</v>
      </c>
      <c r="C199" s="466">
        <f>-ROUND(SUMIF(Data!$A:$A,MID(C$1,2,1)&amp;"*-"&amp;LEFT($B199,4)&amp;"*",Data!$I:$I),0)</f>
        <v>0</v>
      </c>
      <c r="D199" s="468"/>
      <c r="E199" s="559"/>
      <c r="F199" s="468"/>
      <c r="G199" s="575"/>
      <c r="H199" s="468"/>
      <c r="I199" s="468"/>
      <c r="J199" s="468"/>
      <c r="K199" s="468"/>
    </row>
    <row r="200" spans="1:11" ht="12.75" customHeight="1" x14ac:dyDescent="0.2">
      <c r="A200" s="463" t="s">
        <v>73</v>
      </c>
      <c r="B200" s="470">
        <v>4299</v>
      </c>
      <c r="C200" s="466">
        <f>-ROUND(SUMIF(Data!$A:$A,MID(C$1,2,1)&amp;"*-"&amp;LEFT($B200,4)&amp;"*",Data!$I:$I),0)</f>
        <v>0</v>
      </c>
      <c r="D200" s="468"/>
      <c r="E200" s="559"/>
      <c r="F200" s="468"/>
      <c r="G200" s="466">
        <f>-ROUND(SUMIF(Data!$A:$A,MID(G$1,2,1)&amp;"*-"&amp;LEFT($B200,4)&amp;"*",Data!$I:$I),0)</f>
        <v>0</v>
      </c>
      <c r="H200" s="468"/>
      <c r="I200" s="468"/>
      <c r="J200" s="468"/>
      <c r="K200" s="468"/>
    </row>
    <row r="201" spans="1:11" ht="12.75" customHeight="1" thickBot="1" x14ac:dyDescent="0.25">
      <c r="A201" s="1708" t="s">
        <v>569</v>
      </c>
      <c r="B201" s="1709"/>
      <c r="C201" s="1688">
        <f>SUM(C193:C200)</f>
        <v>496668</v>
      </c>
      <c r="D201" s="468"/>
      <c r="E201" s="468"/>
      <c r="F201" s="468"/>
      <c r="G201" s="1688">
        <f>SUM(G193:G200)</f>
        <v>0</v>
      </c>
      <c r="H201" s="468"/>
      <c r="I201" s="468"/>
      <c r="J201" s="468"/>
      <c r="K201" s="468"/>
    </row>
    <row r="202" spans="1:11" ht="15.75" customHeight="1" thickTop="1" x14ac:dyDescent="0.2">
      <c r="A202" s="1602" t="s">
        <v>1200</v>
      </c>
      <c r="B202" s="1607"/>
      <c r="C202" s="552"/>
      <c r="D202" s="468"/>
      <c r="E202" s="468"/>
      <c r="F202" s="468"/>
      <c r="G202" s="468"/>
      <c r="H202" s="468"/>
      <c r="I202" s="468"/>
      <c r="J202" s="468"/>
      <c r="K202" s="468"/>
    </row>
    <row r="203" spans="1:11" ht="12.75" customHeight="1" x14ac:dyDescent="0.2">
      <c r="A203" s="463" t="s">
        <v>974</v>
      </c>
      <c r="B203" s="470">
        <v>4300</v>
      </c>
      <c r="C203" s="466">
        <f>-ROUND(SUMIF(Data!$A:$A,MID(C$1,2,1)&amp;"*-"&amp;LEFT($B203,4)&amp;"*",Data!$I:$I),0)</f>
        <v>565026</v>
      </c>
      <c r="D203" s="466">
        <f>-SUMIF(Data!$A:$A,MID(D$1,2,1)&amp;"*-"&amp;LEFT($B203,4)&amp;"*",Data!$I:$I)</f>
        <v>0</v>
      </c>
      <c r="E203" s="468"/>
      <c r="F203" s="466">
        <f>-SUMIF(Data!$A:$A,MID(F$1,2,1)&amp;"*-"&amp;LEFT($B203,4)&amp;"*",Data!$I:$I)</f>
        <v>0</v>
      </c>
      <c r="G203" s="466">
        <f>-ROUND(SUMIF(Data!$A:$A,MID(G$1,2,1)&amp;"*-"&amp;LEFT($B203,4)&amp;"*",Data!$I:$I),0)</f>
        <v>0</v>
      </c>
      <c r="H203" s="468"/>
      <c r="I203" s="468"/>
      <c r="J203" s="468"/>
      <c r="K203" s="468"/>
    </row>
    <row r="204" spans="1:11" ht="12.75" customHeight="1" x14ac:dyDescent="0.2">
      <c r="A204" s="463" t="s">
        <v>975</v>
      </c>
      <c r="B204" s="470">
        <v>4305</v>
      </c>
      <c r="C204" s="466">
        <f>-ROUND(SUMIF(Data!$A:$A,MID(C$1,2,1)&amp;"*-"&amp;LEFT($B204,4)&amp;"*",Data!$I:$I),0)</f>
        <v>0</v>
      </c>
      <c r="D204" s="466">
        <f>-SUMIF(Data!$A:$A,MID(D$1,2,1)&amp;"*-"&amp;LEFT($B204,4)&amp;"*",Data!$I:$I)</f>
        <v>0</v>
      </c>
      <c r="E204" s="468"/>
      <c r="F204" s="466">
        <f>-SUMIF(Data!$A:$A,MID(F$1,2,1)&amp;"*-"&amp;LEFT($B204,4)&amp;"*",Data!$I:$I)</f>
        <v>0</v>
      </c>
      <c r="G204" s="466">
        <f>-ROUND(SUMIF(Data!$A:$A,MID(G$1,2,1)&amp;"*-"&amp;LEFT($B204,4)&amp;"*",Data!$I:$I),0)</f>
        <v>0</v>
      </c>
      <c r="H204" s="468"/>
      <c r="I204" s="468"/>
      <c r="J204" s="468"/>
      <c r="K204" s="468"/>
    </row>
    <row r="205" spans="1:11" ht="12.75" customHeight="1" x14ac:dyDescent="0.2">
      <c r="A205" s="463" t="s">
        <v>976</v>
      </c>
      <c r="B205" s="470">
        <v>4332</v>
      </c>
      <c r="C205" s="466">
        <f>-ROUND(SUMIF(Data!$A:$A,MID(C$1,2,1)&amp;"*-"&amp;LEFT($B205,4)&amp;"*",Data!$I:$I),0)</f>
        <v>0</v>
      </c>
      <c r="D205" s="466">
        <f>-SUMIF(Data!$A:$A,MID(D$1,2,1)&amp;"*-"&amp;LEFT($B205,4)&amp;"*",Data!$I:$I)</f>
        <v>0</v>
      </c>
      <c r="E205" s="468"/>
      <c r="F205" s="466">
        <f>-SUMIF(Data!$A:$A,MID(F$1,2,1)&amp;"*-"&amp;LEFT($B205,4)&amp;"*",Data!$I:$I)</f>
        <v>0</v>
      </c>
      <c r="G205" s="466">
        <f>-ROUND(SUMIF(Data!$A:$A,MID(G$1,2,1)&amp;"*-"&amp;LEFT($B205,4)&amp;"*",Data!$I:$I),0)</f>
        <v>0</v>
      </c>
      <c r="H205" s="468"/>
      <c r="I205" s="468"/>
      <c r="J205" s="468"/>
      <c r="K205" s="468"/>
    </row>
    <row r="206" spans="1:11" ht="12.75" customHeight="1" x14ac:dyDescent="0.2">
      <c r="A206" s="463" t="s">
        <v>1089</v>
      </c>
      <c r="B206" s="470">
        <v>4334</v>
      </c>
      <c r="C206" s="466">
        <f>-ROUND(SUMIF(Data!$A:$A,MID(C$1,2,1)&amp;"*-"&amp;LEFT($B206,4)&amp;"*",Data!$I:$I),0)</f>
        <v>0</v>
      </c>
      <c r="D206" s="466">
        <f>-SUMIF(Data!$A:$A,MID(D$1,2,1)&amp;"*-"&amp;LEFT($B206,4)&amp;"*",Data!$I:$I)</f>
        <v>0</v>
      </c>
      <c r="E206" s="468"/>
      <c r="F206" s="466">
        <f>-SUMIF(Data!$A:$A,MID(F$1,2,1)&amp;"*-"&amp;LEFT($B206,4)&amp;"*",Data!$I:$I)</f>
        <v>0</v>
      </c>
      <c r="G206" s="466">
        <f>-ROUND(SUMIF(Data!$A:$A,MID(G$1,2,1)&amp;"*-"&amp;LEFT($B206,4)&amp;"*",Data!$I:$I),0)</f>
        <v>0</v>
      </c>
      <c r="H206" s="468"/>
      <c r="I206" s="468"/>
      <c r="J206" s="468"/>
      <c r="K206" s="468"/>
    </row>
    <row r="207" spans="1:11" ht="12.75" customHeight="1" x14ac:dyDescent="0.2">
      <c r="A207" s="463" t="s">
        <v>1090</v>
      </c>
      <c r="B207" s="470">
        <v>4335</v>
      </c>
      <c r="C207" s="466">
        <f>-ROUND(SUMIF(Data!$A:$A,MID(C$1,2,1)&amp;"*-"&amp;LEFT($B207,4)&amp;"*",Data!$I:$I),0)</f>
        <v>0</v>
      </c>
      <c r="D207" s="466">
        <f>-SUMIF(Data!$A:$A,MID(D$1,2,1)&amp;"*-"&amp;LEFT($B207,4)&amp;"*",Data!$I:$I)</f>
        <v>0</v>
      </c>
      <c r="E207" s="468"/>
      <c r="F207" s="466">
        <f>-SUMIF(Data!$A:$A,MID(F$1,2,1)&amp;"*-"&amp;LEFT($B207,4)&amp;"*",Data!$I:$I)</f>
        <v>0</v>
      </c>
      <c r="G207" s="466">
        <f>-ROUND(SUMIF(Data!$A:$A,MID(G$1,2,1)&amp;"*-"&amp;LEFT($B207,4)&amp;"*",Data!$I:$I),0)</f>
        <v>0</v>
      </c>
      <c r="H207" s="468"/>
      <c r="I207" s="468"/>
      <c r="J207" s="468"/>
      <c r="K207" s="468"/>
    </row>
    <row r="208" spans="1:11" ht="12.75" customHeight="1" x14ac:dyDescent="0.2">
      <c r="A208" s="463" t="s">
        <v>1153</v>
      </c>
      <c r="B208" s="470">
        <v>4337</v>
      </c>
      <c r="C208" s="466">
        <f>-ROUND(SUMIF(Data!$A:$A,MID(C$1,2,1)&amp;"*-"&amp;LEFT($B208,4)&amp;"*",Data!$I:$I),0)</f>
        <v>0</v>
      </c>
      <c r="D208" s="466">
        <f>-SUMIF(Data!$A:$A,MID(D$1,2,1)&amp;"*-"&amp;LEFT($B208,4)&amp;"*",Data!$I:$I)</f>
        <v>0</v>
      </c>
      <c r="E208" s="468"/>
      <c r="F208" s="466">
        <f>-SUMIF(Data!$A:$A,MID(F$1,2,1)&amp;"*-"&amp;LEFT($B208,4)&amp;"*",Data!$I:$I)</f>
        <v>0</v>
      </c>
      <c r="G208" s="466">
        <f>-ROUND(SUMIF(Data!$A:$A,MID(G$1,2,1)&amp;"*-"&amp;LEFT($B208,4)&amp;"*",Data!$I:$I),0)</f>
        <v>0</v>
      </c>
      <c r="H208" s="468"/>
      <c r="I208" s="468"/>
      <c r="J208" s="468"/>
      <c r="K208" s="468"/>
    </row>
    <row r="209" spans="1:11" ht="12.75" customHeight="1" x14ac:dyDescent="0.2">
      <c r="A209" s="463" t="s">
        <v>1091</v>
      </c>
      <c r="B209" s="470">
        <v>4340</v>
      </c>
      <c r="C209" s="466">
        <f>-ROUND(SUMIF(Data!$A:$A,MID(C$1,2,1)&amp;"*-"&amp;LEFT($B209,4)&amp;"*",Data!$I:$I),0)</f>
        <v>0</v>
      </c>
      <c r="D209" s="466">
        <f>-SUMIF(Data!$A:$A,MID(D$1,2,1)&amp;"*-"&amp;LEFT($B209,4)&amp;"*",Data!$I:$I)</f>
        <v>0</v>
      </c>
      <c r="E209" s="468"/>
      <c r="F209" s="466">
        <f>-SUMIF(Data!$A:$A,MID(F$1,2,1)&amp;"*-"&amp;LEFT($B209,4)&amp;"*",Data!$I:$I)</f>
        <v>0</v>
      </c>
      <c r="G209" s="466">
        <f>-ROUND(SUMIF(Data!$A:$A,MID(G$1,2,1)&amp;"*-"&amp;LEFT($B209,4)&amp;"*",Data!$I:$I),0)</f>
        <v>0</v>
      </c>
      <c r="H209" s="468"/>
      <c r="I209" s="468"/>
      <c r="J209" s="468"/>
      <c r="K209" s="468"/>
    </row>
    <row r="210" spans="1:11" ht="12.75" customHeight="1" x14ac:dyDescent="0.2">
      <c r="A210" s="463" t="s">
        <v>74</v>
      </c>
      <c r="B210" s="470">
        <v>4399</v>
      </c>
      <c r="C210" s="466">
        <f>-ROUND(SUMIF(Data!$A:$A,MID(C$1,2,1)&amp;"*-"&amp;LEFT($B210,4)&amp;"*",Data!$I:$I),0)</f>
        <v>0</v>
      </c>
      <c r="D210" s="466">
        <f>-SUMIF(Data!$A:$A,MID(D$1,2,1)&amp;"*-"&amp;LEFT($B210,4)&amp;"*",Data!$I:$I)</f>
        <v>0</v>
      </c>
      <c r="E210" s="468"/>
      <c r="F210" s="466">
        <f>-SUMIF(Data!$A:$A,MID(F$1,2,1)&amp;"*-"&amp;LEFT($B210,4)&amp;"*",Data!$I:$I)</f>
        <v>0</v>
      </c>
      <c r="G210" s="466">
        <f>-ROUND(SUMIF(Data!$A:$A,MID(G$1,2,1)&amp;"*-"&amp;LEFT($B210,4)&amp;"*",Data!$I:$I),0)</f>
        <v>0</v>
      </c>
      <c r="H210" s="468"/>
      <c r="I210" s="468"/>
      <c r="J210" s="468"/>
      <c r="K210" s="468"/>
    </row>
    <row r="211" spans="1:11" ht="12.75" customHeight="1" thickBot="1" x14ac:dyDescent="0.25">
      <c r="A211" s="1708" t="s">
        <v>420</v>
      </c>
      <c r="B211" s="1709"/>
      <c r="C211" s="1707">
        <f>SUM(C203:C210)</f>
        <v>565026</v>
      </c>
      <c r="D211" s="1707">
        <f>SUM(D203:D210)</f>
        <v>0</v>
      </c>
      <c r="E211" s="468"/>
      <c r="F211" s="1707">
        <f>SUM(F203:F210)</f>
        <v>0</v>
      </c>
      <c r="G211" s="1707">
        <f>SUM(G203:G210)</f>
        <v>0</v>
      </c>
      <c r="H211" s="468"/>
      <c r="I211" s="468"/>
      <c r="J211" s="468"/>
      <c r="K211" s="468"/>
    </row>
    <row r="212" spans="1:11" ht="15.75" customHeight="1" thickTop="1" x14ac:dyDescent="0.2">
      <c r="A212" s="1602" t="s">
        <v>1201</v>
      </c>
      <c r="B212" s="1607"/>
      <c r="C212" s="552"/>
      <c r="D212" s="552"/>
      <c r="E212" s="468"/>
      <c r="F212" s="552"/>
      <c r="G212" s="552"/>
      <c r="H212" s="468"/>
      <c r="I212" s="468"/>
      <c r="J212" s="468"/>
      <c r="K212" s="468"/>
    </row>
    <row r="213" spans="1:11" ht="12.75" customHeight="1" x14ac:dyDescent="0.2">
      <c r="A213" s="463" t="s">
        <v>783</v>
      </c>
      <c r="B213" s="470">
        <v>4400</v>
      </c>
      <c r="C213" s="466">
        <f>-ROUND(SUMIF(Data!$A:$A,MID(C$1,2,1)&amp;"*-"&amp;LEFT($B213,4)&amp;"*",Data!$I:$I),0)</f>
        <v>18603</v>
      </c>
      <c r="D213" s="466">
        <f>-SUMIF(Data!$A:$A,MID(D$1,2,1)&amp;"*-"&amp;LEFT($B213,4)&amp;"*",Data!$I:$I)</f>
        <v>0</v>
      </c>
      <c r="E213" s="468"/>
      <c r="F213" s="466">
        <f>-SUMIF(Data!$A:$A,MID(F$1,2,1)&amp;"*-"&amp;LEFT($B213,4)&amp;"*",Data!$I:$I)</f>
        <v>0</v>
      </c>
      <c r="G213" s="466">
        <f>-ROUND(SUMIF(Data!$A:$A,MID(G$1,2,1)&amp;"*-"&amp;LEFT($B213,4)&amp;"*",Data!$I:$I),0)</f>
        <v>0</v>
      </c>
      <c r="H213" s="468"/>
      <c r="I213" s="468"/>
      <c r="J213" s="468"/>
      <c r="K213" s="468"/>
    </row>
    <row r="214" spans="1:11" ht="12.75" customHeight="1" x14ac:dyDescent="0.2">
      <c r="A214" s="463" t="s">
        <v>1528</v>
      </c>
      <c r="B214" s="470">
        <v>4421</v>
      </c>
      <c r="C214" s="466">
        <f>-ROUND(SUMIF(Data!$A:$A,MID(C$1,2,1)&amp;"*-"&amp;LEFT($B214,4)&amp;"*",Data!$I:$I),0)</f>
        <v>0</v>
      </c>
      <c r="D214" s="466">
        <f>-SUMIF(Data!$A:$A,MID(D$1,2,1)&amp;"*-"&amp;LEFT($B214,4)&amp;"*",Data!$I:$I)</f>
        <v>0</v>
      </c>
      <c r="E214" s="468"/>
      <c r="F214" s="466">
        <f>-SUMIF(Data!$A:$A,MID(F$1,2,1)&amp;"*-"&amp;LEFT($B214,4)&amp;"*",Data!$I:$I)</f>
        <v>0</v>
      </c>
      <c r="G214" s="466">
        <f>-ROUND(SUMIF(Data!$A:$A,MID(G$1,2,1)&amp;"*-"&amp;LEFT($B214,4)&amp;"*",Data!$I:$I),0)</f>
        <v>0</v>
      </c>
      <c r="H214" s="468"/>
      <c r="I214" s="468"/>
      <c r="J214" s="468"/>
      <c r="K214" s="468"/>
    </row>
    <row r="215" spans="1:11" ht="12.75" customHeight="1" x14ac:dyDescent="0.2">
      <c r="A215" s="463" t="s">
        <v>75</v>
      </c>
      <c r="B215" s="470">
        <v>4499</v>
      </c>
      <c r="C215" s="466">
        <f>-ROUND(SUMIF(Data!$A:$A,MID(C$1,2,1)&amp;"*-"&amp;LEFT($B215,4)&amp;"*",Data!$I:$I),0)</f>
        <v>0</v>
      </c>
      <c r="D215" s="466">
        <f>-SUMIF(Data!$A:$A,MID(D$1,2,1)&amp;"*-"&amp;LEFT($B215,4)&amp;"*",Data!$I:$I)</f>
        <v>0</v>
      </c>
      <c r="E215" s="468"/>
      <c r="F215" s="466">
        <f>-SUMIF(Data!$A:$A,MID(F$1,2,1)&amp;"*-"&amp;LEFT($B215,4)&amp;"*",Data!$I:$I)</f>
        <v>0</v>
      </c>
      <c r="G215" s="466">
        <f>-ROUND(SUMIF(Data!$A:$A,MID(G$1,2,1)&amp;"*-"&amp;LEFT($B215,4)&amp;"*",Data!$I:$I),0)</f>
        <v>0</v>
      </c>
      <c r="H215" s="468"/>
      <c r="I215" s="468"/>
      <c r="J215" s="468"/>
      <c r="K215" s="468"/>
    </row>
    <row r="216" spans="1:11" ht="12.75" customHeight="1" thickBot="1" x14ac:dyDescent="0.25">
      <c r="A216" s="1708" t="s">
        <v>944</v>
      </c>
      <c r="B216" s="1709"/>
      <c r="C216" s="1707">
        <f>SUM(C213:C215)</f>
        <v>18603</v>
      </c>
      <c r="D216" s="1707">
        <f>SUM(D213:D215)</f>
        <v>0</v>
      </c>
      <c r="E216" s="468" t="s">
        <v>1231</v>
      </c>
      <c r="F216" s="1707">
        <f>SUM(F213:F215)</f>
        <v>0</v>
      </c>
      <c r="G216" s="1707">
        <f>SUM(G213:G215)</f>
        <v>0</v>
      </c>
      <c r="H216" s="468"/>
      <c r="I216" s="468"/>
      <c r="J216" s="468"/>
      <c r="K216" s="468"/>
    </row>
    <row r="217" spans="1:11" ht="15.75" customHeight="1" thickTop="1" x14ac:dyDescent="0.2">
      <c r="A217" s="1602" t="s">
        <v>1154</v>
      </c>
      <c r="B217" s="1607"/>
      <c r="C217" s="552"/>
      <c r="D217" s="552"/>
      <c r="E217" s="468"/>
      <c r="F217" s="552"/>
      <c r="G217" s="552"/>
      <c r="H217" s="468"/>
      <c r="I217" s="468"/>
      <c r="J217" s="468"/>
      <c r="K217" s="468"/>
    </row>
    <row r="218" spans="1:11" ht="12.75" customHeight="1" x14ac:dyDescent="0.2">
      <c r="A218" s="463" t="s">
        <v>1112</v>
      </c>
      <c r="B218" s="470">
        <v>4600</v>
      </c>
      <c r="C218" s="466">
        <f>-ROUND(SUMIF(Data!$A:$A,MID(C$1,2,1)&amp;"*-"&amp;LEFT($B218,4)&amp;"*",Data!$I:$I),0)</f>
        <v>589</v>
      </c>
      <c r="D218" s="466">
        <f>-SUMIF(Data!$A:$A,MID(D$1,2,1)&amp;"*-"&amp;LEFT($B218,4)&amp;"*",Data!$I:$I)</f>
        <v>0</v>
      </c>
      <c r="E218" s="468"/>
      <c r="F218" s="466">
        <f>-SUMIF(Data!$A:$A,MID(F$1,2,1)&amp;"*-"&amp;LEFT($B218,4)&amp;"*",Data!$I:$I)</f>
        <v>0</v>
      </c>
      <c r="G218" s="466">
        <f>-ROUND(SUMIF(Data!$A:$A,MID(G$1,2,1)&amp;"*-"&amp;LEFT($B218,4)&amp;"*",Data!$I:$I),0)</f>
        <v>0</v>
      </c>
      <c r="H218" s="468"/>
      <c r="I218" s="468"/>
      <c r="J218" s="468"/>
      <c r="K218" s="468"/>
    </row>
    <row r="219" spans="1:11" ht="12.75" customHeight="1" x14ac:dyDescent="0.2">
      <c r="A219" s="463" t="s">
        <v>1113</v>
      </c>
      <c r="B219" s="470">
        <v>4605</v>
      </c>
      <c r="C219" s="466">
        <f>-ROUND(SUMIF(Data!$A:$A,MID(C$1,2,1)&amp;"*-"&amp;LEFT($B219,4)&amp;"*",Data!$I:$I),0)</f>
        <v>0</v>
      </c>
      <c r="D219" s="466">
        <f>-SUMIF(Data!$A:$A,MID(D$1,2,1)&amp;"*-"&amp;LEFT($B219,4)&amp;"*",Data!$I:$I)</f>
        <v>0</v>
      </c>
      <c r="E219" s="468"/>
      <c r="F219" s="466">
        <f>-SUMIF(Data!$A:$A,MID(F$1,2,1)&amp;"*-"&amp;LEFT($B219,4)&amp;"*",Data!$I:$I)</f>
        <v>0</v>
      </c>
      <c r="G219" s="466">
        <f>-ROUND(SUMIF(Data!$A:$A,MID(G$1,2,1)&amp;"*-"&amp;LEFT($B219,4)&amp;"*",Data!$I:$I),0)</f>
        <v>0</v>
      </c>
      <c r="H219" s="468"/>
      <c r="I219" s="468"/>
      <c r="J219" s="468"/>
      <c r="K219" s="468"/>
    </row>
    <row r="220" spans="1:11" ht="12.75" customHeight="1" x14ac:dyDescent="0.2">
      <c r="A220" s="463" t="s">
        <v>1529</v>
      </c>
      <c r="B220" s="556">
        <v>4620</v>
      </c>
      <c r="C220" s="466">
        <f>-ROUND(SUMIF(Data!$A:$A,MID(C$1,2,1)&amp;"*-"&amp;LEFT($B220,4)&amp;"*",Data!$I:$I),0)</f>
        <v>414716</v>
      </c>
      <c r="D220" s="466">
        <f>-SUMIF(Data!$A:$A,MID(D$1,2,1)&amp;"*-"&amp;LEFT($B220,4)&amp;"*",Data!$I:$I)</f>
        <v>0</v>
      </c>
      <c r="E220" s="468"/>
      <c r="F220" s="466">
        <f>-SUMIF(Data!$A:$A,MID(F$1,2,1)&amp;"*-"&amp;LEFT($B220,4)&amp;"*",Data!$I:$I)</f>
        <v>0</v>
      </c>
      <c r="G220" s="466">
        <f>-ROUND(SUMIF(Data!$A:$A,MID(G$1,2,1)&amp;"*-"&amp;LEFT($B220,4)&amp;"*",Data!$I:$I),0)</f>
        <v>0</v>
      </c>
      <c r="H220" s="468"/>
      <c r="I220" s="468"/>
      <c r="J220" s="468"/>
      <c r="K220" s="468"/>
    </row>
    <row r="221" spans="1:11" ht="12.75" customHeight="1" x14ac:dyDescent="0.2">
      <c r="A221" s="463" t="s">
        <v>1114</v>
      </c>
      <c r="B221" s="470">
        <v>4625</v>
      </c>
      <c r="C221" s="466">
        <f>-ROUND(SUMIF(Data!$A:$A,MID(C$1,2,1)&amp;"*-"&amp;LEFT($B221,4)&amp;"*",Data!$I:$I),0)</f>
        <v>5117</v>
      </c>
      <c r="D221" s="466">
        <f>-SUMIF(Data!$A:$A,MID(D$1,2,1)&amp;"*-"&amp;LEFT($B221,4)&amp;"*",Data!$I:$I)</f>
        <v>0</v>
      </c>
      <c r="E221" s="468"/>
      <c r="F221" s="466">
        <f>-SUMIF(Data!$A:$A,MID(F$1,2,1)&amp;"*-"&amp;LEFT($B221,4)&amp;"*",Data!$I:$I)</f>
        <v>0</v>
      </c>
      <c r="G221" s="466">
        <f>-ROUND(SUMIF(Data!$A:$A,MID(G$1,2,1)&amp;"*-"&amp;LEFT($B221,4)&amp;"*",Data!$I:$I),0)</f>
        <v>0</v>
      </c>
      <c r="H221" s="468"/>
      <c r="I221" s="468"/>
      <c r="J221" s="468"/>
      <c r="K221" s="468"/>
    </row>
    <row r="222" spans="1:11" ht="12.75" customHeight="1" x14ac:dyDescent="0.2">
      <c r="A222" s="463" t="s">
        <v>1115</v>
      </c>
      <c r="B222" s="470">
        <v>4630</v>
      </c>
      <c r="C222" s="466">
        <f>-ROUND(SUMIF(Data!$A:$A,MID(C$1,2,1)&amp;"*-"&amp;LEFT($B222,4)&amp;"*",Data!$I:$I),0)</f>
        <v>0</v>
      </c>
      <c r="D222" s="466">
        <f>-SUMIF(Data!$A:$A,MID(D$1,2,1)&amp;"*-"&amp;LEFT($B222,4)&amp;"*",Data!$I:$I)</f>
        <v>0</v>
      </c>
      <c r="E222" s="468"/>
      <c r="F222" s="466">
        <f>-SUMIF(Data!$A:$A,MID(F$1,2,1)&amp;"*-"&amp;LEFT($B222,4)&amp;"*",Data!$I:$I)</f>
        <v>0</v>
      </c>
      <c r="G222" s="466">
        <f>-ROUND(SUMIF(Data!$A:$A,MID(G$1,2,1)&amp;"*-"&amp;LEFT($B222,4)&amp;"*",Data!$I:$I),0)</f>
        <v>0</v>
      </c>
      <c r="H222" s="468"/>
      <c r="I222" s="468"/>
      <c r="J222" s="468"/>
      <c r="K222" s="468"/>
    </row>
    <row r="223" spans="1:11" ht="12.75" customHeight="1" x14ac:dyDescent="0.2">
      <c r="A223" s="1503" t="s">
        <v>76</v>
      </c>
      <c r="B223" s="556">
        <v>4699</v>
      </c>
      <c r="C223" s="466">
        <f>-ROUND(SUMIF(Data!$A:$A,MID(C$1,2,1)&amp;"*-"&amp;LEFT($B223,4)&amp;"*",Data!$I:$I),0)</f>
        <v>0</v>
      </c>
      <c r="D223" s="466">
        <f>-SUMIF(Data!$A:$A,MID(D$1,2,1)&amp;"*-"&amp;LEFT($B223,4)&amp;"*",Data!$I:$I)</f>
        <v>0</v>
      </c>
      <c r="E223" s="468"/>
      <c r="F223" s="466">
        <f>-SUMIF(Data!$A:$A,MID(F$1,2,1)&amp;"*-"&amp;LEFT($B223,4)&amp;"*",Data!$I:$I)</f>
        <v>0</v>
      </c>
      <c r="G223" s="466">
        <f>-ROUND(SUMIF(Data!$A:$A,MID(G$1,2,1)&amp;"*-"&amp;LEFT($B223,4)&amp;"*",Data!$I:$I),0)</f>
        <v>0</v>
      </c>
      <c r="H223" s="468"/>
      <c r="I223" s="468"/>
      <c r="J223" s="468"/>
      <c r="K223" s="468"/>
    </row>
    <row r="224" spans="1:11" ht="12.75" customHeight="1" thickBot="1" x14ac:dyDescent="0.25">
      <c r="A224" s="1708" t="s">
        <v>467</v>
      </c>
      <c r="B224" s="1709"/>
      <c r="C224" s="1707">
        <f>SUM(C218:C223)</f>
        <v>420422</v>
      </c>
      <c r="D224" s="1707">
        <f>SUM(D218:D223)</f>
        <v>0</v>
      </c>
      <c r="E224" s="468"/>
      <c r="F224" s="1707">
        <f>SUM(F218:F223)</f>
        <v>0</v>
      </c>
      <c r="G224" s="1707">
        <f>SUM(G218:G223)</f>
        <v>0</v>
      </c>
      <c r="H224" s="468"/>
      <c r="I224" s="468"/>
      <c r="J224" s="468"/>
      <c r="K224" s="468"/>
    </row>
    <row r="225" spans="1:11" ht="15.75" customHeight="1" thickTop="1" x14ac:dyDescent="0.2">
      <c r="A225" s="1602" t="s">
        <v>1155</v>
      </c>
      <c r="B225" s="1607"/>
      <c r="C225" s="552"/>
      <c r="D225" s="552"/>
      <c r="E225" s="468"/>
      <c r="F225" s="552"/>
      <c r="G225" s="552"/>
      <c r="H225" s="468"/>
      <c r="I225" s="468"/>
      <c r="J225" s="468"/>
      <c r="K225" s="468"/>
    </row>
    <row r="226" spans="1:11" ht="12.75" customHeight="1" x14ac:dyDescent="0.2">
      <c r="A226" s="463" t="s">
        <v>820</v>
      </c>
      <c r="B226" s="470">
        <v>4770</v>
      </c>
      <c r="C226" s="466">
        <f>-ROUND(SUMIF(Data!$A:$A,MID(C$1,2,1)&amp;"*-"&amp;LEFT($B226,4)&amp;"*",Data!$I:$I),0)</f>
        <v>0</v>
      </c>
      <c r="D226" s="466">
        <f>-SUMIF(Data!$A:$A,MID(D$1,2,1)&amp;"*-"&amp;LEFT($B226,4)&amp;"*",Data!$I:$I)</f>
        <v>0</v>
      </c>
      <c r="E226" s="468"/>
      <c r="F226" s="468"/>
      <c r="G226" s="466">
        <f>-ROUND(SUMIF(Data!$A:$A,MID(G$1,2,1)&amp;"*-"&amp;LEFT($B226,4)&amp;"*",Data!$I:$I),0)</f>
        <v>0</v>
      </c>
      <c r="H226" s="468"/>
      <c r="I226" s="468"/>
      <c r="J226" s="468"/>
      <c r="K226" s="468"/>
    </row>
    <row r="227" spans="1:11" ht="12.75" customHeight="1" x14ac:dyDescent="0.2">
      <c r="A227" s="463" t="s">
        <v>69</v>
      </c>
      <c r="B227" s="470">
        <v>4799</v>
      </c>
      <c r="C227" s="466">
        <f>-ROUND(SUMIF(Data!$A:$A,MID(C$1,2,1)&amp;"*-"&amp;LEFT($B227,4)&amp;"*",Data!$I:$I),0)</f>
        <v>0</v>
      </c>
      <c r="D227" s="466">
        <f>-SUMIF(Data!$A:$A,MID(D$1,2,1)&amp;"*-"&amp;LEFT($B227,4)&amp;"*",Data!$I:$I)</f>
        <v>0</v>
      </c>
      <c r="E227" s="468"/>
      <c r="F227" s="468"/>
      <c r="G227" s="466">
        <f>-ROUND(SUMIF(Data!$A:$A,MID(G$1,2,1)&amp;"*-"&amp;LEFT($B227,4)&amp;"*",Data!$I:$I),0)</f>
        <v>0</v>
      </c>
      <c r="H227" s="468"/>
      <c r="I227" s="468"/>
      <c r="J227" s="468"/>
      <c r="K227" s="468"/>
    </row>
    <row r="228" spans="1:11" ht="12.75" customHeight="1" thickBot="1" x14ac:dyDescent="0.25">
      <c r="A228" s="1723" t="s">
        <v>1145</v>
      </c>
      <c r="B228" s="1724"/>
      <c r="C228" s="1707">
        <f>SUM(C226:C227)</f>
        <v>0</v>
      </c>
      <c r="D228" s="1707">
        <f>SUM(D226:D227)</f>
        <v>0</v>
      </c>
      <c r="E228" s="468"/>
      <c r="F228" s="468"/>
      <c r="G228" s="1707">
        <f>SUM(G226:G227)</f>
        <v>0</v>
      </c>
      <c r="H228" s="468"/>
      <c r="I228" s="468"/>
      <c r="J228" s="468"/>
      <c r="K228" s="468"/>
    </row>
    <row r="229" spans="1:11" ht="12.75" customHeight="1" thickTop="1" x14ac:dyDescent="0.2">
      <c r="A229" s="493" t="s">
        <v>781</v>
      </c>
      <c r="B229" s="491">
        <v>4810</v>
      </c>
      <c r="C229" s="466">
        <f>-ROUND(SUMIF(Data!$A:$A,MID(C$1,2,1)&amp;"*-"&amp;LEFT($B229,4)&amp;"*",Data!$I:$I),0)</f>
        <v>0</v>
      </c>
      <c r="D229" s="466">
        <f>-SUMIF(Data!$A:$A,MID(D$1,2,1)&amp;"*-"&amp;LEFT($B229,4)&amp;"*",Data!$I:$I)</f>
        <v>0</v>
      </c>
      <c r="E229" s="468"/>
      <c r="F229" s="468"/>
      <c r="G229" s="466">
        <f>-SUMIF(Data!$A:$A,MID(G$1,2,1)&amp;"*-"&amp;LEFT($B229,4)&amp;"*",Data!$I:$I)</f>
        <v>0</v>
      </c>
      <c r="H229" s="468"/>
      <c r="I229" s="468"/>
      <c r="J229" s="468"/>
      <c r="K229" s="468"/>
    </row>
    <row r="230" spans="1:11" ht="12.75" customHeight="1" x14ac:dyDescent="0.2">
      <c r="A230" s="493" t="s">
        <v>368</v>
      </c>
      <c r="B230" s="491">
        <v>4850</v>
      </c>
      <c r="C230" s="466">
        <f>-ROUND(SUMIF(Data!$A:$A,MID(C$1,2,1)&amp;"*-"&amp;LEFT($B230,4)&amp;"*",Data!$I:$I),0)</f>
        <v>0</v>
      </c>
      <c r="D230" s="466">
        <f>-SUMIF(Data!$A:$A,MID(D$1,2,1)&amp;"*-"&amp;LEFT($B230,4)&amp;"*",Data!$I:$I)</f>
        <v>0</v>
      </c>
      <c r="E230" s="466">
        <f>-ROUND(SUMIF(Data!$A:$A,MID(E$1,2,1)&amp;"*-"&amp;LEFT($B230,4)&amp;"*",Data!$I:$I),0)</f>
        <v>0</v>
      </c>
      <c r="F230" s="466">
        <f>-SUMIF(Data!$A:$A,MID(F$1,2,1)&amp;"*-"&amp;LEFT($B230,4)&amp;"*",Data!$I:$I)</f>
        <v>0</v>
      </c>
      <c r="G230" s="466">
        <f>-ROUND(SUMIF(Data!$A:$A,MID(G$1,2,1)&amp;"*-"&amp;LEFT($B230,4)&amp;"*",Data!$I:$I),0)</f>
        <v>0</v>
      </c>
      <c r="H230" s="466">
        <f>-SUMIF(Data!$A:$A,MID(H$1,2,1)&amp;"*-"&amp;LEFT($B230,4)&amp;"*",Data!$I:$I)</f>
        <v>0</v>
      </c>
      <c r="I230" s="468"/>
      <c r="J230" s="466">
        <f>-SUMIF(Data!$A:$A,MID(J$1,2,1)&amp;"*-"&amp;LEFT($B230,4)&amp;"*",Data!$I:$I)</f>
        <v>0</v>
      </c>
      <c r="K230" s="466">
        <f>-SUMIF(Data!$A:$A,MID(K$1,2,1)&amp;"*-"&amp;LEFT($B230,4)&amp;"*",Data!$I:$I)</f>
        <v>0</v>
      </c>
    </row>
    <row r="231" spans="1:11" ht="12.75" customHeight="1" x14ac:dyDescent="0.2">
      <c r="A231" s="493" t="s">
        <v>369</v>
      </c>
      <c r="B231" s="491">
        <v>4851</v>
      </c>
      <c r="C231" s="466">
        <f>-ROUND(SUMIF(Data!$A:$A,MID(C$1,2,1)&amp;"*-"&amp;LEFT($B231,4)&amp;"*",Data!$I:$I),0)</f>
        <v>0</v>
      </c>
      <c r="D231" s="466">
        <f>-SUMIF(Data!$A:$A,MID(D$1,2,1)&amp;"*-"&amp;LEFT($B231,4)&amp;"*",Data!$I:$I)</f>
        <v>0</v>
      </c>
      <c r="E231" s="468"/>
      <c r="F231" s="474"/>
      <c r="G231" s="466">
        <f>-ROUND(SUMIF(Data!$A:$A,MID(G$1,2,1)&amp;"*-"&amp;LEFT($B231,4)&amp;"*",Data!$I:$I),0)</f>
        <v>0</v>
      </c>
      <c r="H231" s="468"/>
      <c r="I231" s="468"/>
      <c r="J231" s="468"/>
      <c r="K231" s="468"/>
    </row>
    <row r="232" spans="1:11" ht="12.75" customHeight="1" x14ac:dyDescent="0.2">
      <c r="A232" s="493" t="s">
        <v>370</v>
      </c>
      <c r="B232" s="491">
        <v>4852</v>
      </c>
      <c r="C232" s="466">
        <f>-ROUND(SUMIF(Data!$A:$A,MID(C$1,2,1)&amp;"*-"&amp;LEFT($B232,4)&amp;"*",Data!$I:$I),0)</f>
        <v>0</v>
      </c>
      <c r="D232" s="466">
        <f>-SUMIF(Data!$A:$A,MID(D$1,2,1)&amp;"*-"&amp;LEFT($B232,4)&amp;"*",Data!$I:$I)</f>
        <v>0</v>
      </c>
      <c r="E232" s="466">
        <f>-ROUND(SUMIF(Data!$A:$A,MID(E$1,2,1)&amp;"*-"&amp;LEFT($B232,4)&amp;"*",Data!$I:$I),0)</f>
        <v>0</v>
      </c>
      <c r="F232" s="466">
        <f>-SUMIF(Data!$A:$A,MID(F$1,2,1)&amp;"*-"&amp;LEFT($B232,4)&amp;"*",Data!$I:$I)</f>
        <v>0</v>
      </c>
      <c r="G232" s="466">
        <f>-ROUND(SUMIF(Data!$A:$A,MID(G$1,2,1)&amp;"*-"&amp;LEFT($B232,4)&amp;"*",Data!$I:$I),0)</f>
        <v>0</v>
      </c>
      <c r="H232" s="466">
        <f>-SUMIF(Data!$A:$A,MID(H$1,2,1)&amp;"*-"&amp;LEFT($B232,4)&amp;"*",Data!$I:$I)</f>
        <v>0</v>
      </c>
      <c r="I232" s="468"/>
      <c r="J232" s="466">
        <f>-SUMIF(Data!$A:$A,MID(J$1,2,1)&amp;"*-"&amp;LEFT($B232,4)&amp;"*",Data!$I:$I)</f>
        <v>0</v>
      </c>
      <c r="K232" s="466">
        <f>-SUMIF(Data!$A:$A,MID(K$1,2,1)&amp;"*-"&amp;LEFT($B232,4)&amp;"*",Data!$I:$I)</f>
        <v>0</v>
      </c>
    </row>
    <row r="233" spans="1:11" ht="12.75" customHeight="1" x14ac:dyDescent="0.2">
      <c r="A233" s="493" t="s">
        <v>371</v>
      </c>
      <c r="B233" s="491">
        <v>4853</v>
      </c>
      <c r="C233" s="466">
        <f>-ROUND(SUMIF(Data!$A:$A,MID(C$1,2,1)&amp;"*-"&amp;LEFT($B233,4)&amp;"*",Data!$I:$I),0)</f>
        <v>0</v>
      </c>
      <c r="D233" s="466">
        <f>-SUMIF(Data!$A:$A,MID(D$1,2,1)&amp;"*-"&amp;LEFT($B233,4)&amp;"*",Data!$I:$I)</f>
        <v>0</v>
      </c>
      <c r="E233" s="466">
        <f>-ROUND(SUMIF(Data!$A:$A,MID(E$1,2,1)&amp;"*-"&amp;LEFT($B233,4)&amp;"*",Data!$I:$I),0)</f>
        <v>0</v>
      </c>
      <c r="F233" s="466">
        <f>-SUMIF(Data!$A:$A,MID(F$1,2,1)&amp;"*-"&amp;LEFT($B233,4)&amp;"*",Data!$I:$I)</f>
        <v>0</v>
      </c>
      <c r="G233" s="466">
        <f>-ROUND(SUMIF(Data!$A:$A,MID(G$1,2,1)&amp;"*-"&amp;LEFT($B233,4)&amp;"*",Data!$I:$I),0)</f>
        <v>0</v>
      </c>
      <c r="H233" s="466">
        <f>-SUMIF(Data!$A:$A,MID(H$1,2,1)&amp;"*-"&amp;LEFT($B233,4)&amp;"*",Data!$I:$I)</f>
        <v>0</v>
      </c>
      <c r="I233" s="468"/>
      <c r="J233" s="466">
        <f>-SUMIF(Data!$A:$A,MID(J$1,2,1)&amp;"*-"&amp;LEFT($B233,4)&amp;"*",Data!$I:$I)</f>
        <v>0</v>
      </c>
      <c r="K233" s="466">
        <f>-SUMIF(Data!$A:$A,MID(K$1,2,1)&amp;"*-"&amp;LEFT($B233,4)&amp;"*",Data!$I:$I)</f>
        <v>0</v>
      </c>
    </row>
    <row r="234" spans="1:11" ht="12.75" customHeight="1" x14ac:dyDescent="0.2">
      <c r="A234" s="493" t="s">
        <v>372</v>
      </c>
      <c r="B234" s="491">
        <v>4854</v>
      </c>
      <c r="C234" s="466">
        <f>-ROUND(SUMIF(Data!$A:$A,MID(C$1,2,1)&amp;"*-"&amp;LEFT($B234,4)&amp;"*",Data!$I:$I),0)</f>
        <v>0</v>
      </c>
      <c r="D234" s="466">
        <f>-SUMIF(Data!$A:$A,MID(D$1,2,1)&amp;"*-"&amp;LEFT($B234,4)&amp;"*",Data!$I:$I)</f>
        <v>0</v>
      </c>
      <c r="E234" s="466">
        <f>-ROUND(SUMIF(Data!$A:$A,MID(E$1,2,1)&amp;"*-"&amp;LEFT($B234,4)&amp;"*",Data!$I:$I),0)</f>
        <v>0</v>
      </c>
      <c r="F234" s="466">
        <f>-SUMIF(Data!$A:$A,MID(F$1,2,1)&amp;"*-"&amp;LEFT($B234,4)&amp;"*",Data!$I:$I)</f>
        <v>0</v>
      </c>
      <c r="G234" s="466">
        <f>-ROUND(SUMIF(Data!$A:$A,MID(G$1,2,1)&amp;"*-"&amp;LEFT($B234,4)&amp;"*",Data!$I:$I),0)</f>
        <v>0</v>
      </c>
      <c r="H234" s="466">
        <f>-SUMIF(Data!$A:$A,MID(H$1,2,1)&amp;"*-"&amp;LEFT($B234,4)&amp;"*",Data!$I:$I)</f>
        <v>0</v>
      </c>
      <c r="I234" s="468"/>
      <c r="J234" s="466">
        <f>-SUMIF(Data!$A:$A,MID(J$1,2,1)&amp;"*-"&amp;LEFT($B234,4)&amp;"*",Data!$I:$I)</f>
        <v>0</v>
      </c>
      <c r="K234" s="466">
        <f>-SUMIF(Data!$A:$A,MID(K$1,2,1)&amp;"*-"&amp;LEFT($B234,4)&amp;"*",Data!$I:$I)</f>
        <v>0</v>
      </c>
    </row>
    <row r="235" spans="1:11" ht="12.75" customHeight="1" x14ac:dyDescent="0.2">
      <c r="A235" s="493" t="s">
        <v>484</v>
      </c>
      <c r="B235" s="491">
        <v>4855</v>
      </c>
      <c r="C235" s="466">
        <f>-ROUND(SUMIF(Data!$A:$A,MID(C$1,2,1)&amp;"*-"&amp;LEFT($B235,4)&amp;"*",Data!$I:$I),0)</f>
        <v>0</v>
      </c>
      <c r="D235" s="466">
        <f>-SUMIF(Data!$A:$A,MID(D$1,2,1)&amp;"*-"&amp;LEFT($B235,4)&amp;"*",Data!$I:$I)</f>
        <v>0</v>
      </c>
      <c r="E235" s="466">
        <f>-ROUND(SUMIF(Data!$A:$A,MID(E$1,2,1)&amp;"*-"&amp;LEFT($B235,4)&amp;"*",Data!$I:$I),0)</f>
        <v>0</v>
      </c>
      <c r="F235" s="466">
        <f>-SUMIF(Data!$A:$A,MID(F$1,2,1)&amp;"*-"&amp;LEFT($B235,4)&amp;"*",Data!$I:$I)</f>
        <v>0</v>
      </c>
      <c r="G235" s="466">
        <f>-ROUND(SUMIF(Data!$A:$A,MID(G$1,2,1)&amp;"*-"&amp;LEFT($B235,4)&amp;"*",Data!$I:$I),0)</f>
        <v>0</v>
      </c>
      <c r="H235" s="466">
        <f>-SUMIF(Data!$A:$A,MID(H$1,2,1)&amp;"*-"&amp;LEFT($B235,4)&amp;"*",Data!$I:$I)</f>
        <v>0</v>
      </c>
      <c r="I235" s="468"/>
      <c r="J235" s="466">
        <f>-SUMIF(Data!$A:$A,MID(J$1,2,1)&amp;"*-"&amp;LEFT($B235,4)&amp;"*",Data!$I:$I)</f>
        <v>0</v>
      </c>
      <c r="K235" s="466">
        <f>-SUMIF(Data!$A:$A,MID(K$1,2,1)&amp;"*-"&amp;LEFT($B235,4)&amp;"*",Data!$I:$I)</f>
        <v>0</v>
      </c>
    </row>
    <row r="236" spans="1:11" ht="12.75" customHeight="1" x14ac:dyDescent="0.2">
      <c r="A236" s="493" t="s">
        <v>373</v>
      </c>
      <c r="B236" s="491">
        <v>4856</v>
      </c>
      <c r="C236" s="466">
        <f>-ROUND(SUMIF(Data!$A:$A,MID(C$1,2,1)&amp;"*-"&amp;LEFT($B236,4)&amp;"*",Data!$I:$I),0)</f>
        <v>0</v>
      </c>
      <c r="D236" s="466">
        <f>-SUMIF(Data!$A:$A,MID(D$1,2,1)&amp;"*-"&amp;LEFT($B236,4)&amp;"*",Data!$I:$I)</f>
        <v>0</v>
      </c>
      <c r="E236" s="466">
        <f>-ROUND(SUMIF(Data!$A:$A,MID(E$1,2,1)&amp;"*-"&amp;LEFT($B236,4)&amp;"*",Data!$I:$I),0)</f>
        <v>0</v>
      </c>
      <c r="F236" s="466">
        <f>-SUMIF(Data!$A:$A,MID(F$1,2,1)&amp;"*-"&amp;LEFT($B236,4)&amp;"*",Data!$I:$I)</f>
        <v>0</v>
      </c>
      <c r="G236" s="466">
        <f>-ROUND(SUMIF(Data!$A:$A,MID(G$1,2,1)&amp;"*-"&amp;LEFT($B236,4)&amp;"*",Data!$I:$I),0)</f>
        <v>0</v>
      </c>
      <c r="H236" s="466">
        <f>-SUMIF(Data!$A:$A,MID(H$1,2,1)&amp;"*-"&amp;LEFT($B236,4)&amp;"*",Data!$I:$I)</f>
        <v>0</v>
      </c>
      <c r="I236" s="468"/>
      <c r="J236" s="466">
        <f>-SUMIF(Data!$A:$A,MID(J$1,2,1)&amp;"*-"&amp;LEFT($B236,4)&amp;"*",Data!$I:$I)</f>
        <v>0</v>
      </c>
      <c r="K236" s="466">
        <f>-SUMIF(Data!$A:$A,MID(K$1,2,1)&amp;"*-"&amp;LEFT($B236,4)&amp;"*",Data!$I:$I)</f>
        <v>0</v>
      </c>
    </row>
    <row r="237" spans="1:11" ht="12.75" customHeight="1" x14ac:dyDescent="0.2">
      <c r="A237" s="493" t="s">
        <v>374</v>
      </c>
      <c r="B237" s="491">
        <v>4857</v>
      </c>
      <c r="C237" s="466">
        <f>-ROUND(SUMIF(Data!$A:$A,MID(C$1,2,1)&amp;"*-"&amp;LEFT($B237,4)&amp;"*",Data!$I:$I),0)</f>
        <v>0</v>
      </c>
      <c r="D237" s="466">
        <f>-SUMIF(Data!$A:$A,MID(D$1,2,1)&amp;"*-"&amp;LEFT($B237,4)&amp;"*",Data!$I:$I)</f>
        <v>0</v>
      </c>
      <c r="E237" s="466">
        <f>-ROUND(SUMIF(Data!$A:$A,MID(E$1,2,1)&amp;"*-"&amp;LEFT($B237,4)&amp;"*",Data!$I:$I),0)</f>
        <v>0</v>
      </c>
      <c r="F237" s="466">
        <f>-SUMIF(Data!$A:$A,MID(F$1,2,1)&amp;"*-"&amp;LEFT($B237,4)&amp;"*",Data!$I:$I)</f>
        <v>0</v>
      </c>
      <c r="G237" s="466">
        <f>-ROUND(SUMIF(Data!$A:$A,MID(G$1,2,1)&amp;"*-"&amp;LEFT($B237,4)&amp;"*",Data!$I:$I),0)</f>
        <v>0</v>
      </c>
      <c r="H237" s="466">
        <f>-SUMIF(Data!$A:$A,MID(H$1,2,1)&amp;"*-"&amp;LEFT($B237,4)&amp;"*",Data!$I:$I)</f>
        <v>0</v>
      </c>
      <c r="I237" s="468"/>
      <c r="J237" s="466">
        <f>-SUMIF(Data!$A:$A,MID(J$1,2,1)&amp;"*-"&amp;LEFT($B237,4)&amp;"*",Data!$I:$I)</f>
        <v>0</v>
      </c>
      <c r="K237" s="466">
        <f>-SUMIF(Data!$A:$A,MID(K$1,2,1)&amp;"*-"&amp;LEFT($B237,4)&amp;"*",Data!$I:$I)</f>
        <v>0</v>
      </c>
    </row>
    <row r="238" spans="1:11" ht="12.75" customHeight="1" x14ac:dyDescent="0.2">
      <c r="A238" s="493" t="s">
        <v>375</v>
      </c>
      <c r="B238" s="491">
        <v>4860</v>
      </c>
      <c r="C238" s="466">
        <f>-ROUND(SUMIF(Data!$A:$A,MID(C$1,2,1)&amp;"*-"&amp;LEFT($B238,4)&amp;"*",Data!$I:$I),0)</f>
        <v>0</v>
      </c>
      <c r="D238" s="466">
        <f>-SUMIF(Data!$A:$A,MID(D$1,2,1)&amp;"*-"&amp;LEFT($B238,4)&amp;"*",Data!$I:$I)</f>
        <v>0</v>
      </c>
      <c r="E238" s="466">
        <f>-ROUND(SUMIF(Data!$A:$A,MID(E$1,2,1)&amp;"*-"&amp;LEFT($B238,4)&amp;"*",Data!$I:$I),0)</f>
        <v>0</v>
      </c>
      <c r="F238" s="466">
        <f>-SUMIF(Data!$A:$A,MID(F$1,2,1)&amp;"*-"&amp;LEFT($B238,4)&amp;"*",Data!$I:$I)</f>
        <v>0</v>
      </c>
      <c r="G238" s="466">
        <f>-ROUND(SUMIF(Data!$A:$A,MID(G$1,2,1)&amp;"*-"&amp;LEFT($B238,4)&amp;"*",Data!$I:$I),0)</f>
        <v>0</v>
      </c>
      <c r="H238" s="466">
        <f>-SUMIF(Data!$A:$A,MID(H$1,2,1)&amp;"*-"&amp;LEFT($B238,4)&amp;"*",Data!$I:$I)</f>
        <v>0</v>
      </c>
      <c r="I238" s="468"/>
      <c r="J238" s="466">
        <f>-SUMIF(Data!$A:$A,MID(J$1,2,1)&amp;"*-"&amp;LEFT($B238,4)&amp;"*",Data!$I:$I)</f>
        <v>0</v>
      </c>
      <c r="K238" s="466">
        <f>-SUMIF(Data!$A:$A,MID(K$1,2,1)&amp;"*-"&amp;LEFT($B238,4)&amp;"*",Data!$I:$I)</f>
        <v>0</v>
      </c>
    </row>
    <row r="239" spans="1:11" ht="12.75" customHeight="1" x14ac:dyDescent="0.2">
      <c r="A239" s="493" t="s">
        <v>376</v>
      </c>
      <c r="B239" s="491">
        <v>4861</v>
      </c>
      <c r="C239" s="466">
        <f>-ROUND(SUMIF(Data!$A:$A,MID(C$1,2,1)&amp;"*-"&amp;LEFT($B239,4)&amp;"*",Data!$I:$I),0)</f>
        <v>0</v>
      </c>
      <c r="D239" s="466">
        <f>-SUMIF(Data!$A:$A,MID(D$1,2,1)&amp;"*-"&amp;LEFT($B239,4)&amp;"*",Data!$I:$I)</f>
        <v>0</v>
      </c>
      <c r="E239" s="466">
        <f>-ROUND(SUMIF(Data!$A:$A,MID(E$1,2,1)&amp;"*-"&amp;LEFT($B239,4)&amp;"*",Data!$I:$I),0)</f>
        <v>0</v>
      </c>
      <c r="F239" s="466">
        <f>-SUMIF(Data!$A:$A,MID(F$1,2,1)&amp;"*-"&amp;LEFT($B239,4)&amp;"*",Data!$I:$I)</f>
        <v>0</v>
      </c>
      <c r="G239" s="466">
        <f>-ROUND(SUMIF(Data!$A:$A,MID(G$1,2,1)&amp;"*-"&amp;LEFT($B239,4)&amp;"*",Data!$I:$I),0)</f>
        <v>0</v>
      </c>
      <c r="H239" s="466">
        <f>-SUMIF(Data!$A:$A,MID(H$1,2,1)&amp;"*-"&amp;LEFT($B239,4)&amp;"*",Data!$I:$I)</f>
        <v>0</v>
      </c>
      <c r="I239" s="468"/>
      <c r="J239" s="466">
        <f>-SUMIF(Data!$A:$A,MID(J$1,2,1)&amp;"*-"&amp;LEFT($B239,4)&amp;"*",Data!$I:$I)</f>
        <v>0</v>
      </c>
      <c r="K239" s="466">
        <f>-SUMIF(Data!$A:$A,MID(K$1,2,1)&amp;"*-"&amp;LEFT($B239,4)&amp;"*",Data!$I:$I)</f>
        <v>0</v>
      </c>
    </row>
    <row r="240" spans="1:11" ht="12.75" customHeight="1" x14ac:dyDescent="0.2">
      <c r="A240" s="493" t="s">
        <v>377</v>
      </c>
      <c r="B240" s="491">
        <v>4862</v>
      </c>
      <c r="C240" s="466">
        <f>-ROUND(SUMIF(Data!$A:$A,MID(C$1,2,1)&amp;"*-"&amp;LEFT($B240,4)&amp;"*",Data!$I:$I),0)</f>
        <v>0</v>
      </c>
      <c r="D240" s="466">
        <f>-SUMIF(Data!$A:$A,MID(D$1,2,1)&amp;"*-"&amp;LEFT($B240,4)&amp;"*",Data!$I:$I)</f>
        <v>0</v>
      </c>
      <c r="E240" s="475"/>
      <c r="F240" s="466">
        <f>-SUMIF(Data!$A:$A,MID(F$1,2,1)&amp;"*-"&amp;LEFT($B240,4)&amp;"*",Data!$I:$I)</f>
        <v>0</v>
      </c>
      <c r="G240" s="466">
        <f>-ROUND(SUMIF(Data!$A:$A,MID(G$1,2,1)&amp;"*-"&amp;LEFT($B240,4)&amp;"*",Data!$I:$I),0)</f>
        <v>0</v>
      </c>
      <c r="H240" s="475"/>
      <c r="I240" s="468"/>
      <c r="J240" s="475"/>
      <c r="K240" s="475"/>
    </row>
    <row r="241" spans="1:11" ht="12.75" customHeight="1" x14ac:dyDescent="0.2">
      <c r="A241" s="493" t="s">
        <v>378</v>
      </c>
      <c r="B241" s="491">
        <v>4863</v>
      </c>
      <c r="C241" s="466">
        <f>-ROUND(SUMIF(Data!$A:$A,MID(C$1,2,1)&amp;"*-"&amp;LEFT($B241,4)&amp;"*",Data!$I:$I),0)</f>
        <v>0</v>
      </c>
      <c r="D241" s="466">
        <f>-SUMIF(Data!$A:$A,MID(D$1,2,1)&amp;"*-"&amp;LEFT($B241,4)&amp;"*",Data!$I:$I)</f>
        <v>0</v>
      </c>
      <c r="E241" s="468"/>
      <c r="F241" s="475"/>
      <c r="G241" s="526"/>
      <c r="H241" s="468"/>
      <c r="I241" s="468"/>
      <c r="J241" s="468"/>
      <c r="K241" s="468"/>
    </row>
    <row r="242" spans="1:11" ht="12.75" customHeight="1" x14ac:dyDescent="0.2">
      <c r="A242" s="493" t="s">
        <v>489</v>
      </c>
      <c r="B242" s="491">
        <v>4864</v>
      </c>
      <c r="C242" s="466">
        <f>-ROUND(SUMIF(Data!$A:$A,MID(C$1,2,1)&amp;"*-"&amp;LEFT($B242,4)&amp;"*",Data!$I:$I),0)</f>
        <v>0</v>
      </c>
      <c r="D242" s="466">
        <f>-SUMIF(Data!$A:$A,MID(D$1,2,1)&amp;"*-"&amp;LEFT($B242,4)&amp;"*",Data!$I:$I)</f>
        <v>0</v>
      </c>
      <c r="E242" s="466">
        <f>-ROUND(SUMIF(Data!$A:$A,MID(E$1,2,1)&amp;"*-"&amp;LEFT($B242,4)&amp;"*",Data!$I:$I),0)</f>
        <v>0</v>
      </c>
      <c r="F242" s="466">
        <f>-SUMIF(Data!$A:$A,MID(F$1,2,1)&amp;"*-"&amp;LEFT($B242,4)&amp;"*",Data!$I:$I)</f>
        <v>0</v>
      </c>
      <c r="G242" s="466">
        <f>-ROUND(SUMIF(Data!$A:$A,MID(G$1,2,1)&amp;"*-"&amp;LEFT($B242,4)&amp;"*",Data!$I:$I),0)</f>
        <v>0</v>
      </c>
      <c r="H242" s="466">
        <f>-SUMIF(Data!$A:$A,MID(H$1,2,1)&amp;"*-"&amp;LEFT($B242,4)&amp;"*",Data!$I:$I)</f>
        <v>0</v>
      </c>
      <c r="I242" s="468"/>
      <c r="J242" s="466">
        <f>-SUMIF(Data!$A:$A,MID(J$1,2,1)&amp;"*-"&amp;LEFT($B242,4)&amp;"*",Data!$I:$I)</f>
        <v>0</v>
      </c>
      <c r="K242" s="466">
        <f>-SUMIF(Data!$A:$A,MID(K$1,2,1)&amp;"*-"&amp;LEFT($B242,4)&amp;"*",Data!$I:$I)</f>
        <v>0</v>
      </c>
    </row>
    <row r="243" spans="1:11" ht="12.75" customHeight="1" x14ac:dyDescent="0.2">
      <c r="A243" s="493" t="s">
        <v>490</v>
      </c>
      <c r="B243" s="491">
        <v>4865</v>
      </c>
      <c r="C243" s="466">
        <f>-ROUND(SUMIF(Data!$A:$A,MID(C$1,2,1)&amp;"*-"&amp;LEFT($B243,4)&amp;"*",Data!$I:$I),0)</f>
        <v>0</v>
      </c>
      <c r="D243" s="466">
        <f>-SUMIF(Data!$A:$A,MID(D$1,2,1)&amp;"*-"&amp;LEFT($B243,4)&amp;"*",Data!$I:$I)</f>
        <v>0</v>
      </c>
      <c r="E243" s="466">
        <f>-ROUND(SUMIF(Data!$A:$A,MID(E$1,2,1)&amp;"*-"&amp;LEFT($B243,4)&amp;"*",Data!$I:$I),0)</f>
        <v>0</v>
      </c>
      <c r="F243" s="466">
        <f>-SUMIF(Data!$A:$A,MID(F$1,2,1)&amp;"*-"&amp;LEFT($B243,4)&amp;"*",Data!$I:$I)</f>
        <v>0</v>
      </c>
      <c r="G243" s="466">
        <f>-ROUND(SUMIF(Data!$A:$A,MID(G$1,2,1)&amp;"*-"&amp;LEFT($B243,4)&amp;"*",Data!$I:$I),0)</f>
        <v>0</v>
      </c>
      <c r="H243" s="466">
        <f>-SUMIF(Data!$A:$A,MID(H$1,2,1)&amp;"*-"&amp;LEFT($B243,4)&amp;"*",Data!$I:$I)</f>
        <v>0</v>
      </c>
      <c r="I243" s="468"/>
      <c r="J243" s="466">
        <f>-SUMIF(Data!$A:$A,MID(J$1,2,1)&amp;"*-"&amp;LEFT($B243,4)&amp;"*",Data!$I:$I)</f>
        <v>0</v>
      </c>
      <c r="K243" s="466">
        <f>-SUMIF(Data!$A:$A,MID(K$1,2,1)&amp;"*-"&amp;LEFT($B243,4)&amp;"*",Data!$I:$I)</f>
        <v>0</v>
      </c>
    </row>
    <row r="244" spans="1:11" ht="12.75" customHeight="1" x14ac:dyDescent="0.2">
      <c r="A244" s="493" t="s">
        <v>488</v>
      </c>
      <c r="B244" s="491">
        <v>4866</v>
      </c>
      <c r="C244" s="466">
        <f>-ROUND(SUMIF(Data!$A:$A,MID(C$1,2,1)&amp;"*-"&amp;LEFT($B244,4)&amp;"*",Data!$I:$I),0)</f>
        <v>0</v>
      </c>
      <c r="D244" s="466">
        <f>-SUMIF(Data!$A:$A,MID(D$1,2,1)&amp;"*-"&amp;LEFT($B244,4)&amp;"*",Data!$I:$I)</f>
        <v>0</v>
      </c>
      <c r="E244" s="466">
        <f>-ROUND(SUMIF(Data!$A:$A,MID(E$1,2,1)&amp;"*-"&amp;LEFT($B244,4)&amp;"*",Data!$I:$I),0)</f>
        <v>0</v>
      </c>
      <c r="F244" s="466">
        <f>-SUMIF(Data!$A:$A,MID(F$1,2,1)&amp;"*-"&amp;LEFT($B244,4)&amp;"*",Data!$I:$I)</f>
        <v>0</v>
      </c>
      <c r="G244" s="466">
        <f>-ROUND(SUMIF(Data!$A:$A,MID(G$1,2,1)&amp;"*-"&amp;LEFT($B244,4)&amp;"*",Data!$I:$I),0)</f>
        <v>0</v>
      </c>
      <c r="H244" s="466">
        <f>-SUMIF(Data!$A:$A,MID(H$1,2,1)&amp;"*-"&amp;LEFT($B244,4)&amp;"*",Data!$I:$I)</f>
        <v>0</v>
      </c>
      <c r="I244" s="468"/>
      <c r="J244" s="466">
        <f>-SUMIF(Data!$A:$A,MID(J$1,2,1)&amp;"*-"&amp;LEFT($B244,4)&amp;"*",Data!$I:$I)</f>
        <v>0</v>
      </c>
      <c r="K244" s="466">
        <f>-SUMIF(Data!$A:$A,MID(K$1,2,1)&amp;"*-"&amp;LEFT($B244,4)&amp;"*",Data!$I:$I)</f>
        <v>0</v>
      </c>
    </row>
    <row r="245" spans="1:11" ht="12.75" customHeight="1" x14ac:dyDescent="0.2">
      <c r="A245" s="493" t="s">
        <v>487</v>
      </c>
      <c r="B245" s="491">
        <v>4867</v>
      </c>
      <c r="C245" s="466">
        <f>-ROUND(SUMIF(Data!$A:$A,MID(C$1,2,1)&amp;"*-"&amp;LEFT($B245,4)&amp;"*",Data!$I:$I),0)</f>
        <v>0</v>
      </c>
      <c r="D245" s="466">
        <f>-SUMIF(Data!$A:$A,MID(D$1,2,1)&amp;"*-"&amp;LEFT($B245,4)&amp;"*",Data!$I:$I)</f>
        <v>0</v>
      </c>
      <c r="E245" s="466">
        <f>-ROUND(SUMIF(Data!$A:$A,MID(E$1,2,1)&amp;"*-"&amp;LEFT($B245,4)&amp;"*",Data!$I:$I),0)</f>
        <v>0</v>
      </c>
      <c r="F245" s="466">
        <f>-SUMIF(Data!$A:$A,MID(F$1,2,1)&amp;"*-"&amp;LEFT($B245,4)&amp;"*",Data!$I:$I)</f>
        <v>0</v>
      </c>
      <c r="G245" s="466">
        <f>-ROUND(SUMIF(Data!$A:$A,MID(G$1,2,1)&amp;"*-"&amp;LEFT($B245,4)&amp;"*",Data!$I:$I),0)</f>
        <v>0</v>
      </c>
      <c r="H245" s="466">
        <f>-SUMIF(Data!$A:$A,MID(H$1,2,1)&amp;"*-"&amp;LEFT($B245,4)&amp;"*",Data!$I:$I)</f>
        <v>0</v>
      </c>
      <c r="I245" s="468"/>
      <c r="J245" s="466">
        <f>-SUMIF(Data!$A:$A,MID(J$1,2,1)&amp;"*-"&amp;LEFT($B245,4)&amp;"*",Data!$I:$I)</f>
        <v>0</v>
      </c>
      <c r="K245" s="466">
        <f>-SUMIF(Data!$A:$A,MID(K$1,2,1)&amp;"*-"&amp;LEFT($B245,4)&amp;"*",Data!$I:$I)</f>
        <v>0</v>
      </c>
    </row>
    <row r="246" spans="1:11" ht="12.75" customHeight="1" x14ac:dyDescent="0.2">
      <c r="A246" s="493" t="s">
        <v>486</v>
      </c>
      <c r="B246" s="491">
        <v>4868</v>
      </c>
      <c r="C246" s="466">
        <f>-ROUND(SUMIF(Data!$A:$A,MID(C$1,2,1)&amp;"*-"&amp;LEFT($B246,4)&amp;"*",Data!$I:$I),0)</f>
        <v>0</v>
      </c>
      <c r="D246" s="466">
        <f>-SUMIF(Data!$A:$A,MID(D$1,2,1)&amp;"*-"&amp;LEFT($B246,4)&amp;"*",Data!$I:$I)</f>
        <v>0</v>
      </c>
      <c r="E246" s="466">
        <f>-ROUND(SUMIF(Data!$A:$A,MID(E$1,2,1)&amp;"*-"&amp;LEFT($B246,4)&amp;"*",Data!$I:$I),0)</f>
        <v>0</v>
      </c>
      <c r="F246" s="466">
        <f>-SUMIF(Data!$A:$A,MID(F$1,2,1)&amp;"*-"&amp;LEFT($B246,4)&amp;"*",Data!$I:$I)</f>
        <v>0</v>
      </c>
      <c r="G246" s="466">
        <f>-ROUND(SUMIF(Data!$A:$A,MID(G$1,2,1)&amp;"*-"&amp;LEFT($B246,4)&amp;"*",Data!$I:$I),0)</f>
        <v>0</v>
      </c>
      <c r="H246" s="466">
        <f>-SUMIF(Data!$A:$A,MID(H$1,2,1)&amp;"*-"&amp;LEFT($B246,4)&amp;"*",Data!$I:$I)</f>
        <v>0</v>
      </c>
      <c r="I246" s="468"/>
      <c r="J246" s="466">
        <f>-SUMIF(Data!$A:$A,MID(J$1,2,1)&amp;"*-"&amp;LEFT($B246,4)&amp;"*",Data!$I:$I)</f>
        <v>0</v>
      </c>
      <c r="K246" s="466">
        <f>-SUMIF(Data!$A:$A,MID(K$1,2,1)&amp;"*-"&amp;LEFT($B246,4)&amp;"*",Data!$I:$I)</f>
        <v>0</v>
      </c>
    </row>
    <row r="247" spans="1:11" ht="12.75" customHeight="1" x14ac:dyDescent="0.2">
      <c r="A247" s="493" t="s">
        <v>485</v>
      </c>
      <c r="B247" s="491">
        <v>4869</v>
      </c>
      <c r="C247" s="466">
        <f>-ROUND(SUMIF(Data!$A:$A,MID(C$1,2,1)&amp;"*-"&amp;LEFT($B247,4)&amp;"*",Data!$I:$I),0)</f>
        <v>0</v>
      </c>
      <c r="D247" s="466">
        <f>-SUMIF(Data!$A:$A,MID(D$1,2,1)&amp;"*-"&amp;LEFT($B247,4)&amp;"*",Data!$I:$I)</f>
        <v>0</v>
      </c>
      <c r="E247" s="466">
        <f>-ROUND(SUMIF(Data!$A:$A,MID(E$1,2,1)&amp;"*-"&amp;LEFT($B247,4)&amp;"*",Data!$I:$I),0)</f>
        <v>0</v>
      </c>
      <c r="F247" s="466">
        <f>-SUMIF(Data!$A:$A,MID(F$1,2,1)&amp;"*-"&amp;LEFT($B247,4)&amp;"*",Data!$I:$I)</f>
        <v>0</v>
      </c>
      <c r="G247" s="466">
        <f>-ROUND(SUMIF(Data!$A:$A,MID(G$1,2,1)&amp;"*-"&amp;LEFT($B247,4)&amp;"*",Data!$I:$I),0)</f>
        <v>0</v>
      </c>
      <c r="H247" s="466">
        <f>-SUMIF(Data!$A:$A,MID(H$1,2,1)&amp;"*-"&amp;LEFT($B247,4)&amp;"*",Data!$I:$I)</f>
        <v>0</v>
      </c>
      <c r="I247" s="468"/>
      <c r="J247" s="466">
        <f>-SUMIF(Data!$A:$A,MID(J$1,2,1)&amp;"*-"&amp;LEFT($B247,4)&amp;"*",Data!$I:$I)</f>
        <v>0</v>
      </c>
      <c r="K247" s="466">
        <f>-SUMIF(Data!$A:$A,MID(K$1,2,1)&amp;"*-"&amp;LEFT($B247,4)&amp;"*",Data!$I:$I)</f>
        <v>0</v>
      </c>
    </row>
    <row r="248" spans="1:11" ht="12.75" customHeight="1" x14ac:dyDescent="0.2">
      <c r="A248" s="493" t="s">
        <v>1190</v>
      </c>
      <c r="B248" s="491">
        <v>4870</v>
      </c>
      <c r="C248" s="466">
        <f>-ROUND(SUMIF(Data!$A:$A,MID(C$1,2,1)&amp;"*-"&amp;LEFT($B248,4)&amp;"*",Data!$I:$I),0)</f>
        <v>0</v>
      </c>
      <c r="D248" s="466">
        <f>-SUMIF(Data!$A:$A,MID(D$1,2,1)&amp;"*-"&amp;LEFT($B248,4)&amp;"*",Data!$I:$I)</f>
        <v>0</v>
      </c>
      <c r="E248" s="466">
        <f>-ROUND(SUMIF(Data!$A:$A,MID(E$1,2,1)&amp;"*-"&amp;LEFT($B248,4)&amp;"*",Data!$I:$I),0)</f>
        <v>0</v>
      </c>
      <c r="F248" s="466">
        <f>-SUMIF(Data!$A:$A,MID(F$1,2,1)&amp;"*-"&amp;LEFT($B248,4)&amp;"*",Data!$I:$I)</f>
        <v>0</v>
      </c>
      <c r="G248" s="466">
        <f>-ROUND(SUMIF(Data!$A:$A,MID(G$1,2,1)&amp;"*-"&amp;LEFT($B248,4)&amp;"*",Data!$I:$I),0)</f>
        <v>0</v>
      </c>
      <c r="H248" s="466">
        <f>-SUMIF(Data!$A:$A,MID(H$1,2,1)&amp;"*-"&amp;LEFT($B248,4)&amp;"*",Data!$I:$I)</f>
        <v>0</v>
      </c>
      <c r="I248" s="468"/>
      <c r="J248" s="466">
        <f>-SUMIF(Data!$A:$A,MID(J$1,2,1)&amp;"*-"&amp;LEFT($B248,4)&amp;"*",Data!$I:$I)</f>
        <v>0</v>
      </c>
      <c r="K248" s="466">
        <f>-SUMIF(Data!$A:$A,MID(K$1,2,1)&amp;"*-"&amp;LEFT($B248,4)&amp;"*",Data!$I:$I)</f>
        <v>0</v>
      </c>
    </row>
    <row r="249" spans="1:11" ht="12.75" customHeight="1" x14ac:dyDescent="0.2">
      <c r="A249" s="493" t="s">
        <v>821</v>
      </c>
      <c r="B249" s="491">
        <v>4871</v>
      </c>
      <c r="C249" s="466">
        <f>-ROUND(SUMIF(Data!$A:$A,MID(C$1,2,1)&amp;"*-"&amp;LEFT($B249,4)&amp;"*",Data!$I:$I),0)</f>
        <v>0</v>
      </c>
      <c r="D249" s="466">
        <f>-SUMIF(Data!$A:$A,MID(D$1,2,1)&amp;"*-"&amp;LEFT($B249,4)&amp;"*",Data!$I:$I)</f>
        <v>0</v>
      </c>
      <c r="E249" s="466">
        <f>-ROUND(SUMIF(Data!$A:$A,MID(E$1,2,1)&amp;"*-"&amp;LEFT($B249,4)&amp;"*",Data!$I:$I),0)</f>
        <v>0</v>
      </c>
      <c r="F249" s="466">
        <f>-SUMIF(Data!$A:$A,MID(F$1,2,1)&amp;"*-"&amp;LEFT($B249,4)&amp;"*",Data!$I:$I)</f>
        <v>0</v>
      </c>
      <c r="G249" s="466">
        <f>-ROUND(SUMIF(Data!$A:$A,MID(G$1,2,1)&amp;"*-"&amp;LEFT($B249,4)&amp;"*",Data!$I:$I),0)</f>
        <v>0</v>
      </c>
      <c r="H249" s="466">
        <f>-SUMIF(Data!$A:$A,MID(H$1,2,1)&amp;"*-"&amp;LEFT($B249,4)&amp;"*",Data!$I:$I)</f>
        <v>0</v>
      </c>
      <c r="I249" s="468"/>
      <c r="J249" s="466">
        <f>-SUMIF(Data!$A:$A,MID(J$1,2,1)&amp;"*-"&amp;LEFT($B249,4)&amp;"*",Data!$I:$I)</f>
        <v>0</v>
      </c>
      <c r="K249" s="466">
        <f>-SUMIF(Data!$A:$A,MID(K$1,2,1)&amp;"*-"&amp;LEFT($B249,4)&amp;"*",Data!$I:$I)</f>
        <v>0</v>
      </c>
    </row>
    <row r="250" spans="1:11" ht="12.75" customHeight="1" x14ac:dyDescent="0.2">
      <c r="A250" s="493" t="s">
        <v>822</v>
      </c>
      <c r="B250" s="491">
        <v>4872</v>
      </c>
      <c r="C250" s="466">
        <f>-ROUND(SUMIF(Data!$A:$A,MID(C$1,2,1)&amp;"*-"&amp;LEFT($B250,4)&amp;"*",Data!$I:$I),0)</f>
        <v>0</v>
      </c>
      <c r="D250" s="466">
        <f>-SUMIF(Data!$A:$A,MID(D$1,2,1)&amp;"*-"&amp;LEFT($B250,4)&amp;"*",Data!$I:$I)</f>
        <v>0</v>
      </c>
      <c r="E250" s="466">
        <f>-ROUND(SUMIF(Data!$A:$A,MID(E$1,2,1)&amp;"*-"&amp;LEFT($B250,4)&amp;"*",Data!$I:$I),0)</f>
        <v>0</v>
      </c>
      <c r="F250" s="466">
        <f>-SUMIF(Data!$A:$A,MID(F$1,2,1)&amp;"*-"&amp;LEFT($B250,4)&amp;"*",Data!$I:$I)</f>
        <v>0</v>
      </c>
      <c r="G250" s="466">
        <f>-ROUND(SUMIF(Data!$A:$A,MID(G$1,2,1)&amp;"*-"&amp;LEFT($B250,4)&amp;"*",Data!$I:$I),0)</f>
        <v>0</v>
      </c>
      <c r="H250" s="466">
        <f>-SUMIF(Data!$A:$A,MID(H$1,2,1)&amp;"*-"&amp;LEFT($B250,4)&amp;"*",Data!$I:$I)</f>
        <v>0</v>
      </c>
      <c r="I250" s="468"/>
      <c r="J250" s="466">
        <f>-SUMIF(Data!$A:$A,MID(J$1,2,1)&amp;"*-"&amp;LEFT($B250,4)&amp;"*",Data!$I:$I)</f>
        <v>0</v>
      </c>
      <c r="K250" s="466">
        <f>-SUMIF(Data!$A:$A,MID(K$1,2,1)&amp;"*-"&amp;LEFT($B250,4)&amp;"*",Data!$I:$I)</f>
        <v>0</v>
      </c>
    </row>
    <row r="251" spans="1:11" ht="12.75" customHeight="1" x14ac:dyDescent="0.2">
      <c r="A251" s="493" t="s">
        <v>823</v>
      </c>
      <c r="B251" s="491">
        <v>4873</v>
      </c>
      <c r="C251" s="466">
        <f>-ROUND(SUMIF(Data!$A:$A,MID(C$1,2,1)&amp;"*-"&amp;LEFT($B251,4)&amp;"*",Data!$I:$I),0)</f>
        <v>0</v>
      </c>
      <c r="D251" s="466">
        <f>-SUMIF(Data!$A:$A,MID(D$1,2,1)&amp;"*-"&amp;LEFT($B251,4)&amp;"*",Data!$I:$I)</f>
        <v>0</v>
      </c>
      <c r="E251" s="466">
        <f>-ROUND(SUMIF(Data!$A:$A,MID(E$1,2,1)&amp;"*-"&amp;LEFT($B251,4)&amp;"*",Data!$I:$I),0)</f>
        <v>0</v>
      </c>
      <c r="F251" s="466">
        <f>-SUMIF(Data!$A:$A,MID(F$1,2,1)&amp;"*-"&amp;LEFT($B251,4)&amp;"*",Data!$I:$I)</f>
        <v>0</v>
      </c>
      <c r="G251" s="466">
        <f>-ROUND(SUMIF(Data!$A:$A,MID(G$1,2,1)&amp;"*-"&amp;LEFT($B251,4)&amp;"*",Data!$I:$I),0)</f>
        <v>0</v>
      </c>
      <c r="H251" s="466">
        <f>-SUMIF(Data!$A:$A,MID(H$1,2,1)&amp;"*-"&amp;LEFT($B251,4)&amp;"*",Data!$I:$I)</f>
        <v>0</v>
      </c>
      <c r="I251" s="468"/>
      <c r="J251" s="466">
        <f>-SUMIF(Data!$A:$A,MID(J$1,2,1)&amp;"*-"&amp;LEFT($B251,4)&amp;"*",Data!$I:$I)</f>
        <v>0</v>
      </c>
      <c r="K251" s="466">
        <f>-SUMIF(Data!$A:$A,MID(K$1,2,1)&amp;"*-"&amp;LEFT($B251,4)&amp;"*",Data!$I:$I)</f>
        <v>0</v>
      </c>
    </row>
    <row r="252" spans="1:11" ht="12.75" customHeight="1" x14ac:dyDescent="0.2">
      <c r="A252" s="493" t="s">
        <v>824</v>
      </c>
      <c r="B252" s="491">
        <v>4874</v>
      </c>
      <c r="C252" s="466">
        <f>-ROUND(SUMIF(Data!$A:$A,MID(C$1,2,1)&amp;"*-"&amp;LEFT($B252,4)&amp;"*",Data!$I:$I),0)</f>
        <v>0</v>
      </c>
      <c r="D252" s="466">
        <f>-SUMIF(Data!$A:$A,MID(D$1,2,1)&amp;"*-"&amp;LEFT($B252,4)&amp;"*",Data!$I:$I)</f>
        <v>0</v>
      </c>
      <c r="E252" s="466">
        <f>-ROUND(SUMIF(Data!$A:$A,MID(E$1,2,1)&amp;"*-"&amp;LEFT($B252,4)&amp;"*",Data!$I:$I),0)</f>
        <v>0</v>
      </c>
      <c r="F252" s="466">
        <f>-SUMIF(Data!$A:$A,MID(F$1,2,1)&amp;"*-"&amp;LEFT($B252,4)&amp;"*",Data!$I:$I)</f>
        <v>0</v>
      </c>
      <c r="G252" s="466">
        <f>-ROUND(SUMIF(Data!$A:$A,MID(G$1,2,1)&amp;"*-"&amp;LEFT($B252,4)&amp;"*",Data!$I:$I),0)</f>
        <v>0</v>
      </c>
      <c r="H252" s="466">
        <f>-SUMIF(Data!$A:$A,MID(H$1,2,1)&amp;"*-"&amp;LEFT($B252,4)&amp;"*",Data!$I:$I)</f>
        <v>0</v>
      </c>
      <c r="I252" s="468"/>
      <c r="J252" s="466">
        <f>-SUMIF(Data!$A:$A,MID(J$1,2,1)&amp;"*-"&amp;LEFT($B252,4)&amp;"*",Data!$I:$I)</f>
        <v>0</v>
      </c>
      <c r="K252" s="466">
        <f>-SUMIF(Data!$A:$A,MID(K$1,2,1)&amp;"*-"&amp;LEFT($B252,4)&amp;"*",Data!$I:$I)</f>
        <v>0</v>
      </c>
    </row>
    <row r="253" spans="1:11" ht="12.75" customHeight="1" x14ac:dyDescent="0.2">
      <c r="A253" s="493" t="s">
        <v>491</v>
      </c>
      <c r="B253" s="491">
        <v>4875</v>
      </c>
      <c r="C253" s="466">
        <f>-ROUND(SUMIF(Data!$A:$A,MID(C$1,2,1)&amp;"*-"&amp;LEFT($B253,4)&amp;"*",Data!$I:$I),0)</f>
        <v>0</v>
      </c>
      <c r="D253" s="466">
        <f>-SUMIF(Data!$A:$A,MID(D$1,2,1)&amp;"*-"&amp;LEFT($B253,4)&amp;"*",Data!$I:$I)</f>
        <v>0</v>
      </c>
      <c r="E253" s="466">
        <f>-ROUND(SUMIF(Data!$A:$A,MID(E$1,2,1)&amp;"*-"&amp;LEFT($B253,4)&amp;"*",Data!$I:$I),0)</f>
        <v>0</v>
      </c>
      <c r="F253" s="466">
        <f>-SUMIF(Data!$A:$A,MID(F$1,2,1)&amp;"*-"&amp;LEFT($B253,4)&amp;"*",Data!$I:$I)</f>
        <v>0</v>
      </c>
      <c r="G253" s="466">
        <f>-ROUND(SUMIF(Data!$A:$A,MID(G$1,2,1)&amp;"*-"&amp;LEFT($B253,4)&amp;"*",Data!$I:$I),0)</f>
        <v>0</v>
      </c>
      <c r="H253" s="466">
        <f>-SUMIF(Data!$A:$A,MID(H$1,2,1)&amp;"*-"&amp;LEFT($B253,4)&amp;"*",Data!$I:$I)</f>
        <v>0</v>
      </c>
      <c r="I253" s="468"/>
      <c r="J253" s="466">
        <f>-SUMIF(Data!$A:$A,MID(J$1,2,1)&amp;"*-"&amp;LEFT($B253,4)&amp;"*",Data!$I:$I)</f>
        <v>0</v>
      </c>
      <c r="K253" s="466">
        <f>-SUMIF(Data!$A:$A,MID(K$1,2,1)&amp;"*-"&amp;LEFT($B253,4)&amp;"*",Data!$I:$I)</f>
        <v>0</v>
      </c>
    </row>
    <row r="254" spans="1:11" ht="12.75" customHeight="1" x14ac:dyDescent="0.2">
      <c r="A254" s="493" t="s">
        <v>794</v>
      </c>
      <c r="B254" s="491">
        <v>4876</v>
      </c>
      <c r="C254" s="466">
        <f>-ROUND(SUMIF(Data!$A:$A,MID(C$1,2,1)&amp;"*-"&amp;LEFT($B254,4)&amp;"*",Data!$I:$I),0)</f>
        <v>0</v>
      </c>
      <c r="D254" s="466">
        <f>-SUMIF(Data!$A:$A,MID(D$1,2,1)&amp;"*-"&amp;LEFT($B254,4)&amp;"*",Data!$I:$I)</f>
        <v>0</v>
      </c>
      <c r="E254" s="466">
        <f>-ROUND(SUMIF(Data!$A:$A,MID(E$1,2,1)&amp;"*-"&amp;LEFT($B254,4)&amp;"*",Data!$I:$I),0)</f>
        <v>0</v>
      </c>
      <c r="F254" s="466">
        <f>-SUMIF(Data!$A:$A,MID(F$1,2,1)&amp;"*-"&amp;LEFT($B254,4)&amp;"*",Data!$I:$I)</f>
        <v>0</v>
      </c>
      <c r="G254" s="466">
        <f>-ROUND(SUMIF(Data!$A:$A,MID(G$1,2,1)&amp;"*-"&amp;LEFT($B254,4)&amp;"*",Data!$I:$I),0)</f>
        <v>0</v>
      </c>
      <c r="H254" s="466">
        <f>-SUMIF(Data!$A:$A,MID(H$1,2,1)&amp;"*-"&amp;LEFT($B254,4)&amp;"*",Data!$I:$I)</f>
        <v>0</v>
      </c>
      <c r="I254" s="468"/>
      <c r="J254" s="466">
        <f>-SUMIF(Data!$A:$A,MID(J$1,2,1)&amp;"*-"&amp;LEFT($B254,4)&amp;"*",Data!$I:$I)</f>
        <v>0</v>
      </c>
      <c r="K254" s="466">
        <f>-SUMIF(Data!$A:$A,MID(K$1,2,1)&amp;"*-"&amp;LEFT($B254,4)&amp;"*",Data!$I:$I)</f>
        <v>0</v>
      </c>
    </row>
    <row r="255" spans="1:11" ht="12.75" customHeight="1" x14ac:dyDescent="0.2">
      <c r="A255" s="493" t="s">
        <v>795</v>
      </c>
      <c r="B255" s="491">
        <v>4877</v>
      </c>
      <c r="C255" s="466">
        <f>-ROUND(SUMIF(Data!$A:$A,MID(C$1,2,1)&amp;"*-"&amp;LEFT($B255,4)&amp;"*",Data!$I:$I),0)</f>
        <v>0</v>
      </c>
      <c r="D255" s="466">
        <f>-SUMIF(Data!$A:$A,MID(D$1,2,1)&amp;"*-"&amp;LEFT($B255,4)&amp;"*",Data!$I:$I)</f>
        <v>0</v>
      </c>
      <c r="E255" s="466">
        <f>-ROUND(SUMIF(Data!$A:$A,MID(E$1,2,1)&amp;"*-"&amp;LEFT($B255,4)&amp;"*",Data!$I:$I),0)</f>
        <v>0</v>
      </c>
      <c r="F255" s="466">
        <f>-SUMIF(Data!$A:$A,MID(F$1,2,1)&amp;"*-"&amp;LEFT($B255,4)&amp;"*",Data!$I:$I)</f>
        <v>0</v>
      </c>
      <c r="G255" s="466">
        <f>-ROUND(SUMIF(Data!$A:$A,MID(G$1,2,1)&amp;"*-"&amp;LEFT($B255,4)&amp;"*",Data!$I:$I),0)</f>
        <v>0</v>
      </c>
      <c r="H255" s="466">
        <f>-SUMIF(Data!$A:$A,MID(H$1,2,1)&amp;"*-"&amp;LEFT($B255,4)&amp;"*",Data!$I:$I)</f>
        <v>0</v>
      </c>
      <c r="I255" s="468"/>
      <c r="J255" s="466">
        <f>-SUMIF(Data!$A:$A,MID(J$1,2,1)&amp;"*-"&amp;LEFT($B255,4)&amp;"*",Data!$I:$I)</f>
        <v>0</v>
      </c>
      <c r="K255" s="466">
        <f>-SUMIF(Data!$A:$A,MID(K$1,2,1)&amp;"*-"&amp;LEFT($B255,4)&amp;"*",Data!$I:$I)</f>
        <v>0</v>
      </c>
    </row>
    <row r="256" spans="1:11" ht="12.75" customHeight="1" x14ac:dyDescent="0.2">
      <c r="A256" s="493" t="s">
        <v>796</v>
      </c>
      <c r="B256" s="491">
        <v>4878</v>
      </c>
      <c r="C256" s="466">
        <f>-ROUND(SUMIF(Data!$A:$A,MID(C$1,2,1)&amp;"*-"&amp;LEFT($B256,4)&amp;"*",Data!$I:$I),0)</f>
        <v>0</v>
      </c>
      <c r="D256" s="466">
        <f>-SUMIF(Data!$A:$A,MID(D$1,2,1)&amp;"*-"&amp;LEFT($B256,4)&amp;"*",Data!$I:$I)</f>
        <v>0</v>
      </c>
      <c r="E256" s="466">
        <f>-ROUND(SUMIF(Data!$A:$A,MID(E$1,2,1)&amp;"*-"&amp;LEFT($B256,4)&amp;"*",Data!$I:$I),0)</f>
        <v>0</v>
      </c>
      <c r="F256" s="466">
        <f>-SUMIF(Data!$A:$A,MID(F$1,2,1)&amp;"*-"&amp;LEFT($B256,4)&amp;"*",Data!$I:$I)</f>
        <v>0</v>
      </c>
      <c r="G256" s="466">
        <f>-ROUND(SUMIF(Data!$A:$A,MID(G$1,2,1)&amp;"*-"&amp;LEFT($B256,4)&amp;"*",Data!$I:$I),0)</f>
        <v>0</v>
      </c>
      <c r="H256" s="466">
        <f>-SUMIF(Data!$A:$A,MID(H$1,2,1)&amp;"*-"&amp;LEFT($B256,4)&amp;"*",Data!$I:$I)</f>
        <v>0</v>
      </c>
      <c r="I256" s="468"/>
      <c r="J256" s="466">
        <f>-SUMIF(Data!$A:$A,MID(J$1,2,1)&amp;"*-"&amp;LEFT($B256,4)&amp;"*",Data!$I:$I)</f>
        <v>0</v>
      </c>
      <c r="K256" s="466">
        <f>-SUMIF(Data!$A:$A,MID(K$1,2,1)&amp;"*-"&amp;LEFT($B256,4)&amp;"*",Data!$I:$I)</f>
        <v>0</v>
      </c>
    </row>
    <row r="257" spans="1:11" ht="12.75" customHeight="1" x14ac:dyDescent="0.2">
      <c r="A257" s="493" t="s">
        <v>797</v>
      </c>
      <c r="B257" s="491">
        <v>4879</v>
      </c>
      <c r="C257" s="466">
        <f>-ROUND(SUMIF(Data!$A:$A,MID(C$1,2,1)&amp;"*-"&amp;LEFT($B257,4)&amp;"*",Data!$I:$I),0)</f>
        <v>0</v>
      </c>
      <c r="D257" s="466">
        <f>-SUMIF(Data!$A:$A,MID(D$1,2,1)&amp;"*-"&amp;LEFT($B257,4)&amp;"*",Data!$I:$I)</f>
        <v>0</v>
      </c>
      <c r="E257" s="466">
        <f>-ROUND(SUMIF(Data!$A:$A,MID(E$1,2,1)&amp;"*-"&amp;LEFT($B257,4)&amp;"*",Data!$I:$I),0)</f>
        <v>0</v>
      </c>
      <c r="F257" s="466">
        <f>-SUMIF(Data!$A:$A,MID(F$1,2,1)&amp;"*-"&amp;LEFT($B257,4)&amp;"*",Data!$I:$I)</f>
        <v>0</v>
      </c>
      <c r="G257" s="466">
        <f>-ROUND(SUMIF(Data!$A:$A,MID(G$1,2,1)&amp;"*-"&amp;LEFT($B257,4)&amp;"*",Data!$I:$I),0)</f>
        <v>0</v>
      </c>
      <c r="H257" s="466">
        <f>-SUMIF(Data!$A:$A,MID(H$1,2,1)&amp;"*-"&amp;LEFT($B257,4)&amp;"*",Data!$I:$I)</f>
        <v>0</v>
      </c>
      <c r="I257" s="468"/>
      <c r="J257" s="466">
        <f>-SUMIF(Data!$A:$A,MID(J$1,2,1)&amp;"*-"&amp;LEFT($B257,4)&amp;"*",Data!$I:$I)</f>
        <v>0</v>
      </c>
      <c r="K257" s="466">
        <f>-SUMIF(Data!$A:$A,MID(K$1,2,1)&amp;"*-"&amp;LEFT($B257,4)&amp;"*",Data!$I:$I)</f>
        <v>0</v>
      </c>
    </row>
    <row r="258" spans="1:11" ht="12.75" customHeight="1" x14ac:dyDescent="0.2">
      <c r="A258" s="225" t="s">
        <v>1530</v>
      </c>
      <c r="B258" s="576">
        <v>4880</v>
      </c>
      <c r="C258" s="466">
        <f>-ROUND(SUMIF(Data!$A:$A,MID(C$1,2,1)&amp;"*-"&amp;LEFT($B258,4)&amp;"*",Data!$I:$I),0)</f>
        <v>0</v>
      </c>
      <c r="D258" s="466">
        <f>-SUMIF(Data!$A:$A,MID(D$1,2,1)&amp;"*-"&amp;LEFT($B258,4)&amp;"*",Data!$I:$I)</f>
        <v>0</v>
      </c>
      <c r="E258" s="466">
        <f>-ROUND(SUMIF(Data!$A:$A,MID(E$1,2,1)&amp;"*-"&amp;LEFT($B258,4)&amp;"*",Data!$I:$I),0)</f>
        <v>0</v>
      </c>
      <c r="F258" s="466">
        <f>-SUMIF(Data!$A:$A,MID(F$1,2,1)&amp;"*-"&amp;LEFT($B258,4)&amp;"*",Data!$I:$I)</f>
        <v>0</v>
      </c>
      <c r="G258" s="466">
        <f>-ROUND(SUMIF(Data!$A:$A,MID(G$1,2,1)&amp;"*-"&amp;LEFT($B258,4)&amp;"*",Data!$I:$I),0)</f>
        <v>0</v>
      </c>
      <c r="H258" s="466">
        <f>-SUMIF(Data!$A:$A,MID(H$1,2,1)&amp;"*-"&amp;LEFT($B258,4)&amp;"*",Data!$I:$I)</f>
        <v>0</v>
      </c>
      <c r="I258" s="468"/>
      <c r="J258" s="466">
        <f>-SUMIF(Data!$A:$A,MID(J$1,2,1)&amp;"*-"&amp;LEFT($B258,4)&amp;"*",Data!$I:$I)</f>
        <v>0</v>
      </c>
      <c r="K258" s="466">
        <f>-SUMIF(Data!$A:$A,MID(K$1,2,1)&amp;"*-"&amp;LEFT($B258,4)&amp;"*",Data!$I:$I)</f>
        <v>0</v>
      </c>
    </row>
    <row r="259" spans="1:11" ht="12.75" customHeight="1" thickBot="1" x14ac:dyDescent="0.25">
      <c r="A259" s="1725" t="s">
        <v>798</v>
      </c>
      <c r="B259" s="1726"/>
      <c r="C259" s="1718">
        <f t="shared" ref="C259:H259" si="9">SUM(C230:C258)</f>
        <v>0</v>
      </c>
      <c r="D259" s="1707">
        <f t="shared" si="9"/>
        <v>0</v>
      </c>
      <c r="E259" s="1707">
        <f t="shared" si="9"/>
        <v>0</v>
      </c>
      <c r="F259" s="1707">
        <f t="shared" si="9"/>
        <v>0</v>
      </c>
      <c r="G259" s="1707">
        <f t="shared" si="9"/>
        <v>0</v>
      </c>
      <c r="H259" s="1707">
        <f t="shared" si="9"/>
        <v>0</v>
      </c>
      <c r="I259" s="552"/>
      <c r="J259" s="1707">
        <f>SUM(J230:J258)</f>
        <v>0</v>
      </c>
      <c r="K259" s="1688">
        <f>SUM(K230:K258)</f>
        <v>0</v>
      </c>
    </row>
    <row r="260" spans="1:11" ht="12.75" customHeight="1" thickTop="1" x14ac:dyDescent="0.2">
      <c r="A260" s="1504" t="s">
        <v>1493</v>
      </c>
      <c r="B260" s="577">
        <v>4901</v>
      </c>
      <c r="C260" s="466">
        <f>-ROUND(SUMIF(Data!$A:$A,MID(C$1,2,1)&amp;"*-"&amp;LEFT($B260,4)&amp;"*",Data!$I:$I),0)</f>
        <v>0</v>
      </c>
      <c r="D260" s="469"/>
      <c r="E260" s="468"/>
      <c r="F260" s="468"/>
      <c r="G260" s="468"/>
      <c r="H260" s="468"/>
      <c r="I260" s="468"/>
      <c r="J260" s="468"/>
      <c r="K260" s="468"/>
    </row>
    <row r="261" spans="1:11" ht="12.75" customHeight="1" x14ac:dyDescent="0.2">
      <c r="A261" s="1505" t="s">
        <v>1538</v>
      </c>
      <c r="B261" s="578">
        <v>4902</v>
      </c>
      <c r="C261" s="466">
        <f>-ROUND(SUMIF(Data!$A:$A,MID(C$1,2,1)&amp;"*-"&amp;LEFT($B261,4)&amp;"*",Data!$I:$I),0)</f>
        <v>0</v>
      </c>
      <c r="D261" s="466">
        <f>-SUMIF(Data!$A:$A,MID(D$1,2,1)&amp;"*-"&amp;LEFT($B261,4)&amp;"*",Data!$I:$I)</f>
        <v>0</v>
      </c>
      <c r="E261" s="469"/>
      <c r="F261" s="466">
        <f>-SUMIF(Data!$A:$A,MID(F$1,2,1)&amp;"*-"&amp;LEFT($B261,4)&amp;"*",Data!$I:$I)</f>
        <v>0</v>
      </c>
      <c r="G261" s="466">
        <f>-ROUND(SUMIF(Data!$A:$A,MID(G$1,2,1)&amp;"*-"&amp;LEFT($B261,4)&amp;"*",Data!$I:$I),0)</f>
        <v>0</v>
      </c>
      <c r="H261" s="469"/>
      <c r="I261" s="468"/>
      <c r="J261" s="469"/>
      <c r="K261" s="469"/>
    </row>
    <row r="262" spans="1:11" ht="12.75" customHeight="1" x14ac:dyDescent="0.2">
      <c r="A262" s="493" t="s">
        <v>1146</v>
      </c>
      <c r="B262" s="491">
        <v>4904</v>
      </c>
      <c r="C262" s="466">
        <f>-ROUND(SUMIF(Data!$A:$A,MID(C$1,2,1)&amp;"*-"&amp;LEFT($B262,4)&amp;"*",Data!$I:$I),0)</f>
        <v>0</v>
      </c>
      <c r="D262" s="466">
        <f>-SUMIF(Data!$A:$A,MID(D$1,2,1)&amp;"*-"&amp;LEFT($B262,4)&amp;"*",Data!$I:$I)</f>
        <v>0</v>
      </c>
      <c r="E262" s="469"/>
      <c r="F262" s="552"/>
      <c r="G262" s="466">
        <f>-ROUND(SUMIF(Data!$A:$A,MID(G$1,2,1)&amp;"*-"&amp;LEFT($B262,4)&amp;"*",Data!$I:$I),0)</f>
        <v>0</v>
      </c>
      <c r="H262" s="469"/>
      <c r="I262" s="468"/>
      <c r="J262" s="468"/>
      <c r="K262" s="468"/>
    </row>
    <row r="263" spans="1:11" ht="12.75" customHeight="1" x14ac:dyDescent="0.2">
      <c r="A263" s="463" t="s">
        <v>1531</v>
      </c>
      <c r="B263" s="470">
        <v>4905</v>
      </c>
      <c r="C263" s="466">
        <f>-ROUND(SUMIF(Data!$A:$A,MID(C$1,2,1)&amp;"*-"&amp;LEFT($B263,4)&amp;"*",Data!$I:$I),0)</f>
        <v>0</v>
      </c>
      <c r="D263" s="468"/>
      <c r="E263" s="468"/>
      <c r="F263" s="466">
        <f>-SUMIF(Data!$A:$A,MID(F$1,2,1)&amp;"*-"&amp;LEFT($B263,4)&amp;"*",Data!$I:$I)</f>
        <v>0</v>
      </c>
      <c r="G263" s="466">
        <f>-ROUND(SUMIF(Data!$A:$A,MID(G$1,2,1)&amp;"*-"&amp;LEFT($B263,4)&amp;"*",Data!$I:$I),0)</f>
        <v>0</v>
      </c>
      <c r="H263" s="468"/>
      <c r="I263" s="468"/>
      <c r="J263" s="468"/>
      <c r="K263" s="468"/>
    </row>
    <row r="264" spans="1:11" ht="12.75" customHeight="1" x14ac:dyDescent="0.2">
      <c r="A264" s="463" t="s">
        <v>1532</v>
      </c>
      <c r="B264" s="470">
        <v>4909</v>
      </c>
      <c r="C264" s="466">
        <f>-ROUND(SUMIF(Data!$A:$A,MID(C$1,2,1)&amp;"*-"&amp;LEFT($B264,4)&amp;"*",Data!$I:$I),0)</f>
        <v>0</v>
      </c>
      <c r="D264" s="468"/>
      <c r="E264" s="468"/>
      <c r="F264" s="466">
        <f>-SUMIF(Data!$A:$A,MID(F$1,2,1)&amp;"*-"&amp;LEFT($B264,4)&amp;"*",Data!$I:$I)</f>
        <v>0</v>
      </c>
      <c r="G264" s="466">
        <f>-ROUND(SUMIF(Data!$A:$A,MID(G$1,2,1)&amp;"*-"&amp;LEFT($B264,4)&amp;"*",Data!$I:$I),0)</f>
        <v>0</v>
      </c>
      <c r="H264" s="468"/>
      <c r="I264" s="468"/>
      <c r="J264" s="468"/>
      <c r="K264" s="468"/>
    </row>
    <row r="265" spans="1:11" ht="12.75" customHeight="1" x14ac:dyDescent="0.2">
      <c r="A265" s="463" t="s">
        <v>945</v>
      </c>
      <c r="B265" s="470">
        <v>4910</v>
      </c>
      <c r="C265" s="466">
        <f>-ROUND(SUMIF(Data!$A:$A,MID(C$1,2,1)&amp;"*-"&amp;LEFT($B265,4)&amp;"*",Data!$I:$I),0)</f>
        <v>0</v>
      </c>
      <c r="D265" s="468"/>
      <c r="E265" s="468"/>
      <c r="F265" s="466">
        <f>-SUMIF(Data!$A:$A,MID(F$1,2,1)&amp;"*-"&amp;LEFT($B265,4)&amp;"*",Data!$I:$I)</f>
        <v>0</v>
      </c>
      <c r="G265" s="466">
        <f>-ROUND(SUMIF(Data!$A:$A,MID(G$1,2,1)&amp;"*-"&amp;LEFT($B265,4)&amp;"*",Data!$I:$I),0)</f>
        <v>0</v>
      </c>
      <c r="H265" s="468"/>
      <c r="I265" s="468"/>
      <c r="J265" s="468"/>
      <c r="K265" s="468"/>
    </row>
    <row r="266" spans="1:11" ht="12.75" customHeight="1" x14ac:dyDescent="0.2">
      <c r="A266" s="463" t="s">
        <v>202</v>
      </c>
      <c r="B266" s="470">
        <v>4920</v>
      </c>
      <c r="C266" s="466">
        <f>-ROUND(SUMIF(Data!$A:$A,MID(C$1,2,1)&amp;"*-"&amp;LEFT($B266,4)&amp;"*",Data!$I:$I),0)</f>
        <v>0</v>
      </c>
      <c r="D266" s="466">
        <f>-SUMIF(Data!$A:$A,MID(D$1,2,1)&amp;"*-"&amp;LEFT($B266,4)&amp;"*",Data!$I:$I)</f>
        <v>0</v>
      </c>
      <c r="E266" s="468"/>
      <c r="F266" s="466">
        <f>-SUMIF(Data!$A:$A,MID(F$1,2,1)&amp;"*-"&amp;LEFT($B266,4)&amp;"*",Data!$I:$I)</f>
        <v>0</v>
      </c>
      <c r="G266" s="466">
        <f>-ROUND(SUMIF(Data!$A:$A,MID(G$1,2,1)&amp;"*-"&amp;LEFT($B266,4)&amp;"*",Data!$I:$I),0)</f>
        <v>0</v>
      </c>
      <c r="H266" s="468"/>
      <c r="I266" s="468"/>
      <c r="J266" s="468"/>
      <c r="K266" s="468"/>
    </row>
    <row r="267" spans="1:11" ht="12.75" customHeight="1" x14ac:dyDescent="0.2">
      <c r="A267" s="463" t="s">
        <v>441</v>
      </c>
      <c r="B267" s="470">
        <v>4930</v>
      </c>
      <c r="C267" s="466">
        <f>-ROUND(SUMIF(Data!$A:$A,MID(C$1,2,1)&amp;"*-"&amp;LEFT($B267,4)&amp;"*",Data!$I:$I),0)</f>
        <v>45917</v>
      </c>
      <c r="D267" s="466">
        <f>-SUMIF(Data!$A:$A,MID(D$1,2,1)&amp;"*-"&amp;LEFT($B267,4)&amp;"*",Data!$I:$I)</f>
        <v>0</v>
      </c>
      <c r="E267" s="468"/>
      <c r="F267" s="466">
        <f>-SUMIF(Data!$A:$A,MID(F$1,2,1)&amp;"*-"&amp;LEFT($B267,4)&amp;"*",Data!$I:$I)</f>
        <v>0</v>
      </c>
      <c r="G267" s="466">
        <f>-ROUND(SUMIF(Data!$A:$A,MID(G$1,2,1)&amp;"*-"&amp;LEFT($B267,4)&amp;"*",Data!$I:$I),0)</f>
        <v>0</v>
      </c>
      <c r="H267" s="468"/>
      <c r="I267" s="468"/>
      <c r="J267" s="468"/>
      <c r="K267" s="468"/>
    </row>
    <row r="268" spans="1:11" ht="12.75" customHeight="1" x14ac:dyDescent="0.2">
      <c r="A268" s="463" t="s">
        <v>782</v>
      </c>
      <c r="B268" s="470">
        <v>4932</v>
      </c>
      <c r="C268" s="466">
        <f>-ROUND(SUMIF(Data!$A:$A,MID(C$1,2,1)&amp;"*-"&amp;LEFT($B268,4)&amp;"*",Data!$I:$I),0)</f>
        <v>0</v>
      </c>
      <c r="D268" s="466">
        <f>-SUMIF(Data!$A:$A,MID(D$1,2,1)&amp;"*-"&amp;LEFT($B268,4)&amp;"*",Data!$I:$I)</f>
        <v>0</v>
      </c>
      <c r="E268" s="468"/>
      <c r="F268" s="466">
        <f>-SUMIF(Data!$A:$A,MID(F$1,2,1)&amp;"*-"&amp;LEFT($B268,4)&amp;"*",Data!$I:$I)</f>
        <v>0</v>
      </c>
      <c r="G268" s="466">
        <f>-ROUND(SUMIF(Data!$A:$A,MID(G$1,2,1)&amp;"*-"&amp;LEFT($B268,4)&amp;"*",Data!$I:$I),0)</f>
        <v>0</v>
      </c>
      <c r="H268" s="468"/>
      <c r="I268" s="468"/>
      <c r="J268" s="468"/>
      <c r="K268" s="468"/>
    </row>
    <row r="269" spans="1:11" ht="12.75" customHeight="1" x14ac:dyDescent="0.2">
      <c r="A269" s="463" t="s">
        <v>946</v>
      </c>
      <c r="B269" s="470">
        <v>4960</v>
      </c>
      <c r="C269" s="466">
        <f>-ROUND(SUMIF(Data!$A:$A,MID(C$1,2,1)&amp;"*-"&amp;LEFT($B269,4)&amp;"*",Data!$I:$I),0)</f>
        <v>0</v>
      </c>
      <c r="D269" s="466">
        <f>-SUMIF(Data!$A:$A,MID(D$1,2,1)&amp;"*-"&amp;LEFT($B269,4)&amp;"*",Data!$I:$I)</f>
        <v>0</v>
      </c>
      <c r="E269" s="468"/>
      <c r="F269" s="466">
        <f>-SUMIF(Data!$A:$A,MID(F$1,2,1)&amp;"*-"&amp;LEFT($B269,4)&amp;"*",Data!$I:$I)</f>
        <v>0</v>
      </c>
      <c r="G269" s="466">
        <f>-ROUND(SUMIF(Data!$A:$A,MID(G$1,2,1)&amp;"*-"&amp;LEFT($B269,4)&amp;"*",Data!$I:$I),0)</f>
        <v>0</v>
      </c>
      <c r="H269" s="468"/>
      <c r="I269" s="468"/>
      <c r="J269" s="468"/>
      <c r="K269" s="468"/>
    </row>
    <row r="270" spans="1:11" ht="12.75" customHeight="1" x14ac:dyDescent="0.2">
      <c r="A270" s="463" t="s">
        <v>589</v>
      </c>
      <c r="B270" s="470">
        <v>4991</v>
      </c>
      <c r="C270" s="466">
        <f>-ROUND(SUMIF(Data!$A:$A,MID(C$1,2,1)&amp;"*-"&amp;LEFT($B270,4)&amp;"*",Data!$I:$I),0)</f>
        <v>76112</v>
      </c>
      <c r="D270" s="466">
        <f>-SUMIF(Data!$A:$A,MID(D$1,2,1)&amp;"*-"&amp;LEFT($B270,4)&amp;"*",Data!$I:$I)</f>
        <v>0</v>
      </c>
      <c r="E270" s="468"/>
      <c r="F270" s="466">
        <f>-SUMIF(Data!$A:$A,MID(F$1,2,1)&amp;"*-"&amp;LEFT($B270,4)&amp;"*",Data!$I:$I)</f>
        <v>0</v>
      </c>
      <c r="G270" s="466">
        <f>-ROUND(SUMIF(Data!$A:$A,MID(G$1,2,1)&amp;"*-"&amp;LEFT($B270,4)&amp;"*",Data!$I:$I),0)</f>
        <v>0</v>
      </c>
      <c r="H270" s="468"/>
      <c r="I270" s="468"/>
      <c r="J270" s="468"/>
      <c r="K270" s="468"/>
    </row>
    <row r="271" spans="1:11" ht="12.75" customHeight="1" x14ac:dyDescent="0.2">
      <c r="A271" s="463" t="s">
        <v>395</v>
      </c>
      <c r="B271" s="470">
        <v>4992</v>
      </c>
      <c r="C271" s="466">
        <f>-ROUND(SUMIF(Data!$A:$A,MID(C$1,2,1)&amp;"*-"&amp;LEFT($B271,4)&amp;"*",Data!$I:$I),0)</f>
        <v>210880</v>
      </c>
      <c r="D271" s="466">
        <f>-SUMIF(Data!$A:$A,MID(D$1,2,1)&amp;"*-"&amp;LEFT($B271,4)&amp;"*",Data!$I:$I)</f>
        <v>0</v>
      </c>
      <c r="E271" s="468"/>
      <c r="F271" s="466">
        <f>-SUMIF(Data!$A:$A,MID(F$1,2,1)&amp;"*-"&amp;LEFT($B271,4)&amp;"*",Data!$I:$I)</f>
        <v>0</v>
      </c>
      <c r="G271" s="466">
        <f>-ROUND(SUMIF(Data!$A:$A,MID(G$1,2,1)&amp;"*-"&amp;LEFT($B271,4)&amp;"*",Data!$I:$I),0)</f>
        <v>0</v>
      </c>
      <c r="H271" s="468"/>
      <c r="I271" s="468"/>
      <c r="J271" s="468"/>
      <c r="K271" s="468"/>
    </row>
    <row r="272" spans="1:11" s="579" customFormat="1" ht="12.75" customHeight="1" thickBot="1" x14ac:dyDescent="0.25">
      <c r="A272" s="561" t="s">
        <v>77</v>
      </c>
      <c r="B272" s="556">
        <v>4999</v>
      </c>
      <c r="C272" s="466">
        <f>-ROUND(SUMIF(Data!$A:$A,MID(C$1,2,1)&amp;"*-"&amp;LEFT($B272,4)&amp;"*",Data!$I:$I),0)</f>
        <v>0</v>
      </c>
      <c r="D272" s="466">
        <f>-SUMIF(Data!$A:$A,MID(D$1,2,1)&amp;"*-"&amp;LEFT($B272,4)&amp;"*",Data!$I:$I)</f>
        <v>0</v>
      </c>
      <c r="E272" s="468"/>
      <c r="F272" s="466">
        <f>-SUMIF(Data!$A:$A,MID(F$1,2,1)&amp;"*-"&amp;LEFT($B272,4)&amp;"*",Data!$I:$I)</f>
        <v>0</v>
      </c>
      <c r="G272" s="466">
        <f>-ROUND(SUMIF(Data!$A:$A,MID(G$1,2,1)&amp;"*-"&amp;LEFT($B272,4)&amp;"*",Data!$I:$I),0)</f>
        <v>0</v>
      </c>
      <c r="H272" s="466">
        <f>-SUMIF(Data!$A:$A,MID(H$1,2,1)&amp;"*-"&amp;LEFT($B272,4)&amp;"*",Data!$I:$I)</f>
        <v>0</v>
      </c>
      <c r="I272" s="468"/>
      <c r="J272" s="468"/>
      <c r="K272" s="466">
        <f>-SUMIF(Data!$A:$A,MID(K$1,2,1)&amp;"*-"&amp;LEFT($B272,4)&amp;"*",Data!$I:$I)</f>
        <v>0</v>
      </c>
    </row>
    <row r="273" spans="1:11" ht="14.25" thickTop="1" thickBot="1" x14ac:dyDescent="0.25">
      <c r="A273" s="1708" t="s">
        <v>1765</v>
      </c>
      <c r="B273" s="1727"/>
      <c r="C273" s="1715">
        <f t="shared" ref="C273:H273" si="10">SUM(C191,C201,C211,C216,C224,C228,C229,C259:C272)</f>
        <v>1833628</v>
      </c>
      <c r="D273" s="1715">
        <f t="shared" si="10"/>
        <v>0</v>
      </c>
      <c r="E273" s="1715">
        <f t="shared" si="10"/>
        <v>0</v>
      </c>
      <c r="F273" s="1715">
        <f t="shared" si="10"/>
        <v>0</v>
      </c>
      <c r="G273" s="1715">
        <f t="shared" si="10"/>
        <v>0</v>
      </c>
      <c r="H273" s="1715">
        <f t="shared" si="10"/>
        <v>0</v>
      </c>
      <c r="I273" s="468"/>
      <c r="J273" s="1715">
        <f>SUM(J191,J201,J211,J216,J224,J228,J229,J259:J272)</f>
        <v>0</v>
      </c>
      <c r="K273" s="1702">
        <f>SUM(K191,K201,K211,K216,K224,K228,K229,K259:K272)</f>
        <v>0</v>
      </c>
    </row>
    <row r="274" spans="1:11" ht="14.25" thickTop="1" thickBot="1" x14ac:dyDescent="0.25">
      <c r="A274" s="1728" t="s">
        <v>1147</v>
      </c>
      <c r="B274" s="1729" t="s">
        <v>915</v>
      </c>
      <c r="C274" s="1715">
        <f>SUM(C178,C184,C273)</f>
        <v>1833628</v>
      </c>
      <c r="D274" s="1715">
        <f>SUM(D178,D184,D273)</f>
        <v>0</v>
      </c>
      <c r="E274" s="1715">
        <f>SUM(E178,E273)</f>
        <v>0</v>
      </c>
      <c r="F274" s="1715">
        <f t="shared" ref="F274:K274" si="11">SUM(F178,F184,F273)</f>
        <v>0</v>
      </c>
      <c r="G274" s="1715">
        <f t="shared" si="11"/>
        <v>0</v>
      </c>
      <c r="H274" s="1715">
        <f t="shared" si="11"/>
        <v>0</v>
      </c>
      <c r="I274" s="1715">
        <f t="shared" si="11"/>
        <v>0</v>
      </c>
      <c r="J274" s="1715">
        <f t="shared" si="11"/>
        <v>0</v>
      </c>
      <c r="K274" s="1702">
        <f t="shared" si="11"/>
        <v>0</v>
      </c>
    </row>
    <row r="275" spans="1:11" ht="14.25" thickTop="1" thickBot="1" x14ac:dyDescent="0.25">
      <c r="A275" s="1730" t="s">
        <v>269</v>
      </c>
      <c r="B275" s="1731"/>
      <c r="C275" s="1715">
        <f t="shared" ref="C275:K275" si="12">SUM(C109,C114,C173,C274)</f>
        <v>17962353</v>
      </c>
      <c r="D275" s="1715">
        <f t="shared" si="12"/>
        <v>964017.12999999989</v>
      </c>
      <c r="E275" s="1715">
        <f t="shared" si="12"/>
        <v>3134418</v>
      </c>
      <c r="F275" s="1715">
        <f t="shared" si="12"/>
        <v>1476890</v>
      </c>
      <c r="G275" s="1715">
        <f t="shared" si="12"/>
        <v>908772</v>
      </c>
      <c r="H275" s="1715">
        <f t="shared" si="12"/>
        <v>0</v>
      </c>
      <c r="I275" s="1715">
        <f t="shared" si="12"/>
        <v>192210</v>
      </c>
      <c r="J275" s="1715">
        <f t="shared" si="12"/>
        <v>560868.63</v>
      </c>
      <c r="K275" s="1702">
        <f t="shared" si="12"/>
        <v>137485.04999999999</v>
      </c>
    </row>
    <row r="276" spans="1:11" ht="13.5" thickTop="1" x14ac:dyDescent="0.2">
      <c r="C276" s="582"/>
      <c r="D276" s="582"/>
      <c r="E276" s="582"/>
      <c r="F276" s="582"/>
      <c r="G276" s="582"/>
      <c r="H276" s="582"/>
      <c r="I276" s="582"/>
      <c r="J276" s="582"/>
      <c r="K276" s="582"/>
    </row>
    <row r="277" spans="1:11" x14ac:dyDescent="0.2">
      <c r="C277" s="582"/>
      <c r="D277" s="582"/>
      <c r="E277" s="582"/>
      <c r="F277" s="582"/>
      <c r="G277" s="582"/>
      <c r="H277" s="582"/>
      <c r="I277" s="582"/>
      <c r="J277" s="582"/>
      <c r="K277" s="582"/>
    </row>
    <row r="278" spans="1:11" x14ac:dyDescent="0.2">
      <c r="C278" s="582"/>
      <c r="D278" s="582"/>
      <c r="E278" s="582"/>
      <c r="F278" s="582"/>
      <c r="G278" s="582"/>
      <c r="H278" s="582"/>
      <c r="I278" s="582"/>
      <c r="J278" s="582"/>
      <c r="K278" s="582"/>
    </row>
    <row r="279" spans="1:11" x14ac:dyDescent="0.2">
      <c r="C279" s="582"/>
      <c r="D279" s="582"/>
      <c r="E279" s="582"/>
      <c r="F279" s="582"/>
      <c r="G279" s="582"/>
      <c r="H279" s="582"/>
      <c r="I279" s="582"/>
      <c r="J279" s="582"/>
      <c r="K279" s="582"/>
    </row>
    <row r="280" spans="1:11" x14ac:dyDescent="0.2">
      <c r="C280" s="582"/>
      <c r="D280" s="582"/>
      <c r="E280" s="582"/>
      <c r="F280" s="582"/>
      <c r="G280" s="582"/>
      <c r="H280" s="582"/>
      <c r="I280" s="582"/>
      <c r="J280" s="582"/>
      <c r="K280" s="582"/>
    </row>
    <row r="281" spans="1:11" x14ac:dyDescent="0.2">
      <c r="C281" s="582"/>
      <c r="D281" s="582"/>
      <c r="E281" s="582"/>
      <c r="F281" s="582"/>
      <c r="G281" s="582"/>
      <c r="H281" s="582"/>
      <c r="I281" s="582"/>
      <c r="J281" s="582"/>
      <c r="K281" s="582"/>
    </row>
    <row r="282" spans="1:11" s="329" customFormat="1" x14ac:dyDescent="0.2">
      <c r="A282" s="580"/>
      <c r="B282" s="581"/>
      <c r="C282" s="582"/>
      <c r="D282" s="582"/>
      <c r="E282" s="582"/>
      <c r="F282" s="582"/>
      <c r="G282" s="582"/>
      <c r="H282" s="582"/>
      <c r="I282" s="582"/>
      <c r="J282" s="582"/>
      <c r="K282" s="582"/>
    </row>
    <row r="283" spans="1:11" s="329" customFormat="1" x14ac:dyDescent="0.2">
      <c r="A283" s="580"/>
    </row>
    <row r="284" spans="1:11" s="329" customFormat="1" x14ac:dyDescent="0.2">
      <c r="A284" s="583"/>
    </row>
    <row r="285" spans="1:11" s="329" customFormat="1" x14ac:dyDescent="0.2">
      <c r="A285" s="583"/>
    </row>
    <row r="286" spans="1:11" s="329" customFormat="1" x14ac:dyDescent="0.2">
      <c r="A286" s="58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&amp;CSee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heetViews>
  <sheetFormatPr defaultColWidth="9.140625" defaultRowHeight="12.75" x14ac:dyDescent="0.2"/>
  <cols>
    <col min="1" max="1" width="48.5703125" style="691" customWidth="1"/>
    <col min="2" max="2" width="5" style="692" customWidth="1"/>
    <col min="3" max="8" width="13.28515625" style="595" customWidth="1"/>
    <col min="9" max="10" width="13.28515625" style="343" customWidth="1"/>
    <col min="11" max="11" width="13.28515625" style="693" customWidth="1"/>
    <col min="12" max="12" width="11.85546875" style="343" customWidth="1"/>
    <col min="13" max="13" width="1.5703125" style="210" customWidth="1"/>
    <col min="14" max="14" width="9.140625" style="210"/>
    <col min="15" max="16384" width="9.140625" style="329"/>
  </cols>
  <sheetData>
    <row r="1" spans="1:14" x14ac:dyDescent="0.2">
      <c r="A1" s="2177" t="s">
        <v>1901</v>
      </c>
      <c r="B1" s="588"/>
      <c r="C1" s="589" t="s">
        <v>799</v>
      </c>
      <c r="D1" s="589" t="s">
        <v>1138</v>
      </c>
      <c r="E1" s="589" t="s">
        <v>1139</v>
      </c>
      <c r="F1" s="589" t="s">
        <v>1140</v>
      </c>
      <c r="G1" s="589" t="s">
        <v>1141</v>
      </c>
      <c r="H1" s="589" t="s">
        <v>1142</v>
      </c>
      <c r="I1" s="589" t="s">
        <v>1143</v>
      </c>
      <c r="J1" s="589" t="s">
        <v>1144</v>
      </c>
      <c r="K1" s="589" t="s">
        <v>270</v>
      </c>
      <c r="L1" s="590"/>
    </row>
    <row r="2" spans="1:14" s="594" customFormat="1" ht="28.5" customHeight="1" x14ac:dyDescent="0.2">
      <c r="A2" s="2209"/>
      <c r="B2" s="591" t="s">
        <v>47</v>
      </c>
      <c r="C2" s="592" t="s">
        <v>203</v>
      </c>
      <c r="D2" s="593" t="s">
        <v>51</v>
      </c>
      <c r="E2" s="593" t="s">
        <v>1162</v>
      </c>
      <c r="F2" s="593" t="s">
        <v>1156</v>
      </c>
      <c r="G2" s="592" t="s">
        <v>1157</v>
      </c>
      <c r="H2" s="592" t="s">
        <v>1158</v>
      </c>
      <c r="I2" s="593" t="s">
        <v>309</v>
      </c>
      <c r="J2" s="593" t="s">
        <v>310</v>
      </c>
      <c r="K2" s="592" t="s">
        <v>158</v>
      </c>
      <c r="L2" s="592" t="s">
        <v>30</v>
      </c>
      <c r="M2" s="257"/>
      <c r="N2" s="257"/>
    </row>
    <row r="3" spans="1:14" s="343" customFormat="1" ht="16.7" customHeight="1" x14ac:dyDescent="0.2">
      <c r="A3" s="2215" t="s">
        <v>315</v>
      </c>
      <c r="B3" s="2216"/>
      <c r="C3" s="1550"/>
      <c r="D3" s="1550"/>
      <c r="E3" s="1550"/>
      <c r="F3" s="1550"/>
      <c r="G3" s="1550"/>
      <c r="H3" s="1550"/>
      <c r="I3" s="1550"/>
      <c r="J3" s="1550"/>
      <c r="K3" s="1551"/>
      <c r="L3" s="1552"/>
      <c r="M3" s="595"/>
      <c r="N3" s="595"/>
    </row>
    <row r="4" spans="1:14" s="259" customFormat="1" ht="15.75" customHeight="1" x14ac:dyDescent="0.2">
      <c r="A4" s="1608" t="s">
        <v>46</v>
      </c>
      <c r="B4" s="1609" t="s">
        <v>591</v>
      </c>
      <c r="C4" s="596"/>
      <c r="D4" s="596"/>
      <c r="E4" s="596"/>
      <c r="F4" s="596"/>
      <c r="G4" s="596"/>
      <c r="H4" s="596"/>
      <c r="I4" s="597"/>
      <c r="J4" s="596"/>
      <c r="K4" s="598"/>
      <c r="L4" s="596"/>
      <c r="M4" s="599"/>
      <c r="N4" s="599"/>
    </row>
    <row r="5" spans="1:14" x14ac:dyDescent="0.2">
      <c r="A5" s="1506" t="s">
        <v>1018</v>
      </c>
      <c r="B5" s="600">
        <v>1100</v>
      </c>
      <c r="C5" s="466">
        <v>5281629</v>
      </c>
      <c r="D5" s="466">
        <v>1496441</v>
      </c>
      <c r="E5" s="466">
        <v>0</v>
      </c>
      <c r="F5" s="466">
        <v>117176</v>
      </c>
      <c r="G5" s="466">
        <v>140200</v>
      </c>
      <c r="H5" s="466">
        <v>0</v>
      </c>
      <c r="I5" s="466">
        <v>0</v>
      </c>
      <c r="J5" s="466">
        <v>0</v>
      </c>
      <c r="K5" s="1671">
        <f>SUM(C5:J5)</f>
        <v>7035446</v>
      </c>
      <c r="L5" s="466">
        <v>7101408</v>
      </c>
    </row>
    <row r="6" spans="1:14" x14ac:dyDescent="0.2">
      <c r="A6" s="1506" t="s">
        <v>1508</v>
      </c>
      <c r="B6" s="600" t="s">
        <v>1506</v>
      </c>
      <c r="C6" s="477"/>
      <c r="D6" s="477"/>
      <c r="E6" s="466"/>
      <c r="F6" s="477"/>
      <c r="G6" s="477"/>
      <c r="H6" s="477"/>
      <c r="I6" s="477"/>
      <c r="J6" s="477"/>
      <c r="K6" s="1671">
        <f>SUM(C6,E6)</f>
        <v>0</v>
      </c>
      <c r="L6" s="466"/>
    </row>
    <row r="7" spans="1:14" x14ac:dyDescent="0.2">
      <c r="A7" s="1506" t="s">
        <v>165</v>
      </c>
      <c r="B7" s="600" t="s">
        <v>1024</v>
      </c>
      <c r="C7" s="1945">
        <f>ROUND(SUMIF(Data!$A:$A,"1-"&amp;LEFT($B7,3)&amp;"*-"&amp;MID(C$1,2,1)&amp;"*",Data!$F:$F),0)</f>
        <v>0</v>
      </c>
      <c r="D7" s="1945">
        <f>ROUND(SUMIF(Data!$A:$A,"1-"&amp;LEFT($B7,3)&amp;"*-"&amp;MID(D$1,2,1)&amp;"*",Data!$F:$F),0)</f>
        <v>0</v>
      </c>
      <c r="E7" s="1945">
        <f>ROUND(SUMIF(Data!$A:$A,"1-"&amp;LEFT($B7,3)&amp;"*-"&amp;MID(E$1,2,1)&amp;"*",Data!$F:$F),0)</f>
        <v>0</v>
      </c>
      <c r="F7" s="1945">
        <f>ROUND(SUMIF(Data!$A:$A,"1-"&amp;LEFT($B7,3)&amp;"*-"&amp;MID(F$1,2,1)&amp;"*",Data!$F:$F),0)</f>
        <v>0</v>
      </c>
      <c r="G7" s="1945">
        <f>ROUND(SUMIF(Data!$A:$A,"1-"&amp;LEFT($B7,3)&amp;"*-"&amp;MID(G$1,2,1)&amp;"*",Data!$F:$F),0)</f>
        <v>0</v>
      </c>
      <c r="H7" s="1945">
        <f>ROUND(SUMIF(Data!$A:$A,"1-"&amp;LEFT($B7,3)&amp;"*-"&amp;MID(H$1,2,1)&amp;"*",Data!$F:$F),0)</f>
        <v>0</v>
      </c>
      <c r="I7" s="1945">
        <f>ROUND(SUMIF(Data!$A:$A,"1-"&amp;LEFT($B7,3)&amp;"*-"&amp;MID(I$1,2,1)&amp;"*",Data!$F:$F),0)</f>
        <v>0</v>
      </c>
      <c r="J7" s="1945">
        <f>ROUND(SUMIF(Data!$A:$A,"1-"&amp;LEFT($B7,3)&amp;"*-"&amp;MID(J$1,2,1)&amp;"*",Data!$F:$F),0)</f>
        <v>0</v>
      </c>
      <c r="K7" s="1671">
        <f t="shared" ref="K7:K32" si="0">SUM(C7:J7)</f>
        <v>0</v>
      </c>
      <c r="L7" s="466">
        <f>SUMIFS(Data!$G:$G,Data!$A:$A,"1-"&amp;LEFT($B7,3)&amp;"*",Data!$G:$G,"&gt;0")</f>
        <v>0</v>
      </c>
    </row>
    <row r="8" spans="1:14" x14ac:dyDescent="0.2">
      <c r="A8" s="1506" t="s">
        <v>166</v>
      </c>
      <c r="B8" s="600">
        <v>1200</v>
      </c>
      <c r="C8" s="1945">
        <f>ROUND(SUMIF(Data!$A:$A,"1-"&amp;LEFT($B8,3)&amp;"*-"&amp;MID(C$1,2,1)&amp;"*",Data!$F:$F),0)</f>
        <v>1633179</v>
      </c>
      <c r="D8" s="1945">
        <f>ROUND(SUMIF(Data!$A:$A,"1-"&amp;LEFT($B8,3)&amp;"*-"&amp;MID(D$1,2,1)&amp;"*",Data!$F:$F),0)</f>
        <v>517581</v>
      </c>
      <c r="E8" s="1945">
        <f>ROUND(SUMIF(Data!$A:$A,"1-"&amp;LEFT($B8,3)&amp;"*-"&amp;MID(E$1,2,1)&amp;"*",Data!$F:$F),0)</f>
        <v>2785</v>
      </c>
      <c r="F8" s="1945">
        <f>ROUND(SUMIF(Data!$A:$A,"1-"&amp;LEFT($B8,3)&amp;"*-"&amp;MID(F$1,2,1)&amp;"*",Data!$F:$F),0)</f>
        <v>8016</v>
      </c>
      <c r="G8" s="1945">
        <f>ROUND(SUMIF(Data!$A:$A,"1-"&amp;LEFT($B8,3)&amp;"*-"&amp;MID(G$1,2,1)&amp;"*",Data!$F:$F),0)</f>
        <v>1506</v>
      </c>
      <c r="H8" s="1945">
        <f>ROUND(SUMIF(Data!$A:$A,"1-"&amp;LEFT($B8,3)&amp;"*-"&amp;MID(H$1,2,1)&amp;"*",Data!$F:$F),0)</f>
        <v>239422</v>
      </c>
      <c r="I8" s="1945">
        <f>ROUND(SUMIF(Data!$A:$A,"1-"&amp;LEFT($B8,3)&amp;"*-"&amp;MID(I$1,2,1)&amp;"*",Data!$F:$F),0)</f>
        <v>0</v>
      </c>
      <c r="J8" s="1945">
        <f>ROUND(SUMIF(Data!$A:$A,"1-"&amp;LEFT($B8,3)&amp;"*-"&amp;MID(J$1,2,1)&amp;"*",Data!$F:$F),0)</f>
        <v>0</v>
      </c>
      <c r="K8" s="1671">
        <f t="shared" si="0"/>
        <v>2402489</v>
      </c>
      <c r="L8" s="466">
        <v>2946561</v>
      </c>
    </row>
    <row r="9" spans="1:14" x14ac:dyDescent="0.2">
      <c r="A9" s="1506" t="s">
        <v>745</v>
      </c>
      <c r="B9" s="600" t="s">
        <v>1025</v>
      </c>
      <c r="C9" s="1945">
        <f>ROUND(SUMIF(Data!$A:$A,"1-"&amp;LEFT($B9,3)&amp;"*-"&amp;MID(C$1,2,1)&amp;"*",Data!$F:$F),0)</f>
        <v>471220</v>
      </c>
      <c r="D9" s="1945">
        <f>ROUND(SUMIF(Data!$A:$A,"1-"&amp;LEFT($B9,3)&amp;"*-"&amp;MID(D$1,2,1)&amp;"*",Data!$F:$F),0)</f>
        <v>159761</v>
      </c>
      <c r="E9" s="1945">
        <f>ROUND(SUMIF(Data!$A:$A,"1-"&amp;LEFT($B9,3)&amp;"*-"&amp;MID(E$1,2,1)&amp;"*",Data!$F:$F),0)</f>
        <v>0</v>
      </c>
      <c r="F9" s="1945">
        <f>ROUND(SUMIF(Data!$A:$A,"1-"&amp;LEFT($B9,3)&amp;"*-"&amp;MID(F$1,2,1)&amp;"*",Data!$F:$F),0)</f>
        <v>4248</v>
      </c>
      <c r="G9" s="1945">
        <f>ROUND(SUMIF(Data!$A:$A,"1-"&amp;LEFT($B9,3)&amp;"*-"&amp;MID(G$1,2,1)&amp;"*",Data!$F:$F),0)</f>
        <v>0</v>
      </c>
      <c r="H9" s="1945">
        <f>ROUND(SUMIF(Data!$A:$A,"1-"&amp;LEFT($B9,3)&amp;"*-"&amp;MID(H$1,2,1)&amp;"*",Data!$F:$F),0)</f>
        <v>0</v>
      </c>
      <c r="I9" s="1945">
        <f>ROUND(SUMIF(Data!$A:$A,"1-"&amp;LEFT($B9,3)&amp;"*-"&amp;MID(I$1,2,1)&amp;"*",Data!$F:$F),0)</f>
        <v>0</v>
      </c>
      <c r="J9" s="1945">
        <f>ROUND(SUMIF(Data!$A:$A,"1-"&amp;LEFT($B9,3)&amp;"*-"&amp;MID(J$1,2,1)&amp;"*",Data!$F:$F),0)</f>
        <v>0</v>
      </c>
      <c r="K9" s="1671">
        <f t="shared" si="0"/>
        <v>635229</v>
      </c>
      <c r="L9" s="466">
        <v>113004</v>
      </c>
    </row>
    <row r="10" spans="1:14" x14ac:dyDescent="0.2">
      <c r="A10" s="1506" t="s">
        <v>746</v>
      </c>
      <c r="B10" s="600">
        <v>1250</v>
      </c>
      <c r="C10" s="1945">
        <f>ROUND(SUMIF(Data!$A:$A,"1-"&amp;LEFT($B10,3)&amp;"*-"&amp;MID(C$1,2,1)&amp;"*",Data!$F:$F),0)</f>
        <v>530496</v>
      </c>
      <c r="D10" s="1945">
        <f>ROUND(SUMIF(Data!$A:$A,"1-"&amp;LEFT($B10,3)&amp;"*-"&amp;MID(D$1,2,1)&amp;"*",Data!$F:$F),0)</f>
        <v>198969</v>
      </c>
      <c r="E10" s="1945">
        <f>ROUND(SUMIF(Data!$A:$A,"1-"&amp;LEFT($B10,3)&amp;"*-"&amp;MID(E$1,2,1)&amp;"*",Data!$F:$F),0)</f>
        <v>34406</v>
      </c>
      <c r="F10" s="1945">
        <f>ROUND(SUMIF(Data!$A:$A,"1-"&amp;LEFT($B10,3)&amp;"*-"&amp;MID(F$1,2,1)&amp;"*",Data!$F:$F),0)</f>
        <v>36512</v>
      </c>
      <c r="G10" s="1945">
        <f>ROUND(SUMIF(Data!$A:$A,"1-"&amp;LEFT($B10,3)&amp;"*-"&amp;MID(G$1,2,1)&amp;"*",Data!$F:$F),0)</f>
        <v>0</v>
      </c>
      <c r="H10" s="1945">
        <f>ROUND(SUMIF(Data!$A:$A,"1-"&amp;LEFT($B10,3)&amp;"*-"&amp;MID(H$1,2,1)&amp;"*",Data!$F:$F),0)</f>
        <v>0</v>
      </c>
      <c r="I10" s="1945">
        <f>ROUND(SUMIF(Data!$A:$A,"1-"&amp;LEFT($B10,3)&amp;"*-"&amp;MID(I$1,2,1)&amp;"*",Data!$F:$F),0)</f>
        <v>0</v>
      </c>
      <c r="J10" s="1945">
        <f>ROUND(SUMIF(Data!$A:$A,"1-"&amp;LEFT($B10,3)&amp;"*-"&amp;MID(J$1,2,1)&amp;"*",Data!$F:$F),0)</f>
        <v>0</v>
      </c>
      <c r="K10" s="1671">
        <f t="shared" si="0"/>
        <v>800383</v>
      </c>
      <c r="L10" s="466">
        <f>SUMIFS(Data!$G:$G,Data!$A:$A,"1-"&amp;LEFT($B10,3)&amp;"*",Data!$G:$G,"&gt;0")</f>
        <v>828896</v>
      </c>
    </row>
    <row r="11" spans="1:14" x14ac:dyDescent="0.2">
      <c r="A11" s="1506" t="s">
        <v>1192</v>
      </c>
      <c r="B11" s="600" t="s">
        <v>163</v>
      </c>
      <c r="C11" s="1945">
        <f>ROUND(SUMIF(Data!$A:$A,"1-"&amp;LEFT($B11,3)&amp;"*-"&amp;MID(C$1,2,1)&amp;"*",Data!$F:$F),0)</f>
        <v>444267</v>
      </c>
      <c r="D11" s="1945">
        <f>ROUND(SUMIF(Data!$A:$A,"1-"&amp;LEFT($B11,3)&amp;"*-"&amp;MID(D$1,2,1)&amp;"*",Data!$F:$F),0)</f>
        <v>105482</v>
      </c>
      <c r="E11" s="1945">
        <f>ROUND(SUMIF(Data!$A:$A,"1-"&amp;LEFT($B11,3)&amp;"*-"&amp;MID(E$1,2,1)&amp;"*",Data!$F:$F),0)</f>
        <v>7806</v>
      </c>
      <c r="F11" s="1945">
        <f>ROUND(SUMIF(Data!$A:$A,"1-"&amp;LEFT($B11,3)&amp;"*-"&amp;MID(F$1,2,1)&amp;"*",Data!$F:$F),0)</f>
        <v>96080</v>
      </c>
      <c r="G11" s="1945">
        <f>ROUND(SUMIF(Data!$A:$A,"1-"&amp;LEFT($B11,3)&amp;"*-"&amp;MID(G$1,2,1)&amp;"*",Data!$F:$F),0)</f>
        <v>4468</v>
      </c>
      <c r="H11" s="1945">
        <f>ROUND(SUMIF(Data!$A:$A,"1-"&amp;LEFT($B11,3)&amp;"*-"&amp;MID(H$1,2,1)&amp;"*",Data!$F:$F),0)</f>
        <v>0</v>
      </c>
      <c r="I11" s="1945">
        <f>ROUND(SUMIF(Data!$A:$A,"1-"&amp;LEFT($B11,3)&amp;"*-"&amp;MID(I$1,2,1)&amp;"*",Data!$F:$F),0)</f>
        <v>0</v>
      </c>
      <c r="J11" s="1945">
        <f>ROUND(SUMIF(Data!$A:$A,"1-"&amp;LEFT($B11,3)&amp;"*-"&amp;MID(J$1,2,1)&amp;"*",Data!$F:$F),0)</f>
        <v>0</v>
      </c>
      <c r="K11" s="1671">
        <f t="shared" si="0"/>
        <v>658103</v>
      </c>
      <c r="L11" s="466">
        <f>SUMIFS(Data!$G:$G,Data!$A:$A,"1-"&amp;LEFT($B11,3)&amp;"*",Data!$G:$G,"&gt;0")</f>
        <v>654119</v>
      </c>
    </row>
    <row r="12" spans="1:14" x14ac:dyDescent="0.2">
      <c r="A12" s="1506" t="s">
        <v>1019</v>
      </c>
      <c r="B12" s="600">
        <v>1300</v>
      </c>
      <c r="C12" s="1945">
        <f>ROUND(SUMIF(Data!$A:$A,"1-"&amp;LEFT($B12,3)&amp;"*-"&amp;MID(C$1,2,1)&amp;"*",Data!$F:$F),0)</f>
        <v>0</v>
      </c>
      <c r="D12" s="1945">
        <f>ROUND(SUMIF(Data!$A:$A,"1-"&amp;LEFT($B12,3)&amp;"*-"&amp;MID(D$1,2,1)&amp;"*",Data!$F:$F),0)</f>
        <v>0</v>
      </c>
      <c r="E12" s="1945">
        <f>ROUND(SUMIF(Data!$A:$A,"1-"&amp;LEFT($B12,3)&amp;"*-"&amp;MID(E$1,2,1)&amp;"*",Data!$F:$F),0)</f>
        <v>0</v>
      </c>
      <c r="F12" s="1945">
        <f>ROUND(SUMIF(Data!$A:$A,"1-"&amp;LEFT($B12,3)&amp;"*-"&amp;MID(F$1,2,1)&amp;"*",Data!$F:$F),0)</f>
        <v>0</v>
      </c>
      <c r="G12" s="1945">
        <f>ROUND(SUMIF(Data!$A:$A,"1-"&amp;LEFT($B12,3)&amp;"*-"&amp;MID(G$1,2,1)&amp;"*",Data!$F:$F),0)</f>
        <v>0</v>
      </c>
      <c r="H12" s="1945">
        <f>ROUND(SUMIF(Data!$A:$A,"1-"&amp;LEFT($B12,3)&amp;"*-"&amp;MID(H$1,2,1)&amp;"*",Data!$F:$F),0)</f>
        <v>0</v>
      </c>
      <c r="I12" s="1945">
        <f>ROUND(SUMIF(Data!$A:$A,"1-"&amp;LEFT($B12,3)&amp;"*-"&amp;MID(I$1,2,1)&amp;"*",Data!$F:$F),0)</f>
        <v>0</v>
      </c>
      <c r="J12" s="1945">
        <f>ROUND(SUMIF(Data!$A:$A,"1-"&amp;LEFT($B12,3)&amp;"*-"&amp;MID(J$1,2,1)&amp;"*",Data!$F:$F),0)</f>
        <v>0</v>
      </c>
      <c r="K12" s="1671">
        <f t="shared" si="0"/>
        <v>0</v>
      </c>
      <c r="L12" s="466">
        <f>SUMIFS(Data!$G:$G,Data!$A:$A,"1-"&amp;LEFT($B12,3)&amp;"*",Data!$G:$G,"&gt;0")</f>
        <v>0</v>
      </c>
    </row>
    <row r="13" spans="1:14" x14ac:dyDescent="0.2">
      <c r="A13" s="1506" t="s">
        <v>747</v>
      </c>
      <c r="B13" s="600">
        <v>1400</v>
      </c>
      <c r="C13" s="1945">
        <f>ROUND(SUMIF(Data!$A:$A,"1-"&amp;LEFT($B13,3)&amp;"*-"&amp;MID(C$1,2,1)&amp;"*",Data!$F:$F),0)</f>
        <v>0</v>
      </c>
      <c r="D13" s="1945">
        <f>ROUND(SUMIF(Data!$A:$A,"1-"&amp;LEFT($B13,3)&amp;"*-"&amp;MID(D$1,2,1)&amp;"*",Data!$F:$F),0)</f>
        <v>0</v>
      </c>
      <c r="E13" s="1945">
        <f>ROUND(SUMIF(Data!$A:$A,"1-"&amp;LEFT($B13,3)&amp;"*-"&amp;MID(E$1,2,1)&amp;"*",Data!$F:$F),0)</f>
        <v>0</v>
      </c>
      <c r="F13" s="1945">
        <f>ROUND(SUMIF(Data!$A:$A,"1-"&amp;LEFT($B13,3)&amp;"*-"&amp;MID(F$1,2,1)&amp;"*",Data!$F:$F),0)</f>
        <v>0</v>
      </c>
      <c r="G13" s="1945">
        <f>ROUND(SUMIF(Data!$A:$A,"1-"&amp;LEFT($B13,3)&amp;"*-"&amp;MID(G$1,2,1)&amp;"*",Data!$F:$F),0)</f>
        <v>0</v>
      </c>
      <c r="H13" s="1945">
        <f>ROUND(SUMIF(Data!$A:$A,"1-"&amp;LEFT($B13,3)&amp;"*-"&amp;MID(H$1,2,1)&amp;"*",Data!$F:$F),0)</f>
        <v>0</v>
      </c>
      <c r="I13" s="1945">
        <f>ROUND(SUMIF(Data!$A:$A,"1-"&amp;LEFT($B13,3)&amp;"*-"&amp;MID(I$1,2,1)&amp;"*",Data!$F:$F),0)</f>
        <v>0</v>
      </c>
      <c r="J13" s="1945">
        <f>ROUND(SUMIF(Data!$A:$A,"1-"&amp;LEFT($B13,3)&amp;"*-"&amp;MID(J$1,2,1)&amp;"*",Data!$F:$F),0)</f>
        <v>0</v>
      </c>
      <c r="K13" s="1671">
        <f t="shared" si="0"/>
        <v>0</v>
      </c>
      <c r="L13" s="466">
        <f>SUMIFS(Data!$G:$G,Data!$A:$A,"1-"&amp;LEFT($B13,3)&amp;"*",Data!$G:$G,"&gt;0")</f>
        <v>0</v>
      </c>
    </row>
    <row r="14" spans="1:14" x14ac:dyDescent="0.2">
      <c r="A14" s="1506" t="s">
        <v>1020</v>
      </c>
      <c r="B14" s="600">
        <v>1500</v>
      </c>
      <c r="C14" s="1945">
        <f>ROUND(SUMIF(Data!$A:$A,"1-"&amp;LEFT($B14,3)&amp;"*-"&amp;MID(C$1,2,1)&amp;"*",Data!$F:$F),0)</f>
        <v>160320</v>
      </c>
      <c r="D14" s="1945">
        <f>ROUND(SUMIF(Data!$A:$A,"1-"&amp;LEFT($B14,3)&amp;"*-"&amp;MID(D$1,2,1)&amp;"*",Data!$F:$F),0)</f>
        <v>35765</v>
      </c>
      <c r="E14" s="1945">
        <f>ROUND(SUMIF(Data!$A:$A,"1-"&amp;LEFT($B14,3)&amp;"*-"&amp;MID(E$1,2,1)&amp;"*",Data!$F:$F),0)</f>
        <v>14549</v>
      </c>
      <c r="F14" s="1945">
        <f>ROUND(SUMIF(Data!$A:$A,"1-"&amp;LEFT($B14,3)&amp;"*-"&amp;MID(F$1,2,1)&amp;"*",Data!$F:$F),0)</f>
        <v>9676</v>
      </c>
      <c r="G14" s="1945">
        <f>ROUND(SUMIF(Data!$A:$A,"1-"&amp;LEFT($B14,3)&amp;"*-"&amp;MID(G$1,2,1)&amp;"*",Data!$F:$F),0)</f>
        <v>1000</v>
      </c>
      <c r="H14" s="1945">
        <f>ROUND(SUMIF(Data!$A:$A,"1-"&amp;LEFT($B14,3)&amp;"*-"&amp;MID(H$1,2,1)&amp;"*",Data!$F:$F),0)</f>
        <v>4011</v>
      </c>
      <c r="I14" s="1945">
        <f>ROUND(SUMIF(Data!$A:$A,"1-"&amp;LEFT($B14,3)&amp;"*-"&amp;MID(I$1,2,1)&amp;"*",Data!$F:$F),0)</f>
        <v>0</v>
      </c>
      <c r="J14" s="1945">
        <f>ROUND(SUMIF(Data!$A:$A,"1-"&amp;LEFT($B14,3)&amp;"*-"&amp;MID(J$1,2,1)&amp;"*",Data!$F:$F),0)</f>
        <v>0</v>
      </c>
      <c r="K14" s="1671">
        <f t="shared" si="0"/>
        <v>225321</v>
      </c>
      <c r="L14" s="466">
        <v>232633</v>
      </c>
    </row>
    <row r="15" spans="1:14" x14ac:dyDescent="0.2">
      <c r="A15" s="1506" t="s">
        <v>1021</v>
      </c>
      <c r="B15" s="600">
        <v>1600</v>
      </c>
      <c r="C15" s="1945">
        <f>ROUND(SUMIF(Data!$A:$A,"1-"&amp;LEFT($B15,3)&amp;"*-"&amp;MID(C$1,2,1)&amp;"*",Data!$F:$F),0)</f>
        <v>0</v>
      </c>
      <c r="D15" s="1945">
        <f>ROUND(SUMIF(Data!$A:$A,"1-"&amp;LEFT($B15,3)&amp;"*-"&amp;MID(D$1,2,1)&amp;"*",Data!$F:$F),0)</f>
        <v>0</v>
      </c>
      <c r="E15" s="1945">
        <f>ROUND(SUMIF(Data!$A:$A,"1-"&amp;LEFT($B15,3)&amp;"*-"&amp;MID(E$1,2,1)&amp;"*",Data!$F:$F),0)</f>
        <v>0</v>
      </c>
      <c r="F15" s="1945">
        <f>ROUND(SUMIF(Data!$A:$A,"1-"&amp;LEFT($B15,3)&amp;"*-"&amp;MID(F$1,2,1)&amp;"*",Data!$F:$F),0)</f>
        <v>0</v>
      </c>
      <c r="G15" s="1945">
        <f>ROUND(SUMIF(Data!$A:$A,"1-"&amp;LEFT($B15,3)&amp;"*-"&amp;MID(G$1,2,1)&amp;"*",Data!$F:$F),0)</f>
        <v>0</v>
      </c>
      <c r="H15" s="1945">
        <f>ROUND(SUMIF(Data!$A:$A,"1-"&amp;LEFT($B15,3)&amp;"*-"&amp;MID(H$1,2,1)&amp;"*",Data!$F:$F),0)</f>
        <v>0</v>
      </c>
      <c r="I15" s="1945">
        <f>ROUND(SUMIF(Data!$A:$A,"1-"&amp;LEFT($B15,3)&amp;"*-"&amp;MID(I$1,2,1)&amp;"*",Data!$F:$F),0)</f>
        <v>0</v>
      </c>
      <c r="J15" s="1945">
        <f>ROUND(SUMIF(Data!$A:$A,"1-"&amp;LEFT($B15,3)&amp;"*-"&amp;MID(J$1,2,1)&amp;"*",Data!$F:$F),0)</f>
        <v>0</v>
      </c>
      <c r="K15" s="1671">
        <f t="shared" si="0"/>
        <v>0</v>
      </c>
      <c r="L15" s="466">
        <f>SUMIFS(Data!$G:$G,Data!$A:$A,"1-"&amp;LEFT($B15,3)&amp;"*",Data!$G:$G,"&gt;0")</f>
        <v>0</v>
      </c>
    </row>
    <row r="16" spans="1:14" x14ac:dyDescent="0.2">
      <c r="A16" s="1506" t="s">
        <v>1044</v>
      </c>
      <c r="B16" s="600" t="s">
        <v>444</v>
      </c>
      <c r="C16" s="1945">
        <f>ROUND(SUMIF(Data!$A:$A,"1-"&amp;LEFT($B16,3)&amp;"*-"&amp;MID(C$1,2,1)&amp;"*",Data!$F:$F),0)</f>
        <v>0</v>
      </c>
      <c r="D16" s="1945">
        <f>ROUND(SUMIF(Data!$A:$A,"1-"&amp;LEFT($B16,3)&amp;"*-"&amp;MID(D$1,2,1)&amp;"*",Data!$F:$F),0)</f>
        <v>0</v>
      </c>
      <c r="E16" s="1945">
        <f>ROUND(SUMIF(Data!$A:$A,"1-"&amp;LEFT($B16,3)&amp;"*-"&amp;MID(E$1,2,1)&amp;"*",Data!$F:$F),0)</f>
        <v>0</v>
      </c>
      <c r="F16" s="1945">
        <f>ROUND(SUMIF(Data!$A:$A,"1-"&amp;LEFT($B16,3)&amp;"*-"&amp;MID(F$1,2,1)&amp;"*",Data!$F:$F),0)</f>
        <v>0</v>
      </c>
      <c r="G16" s="1945">
        <f>ROUND(SUMIF(Data!$A:$A,"1-"&amp;LEFT($B16,3)&amp;"*-"&amp;MID(G$1,2,1)&amp;"*",Data!$F:$F),0)</f>
        <v>0</v>
      </c>
      <c r="H16" s="1945">
        <f>ROUND(SUMIF(Data!$A:$A,"1-"&amp;LEFT($B16,3)&amp;"*-"&amp;MID(H$1,2,1)&amp;"*",Data!$F:$F),0)</f>
        <v>0</v>
      </c>
      <c r="I16" s="1945">
        <f>ROUND(SUMIF(Data!$A:$A,"1-"&amp;LEFT($B16,3)&amp;"*-"&amp;MID(I$1,2,1)&amp;"*",Data!$F:$F),0)</f>
        <v>0</v>
      </c>
      <c r="J16" s="1945">
        <f>ROUND(SUMIF(Data!$A:$A,"1-"&amp;LEFT($B16,3)&amp;"*-"&amp;MID(J$1,2,1)&amp;"*",Data!$F:$F),0)</f>
        <v>0</v>
      </c>
      <c r="K16" s="1671">
        <f t="shared" si="0"/>
        <v>0</v>
      </c>
      <c r="L16" s="466">
        <f>SUMIFS(Data!$G:$G,Data!$A:$A,"1-"&amp;LEFT($B16,3)&amp;"*",Data!$G:$G,"&gt;0")</f>
        <v>0</v>
      </c>
    </row>
    <row r="17" spans="1:12" x14ac:dyDescent="0.2">
      <c r="A17" s="1506" t="s">
        <v>748</v>
      </c>
      <c r="B17" s="600" t="s">
        <v>164</v>
      </c>
      <c r="C17" s="1945">
        <f>ROUND(SUMIF(Data!$A:$A,"1-"&amp;LEFT($B17,3)&amp;"*-"&amp;MID(C$1,2,1)&amp;"*",Data!$F:$F),0)</f>
        <v>0</v>
      </c>
      <c r="D17" s="1945">
        <f>ROUND(SUMIF(Data!$A:$A,"1-"&amp;LEFT($B17,3)&amp;"*-"&amp;MID(D$1,2,1)&amp;"*",Data!$F:$F),0)</f>
        <v>0</v>
      </c>
      <c r="E17" s="1945">
        <f>ROUND(SUMIF(Data!$A:$A,"1-"&amp;LEFT($B17,3)&amp;"*-"&amp;MID(E$1,2,1)&amp;"*",Data!$F:$F),0)</f>
        <v>0</v>
      </c>
      <c r="F17" s="1945">
        <f>ROUND(SUMIF(Data!$A:$A,"1-"&amp;LEFT($B17,3)&amp;"*-"&amp;MID(F$1,2,1)&amp;"*",Data!$F:$F),0)</f>
        <v>0</v>
      </c>
      <c r="G17" s="1945">
        <f>ROUND(SUMIF(Data!$A:$A,"1-"&amp;LEFT($B17,3)&amp;"*-"&amp;MID(G$1,2,1)&amp;"*",Data!$F:$F),0)</f>
        <v>0</v>
      </c>
      <c r="H17" s="1945">
        <f>ROUND(SUMIF(Data!$A:$A,"1-"&amp;LEFT($B17,3)&amp;"*-"&amp;MID(H$1,2,1)&amp;"*",Data!$F:$F),0)</f>
        <v>0</v>
      </c>
      <c r="I17" s="1945">
        <f>ROUND(SUMIF(Data!$A:$A,"1-"&amp;LEFT($B17,3)&amp;"*-"&amp;MID(I$1,2,1)&amp;"*",Data!$F:$F),0)</f>
        <v>0</v>
      </c>
      <c r="J17" s="1945">
        <f>ROUND(SUMIF(Data!$A:$A,"1-"&amp;LEFT($B17,3)&amp;"*-"&amp;MID(J$1,2,1)&amp;"*",Data!$F:$F),0)</f>
        <v>0</v>
      </c>
      <c r="K17" s="1671">
        <f t="shared" si="0"/>
        <v>0</v>
      </c>
      <c r="L17" s="466">
        <f>SUMIFS(Data!$G:$G,Data!$A:$A,"1-"&amp;LEFT($B17,3)&amp;"*",Data!$G:$G,"&gt;0")</f>
        <v>0</v>
      </c>
    </row>
    <row r="18" spans="1:12" x14ac:dyDescent="0.2">
      <c r="A18" s="1506" t="s">
        <v>1148</v>
      </c>
      <c r="B18" s="600">
        <v>1800</v>
      </c>
      <c r="C18" s="1945">
        <f>ROUND(SUMIF(Data!$A:$A,"1-"&amp;LEFT($B18,3)&amp;"*-"&amp;MID(C$1,2,1)&amp;"*",Data!$F:$F),0)</f>
        <v>0</v>
      </c>
      <c r="D18" s="1945">
        <f>ROUND(SUMIF(Data!$A:$A,"1-"&amp;LEFT($B18,3)&amp;"*-"&amp;MID(D$1,2,1)&amp;"*",Data!$F:$F),0)</f>
        <v>0</v>
      </c>
      <c r="E18" s="1945">
        <f>ROUND(SUMIF(Data!$A:$A,"1-"&amp;LEFT($B18,3)&amp;"*-"&amp;MID(E$1,2,1)&amp;"*",Data!$F:$F),0)</f>
        <v>0</v>
      </c>
      <c r="F18" s="1945">
        <f>ROUND(SUMIF(Data!$A:$A,"1-"&amp;LEFT($B18,3)&amp;"*-"&amp;MID(F$1,2,1)&amp;"*",Data!$F:$F),0)</f>
        <v>0</v>
      </c>
      <c r="G18" s="1945">
        <f>ROUND(SUMIF(Data!$A:$A,"1-"&amp;LEFT($B18,3)&amp;"*-"&amp;MID(G$1,2,1)&amp;"*",Data!$F:$F),0)</f>
        <v>0</v>
      </c>
      <c r="H18" s="1945">
        <f>ROUND(SUMIF(Data!$A:$A,"1-"&amp;LEFT($B18,3)&amp;"*-"&amp;MID(H$1,2,1)&amp;"*",Data!$F:$F),0)</f>
        <v>0</v>
      </c>
      <c r="I18" s="1945">
        <f>ROUND(SUMIF(Data!$A:$A,"1-"&amp;LEFT($B18,3)&amp;"*-"&amp;MID(I$1,2,1)&amp;"*",Data!$F:$F),0)</f>
        <v>0</v>
      </c>
      <c r="J18" s="1945">
        <f>ROUND(SUMIF(Data!$A:$A,"1-"&amp;LEFT($B18,3)&amp;"*-"&amp;MID(J$1,2,1)&amp;"*",Data!$F:$F),0)</f>
        <v>0</v>
      </c>
      <c r="K18" s="1671">
        <f t="shared" si="0"/>
        <v>0</v>
      </c>
      <c r="L18" s="466">
        <f>SUMIFS(Data!$G:$G,Data!$A:$A,"1-"&amp;LEFT($B18,3)&amp;"*",Data!$G:$G,"&gt;0")</f>
        <v>0</v>
      </c>
    </row>
    <row r="19" spans="1:12" x14ac:dyDescent="0.2">
      <c r="A19" s="1506" t="s">
        <v>136</v>
      </c>
      <c r="B19" s="600">
        <v>1900</v>
      </c>
      <c r="C19" s="1945">
        <f>ROUND(SUMIF(Data!$A:$A,"1-"&amp;LEFT($B19,3)&amp;"*-"&amp;MID(C$1,2,1)&amp;"*",Data!$F:$F),0)</f>
        <v>0</v>
      </c>
      <c r="D19" s="1945">
        <f>ROUND(SUMIF(Data!$A:$A,"1-"&amp;LEFT($B19,3)&amp;"*-"&amp;MID(D$1,2,1)&amp;"*",Data!$F:$F),0)</f>
        <v>0</v>
      </c>
      <c r="E19" s="1945">
        <f>ROUND(SUMIF(Data!$A:$A,"1-"&amp;LEFT($B19,3)&amp;"*-"&amp;MID(E$1,2,1)&amp;"*",Data!$F:$F),0)</f>
        <v>0</v>
      </c>
      <c r="F19" s="1945">
        <f>ROUND(SUMIF(Data!$A:$A,"1-"&amp;LEFT($B19,3)&amp;"*-"&amp;MID(F$1,2,1)&amp;"*",Data!$F:$F),0)</f>
        <v>0</v>
      </c>
      <c r="G19" s="1945">
        <f>ROUND(SUMIF(Data!$A:$A,"1-"&amp;LEFT($B19,3)&amp;"*-"&amp;MID(G$1,2,1)&amp;"*",Data!$F:$F),0)</f>
        <v>0</v>
      </c>
      <c r="H19" s="1945">
        <f>ROUND(SUMIF(Data!$A:$A,"1-"&amp;LEFT($B19,3)&amp;"*-"&amp;MID(H$1,2,1)&amp;"*",Data!$F:$F),0)</f>
        <v>0</v>
      </c>
      <c r="I19" s="1945">
        <f>ROUND(SUMIF(Data!$A:$A,"1-"&amp;LEFT($B19,3)&amp;"*-"&amp;MID(I$1,2,1)&amp;"*",Data!$F:$F),0)</f>
        <v>0</v>
      </c>
      <c r="J19" s="1945">
        <f>ROUND(SUMIF(Data!$A:$A,"1-"&amp;LEFT($B19,3)&amp;"*-"&amp;MID(J$1,2,1)&amp;"*",Data!$F:$F),0)</f>
        <v>0</v>
      </c>
      <c r="K19" s="1671">
        <f t="shared" si="0"/>
        <v>0</v>
      </c>
      <c r="L19" s="466">
        <f>SUMIFS(Data!$G:$G,Data!$A:$A,"1-"&amp;LEFT($B19,3)&amp;"*",Data!$G:$G,"&gt;0")</f>
        <v>0</v>
      </c>
    </row>
    <row r="20" spans="1:12" x14ac:dyDescent="0.2">
      <c r="A20" s="1507" t="s">
        <v>762</v>
      </c>
      <c r="B20" s="588" t="s">
        <v>749</v>
      </c>
      <c r="C20" s="477"/>
      <c r="D20" s="477"/>
      <c r="E20" s="477"/>
      <c r="F20" s="477"/>
      <c r="G20" s="477"/>
      <c r="H20" s="1945">
        <f>ROUND(SUMIF(Data!$A:$A,"1-"&amp;LEFT($B20,3)&amp;"*-"&amp;MID(H$1,2,1)&amp;"*",Data!$F:$F),0)</f>
        <v>0</v>
      </c>
      <c r="I20" s="602"/>
      <c r="J20" s="475"/>
      <c r="K20" s="1671">
        <f t="shared" si="0"/>
        <v>0</v>
      </c>
      <c r="L20" s="466">
        <f>SUMIFS(Data!$G:$G,Data!$A:$A,"1-"&amp;LEFT($B20,3)&amp;"*",Data!$G:$G,"&gt;0")</f>
        <v>0</v>
      </c>
    </row>
    <row r="21" spans="1:12" x14ac:dyDescent="0.2">
      <c r="A21" s="1507" t="s">
        <v>763</v>
      </c>
      <c r="B21" s="588" t="s">
        <v>750</v>
      </c>
      <c r="C21" s="477"/>
      <c r="D21" s="477"/>
      <c r="E21" s="477"/>
      <c r="F21" s="477"/>
      <c r="G21" s="477"/>
      <c r="H21" s="1945">
        <f>ROUND(SUMIF(Data!$A:$A,"1-"&amp;LEFT($B21,3)&amp;"*-"&amp;MID(H$1,2,1)&amp;"*",Data!$F:$F),0)</f>
        <v>0</v>
      </c>
      <c r="I21" s="602"/>
      <c r="J21" s="477"/>
      <c r="K21" s="1671">
        <f t="shared" si="0"/>
        <v>0</v>
      </c>
      <c r="L21" s="466">
        <f>SUMIFS(Data!$G:$G,Data!$A:$A,"1-"&amp;LEFT($B21,3)&amp;"*",Data!$G:$G,"&gt;0")</f>
        <v>0</v>
      </c>
    </row>
    <row r="22" spans="1:12" x14ac:dyDescent="0.2">
      <c r="A22" s="1507" t="s">
        <v>764</v>
      </c>
      <c r="B22" s="588" t="s">
        <v>751</v>
      </c>
      <c r="C22" s="477"/>
      <c r="D22" s="477"/>
      <c r="E22" s="477"/>
      <c r="F22" s="477"/>
      <c r="G22" s="477"/>
      <c r="H22" s="1945">
        <f>ROUND(SUMIF(Data!$A:$A,"1-"&amp;LEFT($B22,3)&amp;"*-"&amp;MID(H$1,2,1)&amp;"*",Data!$F:$F),0)</f>
        <v>0</v>
      </c>
      <c r="I22" s="602"/>
      <c r="J22" s="477"/>
      <c r="K22" s="1671">
        <f t="shared" si="0"/>
        <v>0</v>
      </c>
      <c r="L22" s="466">
        <f>SUMIFS(Data!$G:$G,Data!$A:$A,"1-"&amp;LEFT($B22,3)&amp;"*",Data!$G:$G,"&gt;0")</f>
        <v>0</v>
      </c>
    </row>
    <row r="23" spans="1:12" x14ac:dyDescent="0.2">
      <c r="A23" s="1507" t="s">
        <v>765</v>
      </c>
      <c r="B23" s="588" t="s">
        <v>752</v>
      </c>
      <c r="C23" s="477"/>
      <c r="D23" s="477"/>
      <c r="E23" s="477"/>
      <c r="F23" s="477"/>
      <c r="G23" s="477"/>
      <c r="H23" s="1945">
        <f>ROUND(SUMIF(Data!$A:$A,"1-"&amp;LEFT($B23,3)&amp;"*-"&amp;MID(H$1,2,1)&amp;"*",Data!$F:$F),0)</f>
        <v>0</v>
      </c>
      <c r="I23" s="602"/>
      <c r="J23" s="477"/>
      <c r="K23" s="1671">
        <f t="shared" si="0"/>
        <v>0</v>
      </c>
      <c r="L23" s="466">
        <f>SUMIFS(Data!$G:$G,Data!$A:$A,"1-"&amp;LEFT($B23,3)&amp;"*",Data!$G:$G,"&gt;0")</f>
        <v>0</v>
      </c>
    </row>
    <row r="24" spans="1:12" ht="12.75" customHeight="1" x14ac:dyDescent="0.2">
      <c r="A24" s="1507" t="s">
        <v>766</v>
      </c>
      <c r="B24" s="588" t="s">
        <v>753</v>
      </c>
      <c r="C24" s="477"/>
      <c r="D24" s="477"/>
      <c r="E24" s="477"/>
      <c r="F24" s="477"/>
      <c r="G24" s="477"/>
      <c r="H24" s="1945">
        <f>ROUND(SUMIF(Data!$A:$A,"1-"&amp;LEFT($B24,3)&amp;"*-"&amp;MID(H$1,2,1)&amp;"*",Data!$F:$F),0)</f>
        <v>0</v>
      </c>
      <c r="I24" s="602"/>
      <c r="J24" s="477"/>
      <c r="K24" s="1671">
        <f t="shared" si="0"/>
        <v>0</v>
      </c>
      <c r="L24" s="466">
        <f>SUMIFS(Data!$G:$G,Data!$A:$A,"1-"&amp;LEFT($B24,3)&amp;"*",Data!$G:$G,"&gt;0")</f>
        <v>0</v>
      </c>
    </row>
    <row r="25" spans="1:12" ht="12.75" customHeight="1" x14ac:dyDescent="0.2">
      <c r="A25" s="1507" t="s">
        <v>835</v>
      </c>
      <c r="B25" s="588" t="s">
        <v>754</v>
      </c>
      <c r="C25" s="477"/>
      <c r="D25" s="477"/>
      <c r="E25" s="477"/>
      <c r="F25" s="477"/>
      <c r="G25" s="477"/>
      <c r="H25" s="1945">
        <f>ROUND(SUMIF(Data!$A:$A,"1-"&amp;LEFT($B25,3)&amp;"*-"&amp;MID(H$1,2,1)&amp;"*",Data!$F:$F),0)</f>
        <v>0</v>
      </c>
      <c r="I25" s="602"/>
      <c r="J25" s="477"/>
      <c r="K25" s="1671">
        <f t="shared" si="0"/>
        <v>0</v>
      </c>
      <c r="L25" s="466">
        <f>SUMIFS(Data!$G:$G,Data!$A:$A,"1-"&amp;LEFT($B25,3)&amp;"*",Data!$G:$G,"&gt;0")</f>
        <v>0</v>
      </c>
    </row>
    <row r="26" spans="1:12" x14ac:dyDescent="0.2">
      <c r="A26" s="1507" t="s">
        <v>643</v>
      </c>
      <c r="B26" s="588" t="s">
        <v>755</v>
      </c>
      <c r="C26" s="477"/>
      <c r="D26" s="477"/>
      <c r="E26" s="477"/>
      <c r="F26" s="477"/>
      <c r="G26" s="477"/>
      <c r="H26" s="1945">
        <f>ROUND(SUMIF(Data!$A:$A,"1-"&amp;LEFT($B26,3)&amp;"*-"&amp;MID(H$1,2,1)&amp;"*",Data!$F:$F),0)</f>
        <v>0</v>
      </c>
      <c r="I26" s="602"/>
      <c r="J26" s="477"/>
      <c r="K26" s="1671">
        <f t="shared" si="0"/>
        <v>0</v>
      </c>
      <c r="L26" s="466">
        <f>SUMIFS(Data!$G:$G,Data!$A:$A,"1-"&amp;LEFT($B26,3)&amp;"*",Data!$G:$G,"&gt;0")</f>
        <v>0</v>
      </c>
    </row>
    <row r="27" spans="1:12" x14ac:dyDescent="0.2">
      <c r="A27" s="1507" t="s">
        <v>644</v>
      </c>
      <c r="B27" s="588" t="s">
        <v>756</v>
      </c>
      <c r="C27" s="477"/>
      <c r="D27" s="477"/>
      <c r="E27" s="477"/>
      <c r="F27" s="477"/>
      <c r="G27" s="477"/>
      <c r="H27" s="1945">
        <f>ROUND(SUMIF(Data!$A:$A,"1-"&amp;LEFT($B27,3)&amp;"*-"&amp;MID(H$1,2,1)&amp;"*",Data!$F:$F),0)</f>
        <v>0</v>
      </c>
      <c r="I27" s="602"/>
      <c r="J27" s="477"/>
      <c r="K27" s="1671">
        <f t="shared" si="0"/>
        <v>0</v>
      </c>
      <c r="L27" s="466">
        <f>SUMIFS(Data!$G:$G,Data!$A:$A,"1-"&amp;LEFT($B27,3)&amp;"*",Data!$G:$G,"&gt;0")</f>
        <v>0</v>
      </c>
    </row>
    <row r="28" spans="1:12" x14ac:dyDescent="0.2">
      <c r="A28" s="1507" t="s">
        <v>152</v>
      </c>
      <c r="B28" s="588" t="s">
        <v>757</v>
      </c>
      <c r="C28" s="477"/>
      <c r="D28" s="477"/>
      <c r="E28" s="477"/>
      <c r="F28" s="477"/>
      <c r="G28" s="477"/>
      <c r="H28" s="1945">
        <f>ROUND(SUMIF(Data!$A:$A,"1-"&amp;LEFT($B28,3)&amp;"*-"&amp;MID(H$1,2,1)&amp;"*",Data!$F:$F),0)</f>
        <v>0</v>
      </c>
      <c r="I28" s="602"/>
      <c r="J28" s="477"/>
      <c r="K28" s="1671">
        <f t="shared" si="0"/>
        <v>0</v>
      </c>
      <c r="L28" s="466">
        <f>SUMIFS(Data!$G:$G,Data!$A:$A,"1-"&amp;LEFT($B28,3)&amp;"*",Data!$G:$G,"&gt;0")</f>
        <v>0</v>
      </c>
    </row>
    <row r="29" spans="1:12" x14ac:dyDescent="0.2">
      <c r="A29" s="1507" t="s">
        <v>153</v>
      </c>
      <c r="B29" s="588" t="s">
        <v>758</v>
      </c>
      <c r="C29" s="477"/>
      <c r="D29" s="477"/>
      <c r="E29" s="477"/>
      <c r="F29" s="477"/>
      <c r="G29" s="477"/>
      <c r="H29" s="1945">
        <f>ROUND(SUMIF(Data!$A:$A,"1-"&amp;LEFT($B29,3)&amp;"*-"&amp;MID(H$1,2,1)&amp;"*",Data!$F:$F),0)</f>
        <v>0</v>
      </c>
      <c r="I29" s="602"/>
      <c r="J29" s="477"/>
      <c r="K29" s="1671">
        <f t="shared" si="0"/>
        <v>0</v>
      </c>
      <c r="L29" s="466">
        <f>SUMIFS(Data!$G:$G,Data!$A:$A,"1-"&amp;LEFT($B29,3)&amp;"*",Data!$G:$G,"&gt;0")</f>
        <v>0</v>
      </c>
    </row>
    <row r="30" spans="1:12" x14ac:dyDescent="0.2">
      <c r="A30" s="1507" t="s">
        <v>154</v>
      </c>
      <c r="B30" s="588" t="s">
        <v>759</v>
      </c>
      <c r="C30" s="477"/>
      <c r="D30" s="477"/>
      <c r="E30" s="477"/>
      <c r="F30" s="477"/>
      <c r="G30" s="477"/>
      <c r="H30" s="1945">
        <f>ROUND(SUMIF(Data!$A:$A,"1-"&amp;LEFT($B30,3)&amp;"*-"&amp;MID(H$1,2,1)&amp;"*",Data!$F:$F),0)</f>
        <v>0</v>
      </c>
      <c r="I30" s="602"/>
      <c r="J30" s="477"/>
      <c r="K30" s="1671">
        <f t="shared" si="0"/>
        <v>0</v>
      </c>
      <c r="L30" s="466">
        <f>SUMIFS(Data!$G:$G,Data!$A:$A,"1-"&amp;LEFT($B30,3)&amp;"*",Data!$G:$G,"&gt;0")</f>
        <v>0</v>
      </c>
    </row>
    <row r="31" spans="1:12" x14ac:dyDescent="0.2">
      <c r="A31" s="1507" t="s">
        <v>155</v>
      </c>
      <c r="B31" s="588" t="s">
        <v>760</v>
      </c>
      <c r="C31" s="477"/>
      <c r="D31" s="477"/>
      <c r="E31" s="477"/>
      <c r="F31" s="477"/>
      <c r="G31" s="477"/>
      <c r="H31" s="1945">
        <f>ROUND(SUMIF(Data!$A:$A,"1-"&amp;LEFT($B31,3)&amp;"*-"&amp;MID(H$1,2,1)&amp;"*",Data!$F:$F),0)</f>
        <v>0</v>
      </c>
      <c r="I31" s="602"/>
      <c r="J31" s="477"/>
      <c r="K31" s="1671">
        <f t="shared" si="0"/>
        <v>0</v>
      </c>
      <c r="L31" s="466">
        <f>SUMIFS(Data!$G:$G,Data!$A:$A,"1-"&amp;LEFT($B31,3)&amp;"*",Data!$G:$G,"&gt;0")</f>
        <v>0</v>
      </c>
    </row>
    <row r="32" spans="1:12" x14ac:dyDescent="0.2">
      <c r="A32" s="1508" t="s">
        <v>1191</v>
      </c>
      <c r="B32" s="600" t="s">
        <v>761</v>
      </c>
      <c r="C32" s="477"/>
      <c r="D32" s="477"/>
      <c r="E32" s="477"/>
      <c r="F32" s="477"/>
      <c r="G32" s="477"/>
      <c r="H32" s="1945">
        <f>ROUND(SUMIF(Data!$A:$A,"1-"&amp;LEFT($B32,3)&amp;"*-"&amp;MID(H$1,2,1)&amp;"*",Data!$F:$F),0)</f>
        <v>0</v>
      </c>
      <c r="I32" s="602"/>
      <c r="J32" s="480"/>
      <c r="K32" s="1671">
        <f t="shared" si="0"/>
        <v>0</v>
      </c>
      <c r="L32" s="466">
        <f>SUMIFS(Data!$G:$G,Data!$A:$A,"1-"&amp;LEFT($B32,3)&amp;"*",Data!$G:$G,"&gt;0")</f>
        <v>0</v>
      </c>
    </row>
    <row r="33" spans="1:14" ht="12.75" customHeight="1" thickBot="1" x14ac:dyDescent="0.25">
      <c r="A33" s="1668" t="s">
        <v>1767</v>
      </c>
      <c r="B33" s="1669" t="s">
        <v>591</v>
      </c>
      <c r="C33" s="1670">
        <f>SUM(C5:C32)</f>
        <v>8521111</v>
      </c>
      <c r="D33" s="1670">
        <f t="shared" ref="D33:L33" si="1">SUM(D5:D32)</f>
        <v>2513999</v>
      </c>
      <c r="E33" s="1670">
        <f t="shared" si="1"/>
        <v>59546</v>
      </c>
      <c r="F33" s="1670">
        <f t="shared" si="1"/>
        <v>271708</v>
      </c>
      <c r="G33" s="1670">
        <f t="shared" si="1"/>
        <v>147174</v>
      </c>
      <c r="H33" s="1670">
        <f t="shared" si="1"/>
        <v>243433</v>
      </c>
      <c r="I33" s="1670">
        <f t="shared" si="1"/>
        <v>0</v>
      </c>
      <c r="J33" s="1670">
        <f t="shared" si="1"/>
        <v>0</v>
      </c>
      <c r="K33" s="1670">
        <f t="shared" si="1"/>
        <v>11756971</v>
      </c>
      <c r="L33" s="1670">
        <f t="shared" si="1"/>
        <v>11876621</v>
      </c>
    </row>
    <row r="34" spans="1:14" s="606" customFormat="1" ht="15.75" customHeight="1" thickTop="1" x14ac:dyDescent="0.2">
      <c r="A34" s="1610" t="s">
        <v>48</v>
      </c>
      <c r="B34" s="1611" t="s">
        <v>590</v>
      </c>
      <c r="C34" s="604"/>
      <c r="D34" s="604"/>
      <c r="E34" s="604"/>
      <c r="F34" s="604"/>
      <c r="G34" s="604"/>
      <c r="H34" s="604"/>
      <c r="I34" s="602"/>
      <c r="J34" s="602"/>
      <c r="K34" s="602"/>
      <c r="L34" s="602"/>
      <c r="M34" s="605"/>
      <c r="N34" s="605"/>
    </row>
    <row r="35" spans="1:14" s="606" customFormat="1" ht="15.75" customHeight="1" x14ac:dyDescent="0.2">
      <c r="A35" s="607" t="s">
        <v>612</v>
      </c>
      <c r="B35" s="608"/>
      <c r="C35" s="609"/>
      <c r="D35" s="609"/>
      <c r="E35" s="609"/>
      <c r="F35" s="609"/>
      <c r="G35" s="609"/>
      <c r="H35" s="609"/>
      <c r="I35" s="602"/>
      <c r="J35" s="602"/>
      <c r="K35" s="602"/>
      <c r="L35" s="602"/>
      <c r="M35" s="605"/>
      <c r="N35" s="605"/>
    </row>
    <row r="36" spans="1:14" x14ac:dyDescent="0.2">
      <c r="A36" s="1506" t="s">
        <v>1150</v>
      </c>
      <c r="B36" s="600">
        <v>2110</v>
      </c>
      <c r="C36" s="1945">
        <f>ROUND(SUMIF(Data!$A:$A,"1-"&amp;LEFT($B36,3)&amp;"*-"&amp;MID(C$1,2,1)&amp;"*",Data!$F:$F),0)</f>
        <v>297522</v>
      </c>
      <c r="D36" s="1945">
        <f>ROUND(SUMIF(Data!$A:$A,"1-"&amp;LEFT($B36,3)&amp;"*-"&amp;MID(D$1,2,1)&amp;"*",Data!$F:$F),0)</f>
        <v>121108</v>
      </c>
      <c r="E36" s="1945">
        <f>ROUND(SUMIF(Data!$A:$A,"1-"&amp;LEFT($B36,3)&amp;"*-"&amp;MID(E$1,2,1)&amp;"*",Data!$F:$F),0)</f>
        <v>24664</v>
      </c>
      <c r="F36" s="1945">
        <f>ROUND(SUMIF(Data!$A:$A,"1-"&amp;LEFT($B36,3)&amp;"*-"&amp;MID(F$1,2,1)&amp;"*",Data!$F:$F),0)</f>
        <v>4323</v>
      </c>
      <c r="G36" s="1945">
        <f>ROUND(SUMIF(Data!$A:$A,"1-"&amp;LEFT($B36,3)&amp;"*-"&amp;MID(G$1,2,1)&amp;"*",Data!$F:$F),0)</f>
        <v>0</v>
      </c>
      <c r="H36" s="1945">
        <f>ROUND(SUMIF(Data!$A:$A,"1-"&amp;LEFT($B36,3)&amp;"*-"&amp;MID(H$1,2,1)&amp;"*",Data!$F:$F),0)</f>
        <v>0</v>
      </c>
      <c r="I36" s="1945">
        <f>ROUND(SUMIF(Data!$A:$A,"1-"&amp;LEFT($B36,3)&amp;"*-"&amp;MID(I$1,2,1)&amp;"*",Data!$F:$F),0)</f>
        <v>0</v>
      </c>
      <c r="J36" s="1945">
        <f>ROUND(SUMIF(Data!$A:$A,"1-"&amp;LEFT($B36,3)&amp;"*-"&amp;MID(J$1,2,1)&amp;"*",Data!$F:$F),0)</f>
        <v>0</v>
      </c>
      <c r="K36" s="1671">
        <f t="shared" ref="K36:K41" si="2">SUM(C36:J36)</f>
        <v>447617</v>
      </c>
      <c r="L36" s="466">
        <f>SUMIFS(Data!$G:$G,Data!$A:$A,"1-"&amp;LEFT($B36,3)&amp;"*",Data!$G:$G,"&gt;0")</f>
        <v>450121.2</v>
      </c>
    </row>
    <row r="37" spans="1:14" x14ac:dyDescent="0.2">
      <c r="A37" s="1506" t="s">
        <v>1151</v>
      </c>
      <c r="B37" s="600">
        <v>2120</v>
      </c>
      <c r="C37" s="1945">
        <f>ROUND(SUMIF(Data!$A:$A,"1-"&amp;LEFT($B37,3)&amp;"*-"&amp;MID(C$1,2,1)&amp;"*",Data!$F:$F),0)</f>
        <v>137547</v>
      </c>
      <c r="D37" s="1945">
        <f>ROUND(SUMIF(Data!$A:$A,"1-"&amp;LEFT($B37,3)&amp;"*-"&amp;MID(D$1,2,1)&amp;"*",Data!$F:$F),0)</f>
        <v>32490</v>
      </c>
      <c r="E37" s="1945">
        <f>ROUND(SUMIF(Data!$A:$A,"1-"&amp;LEFT($B37,3)&amp;"*-"&amp;MID(E$1,2,1)&amp;"*",Data!$F:$F),0)</f>
        <v>0</v>
      </c>
      <c r="F37" s="1945">
        <f>ROUND(SUMIF(Data!$A:$A,"1-"&amp;LEFT($B37,3)&amp;"*-"&amp;MID(F$1,2,1)&amp;"*",Data!$F:$F),0)</f>
        <v>0</v>
      </c>
      <c r="G37" s="1945">
        <f>ROUND(SUMIF(Data!$A:$A,"1-"&amp;LEFT($B37,3)&amp;"*-"&amp;MID(G$1,2,1)&amp;"*",Data!$F:$F),0)</f>
        <v>0</v>
      </c>
      <c r="H37" s="1945">
        <f>ROUND(SUMIF(Data!$A:$A,"1-"&amp;LEFT($B37,3)&amp;"*-"&amp;MID(H$1,2,1)&amp;"*",Data!$F:$F),0)</f>
        <v>0</v>
      </c>
      <c r="I37" s="1945">
        <f>ROUND(SUMIF(Data!$A:$A,"1-"&amp;LEFT($B37,3)&amp;"*-"&amp;MID(I$1,2,1)&amp;"*",Data!$F:$F),0)</f>
        <v>0</v>
      </c>
      <c r="J37" s="1945">
        <f>ROUND(SUMIF(Data!$A:$A,"1-"&amp;LEFT($B37,3)&amp;"*-"&amp;MID(J$1,2,1)&amp;"*",Data!$F:$F),0)</f>
        <v>0</v>
      </c>
      <c r="K37" s="1671">
        <f t="shared" si="2"/>
        <v>170037</v>
      </c>
      <c r="L37" s="466">
        <f>SUMIFS(Data!$G:$G,Data!$A:$A,"1-"&amp;LEFT($B37,3)&amp;"*",Data!$G:$G,"&gt;0")</f>
        <v>170620</v>
      </c>
    </row>
    <row r="38" spans="1:14" x14ac:dyDescent="0.2">
      <c r="A38" s="1506" t="s">
        <v>207</v>
      </c>
      <c r="B38" s="600">
        <v>2130</v>
      </c>
      <c r="C38" s="1945">
        <f>ROUND(SUMIF(Data!$A:$A,"1-"&amp;LEFT($B38,3)&amp;"*-"&amp;MID(C$1,2,1)&amp;"*",Data!$F:$F),0)</f>
        <v>110919</v>
      </c>
      <c r="D38" s="1945">
        <f>ROUND(SUMIF(Data!$A:$A,"1-"&amp;LEFT($B38,3)&amp;"*-"&amp;MID(D$1,2,1)&amp;"*",Data!$F:$F),0)</f>
        <v>18033</v>
      </c>
      <c r="E38" s="1945">
        <f>ROUND(SUMIF(Data!$A:$A,"1-"&amp;LEFT($B38,3)&amp;"*-"&amp;MID(E$1,2,1)&amp;"*",Data!$F:$F),0)</f>
        <v>0</v>
      </c>
      <c r="F38" s="1945">
        <f>ROUND(SUMIF(Data!$A:$A,"1-"&amp;LEFT($B38,3)&amp;"*-"&amp;MID(F$1,2,1)&amp;"*",Data!$F:$F),0)</f>
        <v>1972</v>
      </c>
      <c r="G38" s="1945">
        <f>ROUND(SUMIF(Data!$A:$A,"1-"&amp;LEFT($B38,3)&amp;"*-"&amp;MID(G$1,2,1)&amp;"*",Data!$F:$F),0)</f>
        <v>0</v>
      </c>
      <c r="H38" s="1945">
        <f>ROUND(SUMIF(Data!$A:$A,"1-"&amp;LEFT($B38,3)&amp;"*-"&amp;MID(H$1,2,1)&amp;"*",Data!$F:$F),0)</f>
        <v>0</v>
      </c>
      <c r="I38" s="1945">
        <f>ROUND(SUMIF(Data!$A:$A,"1-"&amp;LEFT($B38,3)&amp;"*-"&amp;MID(I$1,2,1)&amp;"*",Data!$F:$F),0)</f>
        <v>0</v>
      </c>
      <c r="J38" s="1945">
        <f>ROUND(SUMIF(Data!$A:$A,"1-"&amp;LEFT($B38,3)&amp;"*-"&amp;MID(J$1,2,1)&amp;"*",Data!$F:$F),0)</f>
        <v>0</v>
      </c>
      <c r="K38" s="1671">
        <f t="shared" si="2"/>
        <v>130924</v>
      </c>
      <c r="L38" s="466">
        <f>SUMIFS(Data!$G:$G,Data!$A:$A,"1-"&amp;LEFT($B38,3)&amp;"*",Data!$G:$G,"&gt;0")</f>
        <v>133915</v>
      </c>
    </row>
    <row r="39" spans="1:14" x14ac:dyDescent="0.2">
      <c r="A39" s="1506" t="s">
        <v>208</v>
      </c>
      <c r="B39" s="600">
        <v>2140</v>
      </c>
      <c r="C39" s="1945">
        <f>ROUND(SUMIF(Data!$A:$A,"1-"&amp;LEFT($B39,3)&amp;"*-"&amp;MID(C$1,2,1)&amp;"*",Data!$F:$F),0)</f>
        <v>195616</v>
      </c>
      <c r="D39" s="1945">
        <f>ROUND(SUMIF(Data!$A:$A,"1-"&amp;LEFT($B39,3)&amp;"*-"&amp;MID(D$1,2,1)&amp;"*",Data!$F:$F),0)</f>
        <v>73466</v>
      </c>
      <c r="E39" s="1945">
        <f>ROUND(SUMIF(Data!$A:$A,"1-"&amp;LEFT($B39,3)&amp;"*-"&amp;MID(E$1,2,1)&amp;"*",Data!$F:$F),0)</f>
        <v>65161</v>
      </c>
      <c r="F39" s="1945">
        <f>ROUND(SUMIF(Data!$A:$A,"1-"&amp;LEFT($B39,3)&amp;"*-"&amp;MID(F$1,2,1)&amp;"*",Data!$F:$F),0)</f>
        <v>7116</v>
      </c>
      <c r="G39" s="1945">
        <f>ROUND(SUMIF(Data!$A:$A,"1-"&amp;LEFT($B39,3)&amp;"*-"&amp;MID(G$1,2,1)&amp;"*",Data!$F:$F),0)</f>
        <v>0</v>
      </c>
      <c r="H39" s="1945">
        <f>ROUND(SUMIF(Data!$A:$A,"1-"&amp;LEFT($B39,3)&amp;"*-"&amp;MID(H$1,2,1)&amp;"*",Data!$F:$F),0)</f>
        <v>0</v>
      </c>
      <c r="I39" s="1945">
        <f>ROUND(SUMIF(Data!$A:$A,"1-"&amp;LEFT($B39,3)&amp;"*-"&amp;MID(I$1,2,1)&amp;"*",Data!$F:$F),0)</f>
        <v>0</v>
      </c>
      <c r="J39" s="1945">
        <f>ROUND(SUMIF(Data!$A:$A,"1-"&amp;LEFT($B39,3)&amp;"*-"&amp;MID(J$1,2,1)&amp;"*",Data!$F:$F),0)</f>
        <v>0</v>
      </c>
      <c r="K39" s="1671">
        <f t="shared" si="2"/>
        <v>341359</v>
      </c>
      <c r="L39" s="466">
        <f>SUMIFS(Data!$G:$G,Data!$A:$A,"1-"&amp;LEFT($B39,3)&amp;"*",Data!$G:$G,"&gt;0")</f>
        <v>348023</v>
      </c>
    </row>
    <row r="40" spans="1:14" x14ac:dyDescent="0.2">
      <c r="A40" s="1506" t="s">
        <v>209</v>
      </c>
      <c r="B40" s="600">
        <v>2150</v>
      </c>
      <c r="C40" s="1945">
        <f>ROUND(SUMIF(Data!$A:$A,"1-"&amp;LEFT($B40,3)&amp;"*-"&amp;MID(C$1,2,1)&amp;"*",Data!$F:$F),0)</f>
        <v>332281</v>
      </c>
      <c r="D40" s="1945">
        <f>ROUND(SUMIF(Data!$A:$A,"1-"&amp;LEFT($B40,3)&amp;"*-"&amp;MID(D$1,2,1)&amp;"*",Data!$F:$F),0)</f>
        <v>85422</v>
      </c>
      <c r="E40" s="1945">
        <f>ROUND(SUMIF(Data!$A:$A,"1-"&amp;LEFT($B40,3)&amp;"*-"&amp;MID(E$1,2,1)&amp;"*",Data!$F:$F),0)</f>
        <v>0</v>
      </c>
      <c r="F40" s="1945">
        <f>ROUND(SUMIF(Data!$A:$A,"1-"&amp;LEFT($B40,3)&amp;"*-"&amp;MID(F$1,2,1)&amp;"*",Data!$F:$F),0)</f>
        <v>0</v>
      </c>
      <c r="G40" s="1945">
        <f>ROUND(SUMIF(Data!$A:$A,"1-"&amp;LEFT($B40,3)&amp;"*-"&amp;MID(G$1,2,1)&amp;"*",Data!$F:$F),0)</f>
        <v>0</v>
      </c>
      <c r="H40" s="1945">
        <f>ROUND(SUMIF(Data!$A:$A,"1-"&amp;LEFT($B40,3)&amp;"*-"&amp;MID(H$1,2,1)&amp;"*",Data!$F:$F),0)</f>
        <v>1487</v>
      </c>
      <c r="I40" s="1945">
        <f>ROUND(SUMIF(Data!$A:$A,"1-"&amp;LEFT($B40,3)&amp;"*-"&amp;MID(I$1,2,1)&amp;"*",Data!$F:$F),0)</f>
        <v>0</v>
      </c>
      <c r="J40" s="1945">
        <f>ROUND(SUMIF(Data!$A:$A,"1-"&amp;LEFT($B40,3)&amp;"*-"&amp;MID(J$1,2,1)&amp;"*",Data!$F:$F),0)</f>
        <v>0</v>
      </c>
      <c r="K40" s="1671">
        <f t="shared" si="2"/>
        <v>419190</v>
      </c>
      <c r="L40" s="466">
        <f>SUMIFS(Data!$G:$G,Data!$A:$A,"1-"&amp;LEFT($B40,3)&amp;"*",Data!$G:$G,"&gt;0")</f>
        <v>417357</v>
      </c>
    </row>
    <row r="41" spans="1:14" x14ac:dyDescent="0.2">
      <c r="A41" s="1506" t="s">
        <v>1768</v>
      </c>
      <c r="B41" s="600">
        <v>2190</v>
      </c>
      <c r="C41" s="1945">
        <f>ROUND(SUMIF(Data!$A:$A,"1-"&amp;LEFT($B41,3)&amp;"*-"&amp;MID(C$1,2,1)&amp;"*",Data!$F:$F),0)</f>
        <v>0</v>
      </c>
      <c r="D41" s="1945">
        <f>ROUND(SUMIF(Data!$A:$A,"1-"&amp;LEFT($B41,3)&amp;"*-"&amp;MID(D$1,2,1)&amp;"*",Data!$F:$F),0)</f>
        <v>0</v>
      </c>
      <c r="E41" s="1945">
        <f>ROUND(SUMIF(Data!$A:$A,"1-"&amp;LEFT($B41,3)&amp;"*-"&amp;MID(E$1,2,1)&amp;"*",Data!$F:$F),0)</f>
        <v>0</v>
      </c>
      <c r="F41" s="1945">
        <f>ROUND(SUMIF(Data!$A:$A,"1-"&amp;LEFT($B41,3)&amp;"*-"&amp;MID(F$1,2,1)&amp;"*",Data!$F:$F),0)</f>
        <v>0</v>
      </c>
      <c r="G41" s="1945">
        <f>ROUND(SUMIF(Data!$A:$A,"1-"&amp;LEFT($B41,3)&amp;"*-"&amp;MID(G$1,2,1)&amp;"*",Data!$F:$F),0)</f>
        <v>0</v>
      </c>
      <c r="H41" s="1945">
        <f>ROUND(SUMIF(Data!$A:$A,"1-"&amp;LEFT($B41,3)&amp;"*-"&amp;MID(H$1,2,1)&amp;"*",Data!$F:$F),0)</f>
        <v>0</v>
      </c>
      <c r="I41" s="1945">
        <f>ROUND(SUMIF(Data!$A:$A,"1-"&amp;LEFT($B41,3)&amp;"*-"&amp;MID(I$1,2,1)&amp;"*",Data!$F:$F),0)</f>
        <v>0</v>
      </c>
      <c r="J41" s="1945">
        <f>ROUND(SUMIF(Data!$A:$A,"1-"&amp;LEFT($B41,3)&amp;"*-"&amp;MID(J$1,2,1)&amp;"*",Data!$F:$F),0)</f>
        <v>0</v>
      </c>
      <c r="K41" s="1671">
        <f t="shared" si="2"/>
        <v>0</v>
      </c>
      <c r="L41" s="466">
        <f>SUMIFS(Data!$G:$G,Data!$A:$A,"1-"&amp;LEFT($B41,3)&amp;"*",Data!$G:$G,"&gt;0")</f>
        <v>0</v>
      </c>
    </row>
    <row r="42" spans="1:14" ht="12.75" customHeight="1" thickBot="1" x14ac:dyDescent="0.25">
      <c r="A42" s="1668" t="s">
        <v>581</v>
      </c>
      <c r="B42" s="1669" t="s">
        <v>740</v>
      </c>
      <c r="C42" s="1670">
        <f>SUM(C36:C41)</f>
        <v>1073885</v>
      </c>
      <c r="D42" s="1670">
        <f t="shared" ref="D42:L42" si="3">SUM(D36:D41)</f>
        <v>330519</v>
      </c>
      <c r="E42" s="1670">
        <f t="shared" si="3"/>
        <v>89825</v>
      </c>
      <c r="F42" s="1670">
        <f t="shared" si="3"/>
        <v>13411</v>
      </c>
      <c r="G42" s="1670">
        <f t="shared" si="3"/>
        <v>0</v>
      </c>
      <c r="H42" s="1670">
        <f t="shared" si="3"/>
        <v>1487</v>
      </c>
      <c r="I42" s="1670">
        <f t="shared" si="3"/>
        <v>0</v>
      </c>
      <c r="J42" s="1670">
        <f t="shared" si="3"/>
        <v>0</v>
      </c>
      <c r="K42" s="1670">
        <f t="shared" si="3"/>
        <v>1509127</v>
      </c>
      <c r="L42" s="1670">
        <f t="shared" si="3"/>
        <v>1520036.2</v>
      </c>
    </row>
    <row r="43" spans="1:14" ht="15.75" customHeight="1" thickTop="1" x14ac:dyDescent="0.2">
      <c r="A43" s="610" t="s">
        <v>613</v>
      </c>
      <c r="B43" s="611"/>
      <c r="C43" s="612"/>
      <c r="D43" s="612"/>
      <c r="E43" s="612"/>
      <c r="F43" s="612"/>
      <c r="G43" s="612"/>
      <c r="H43" s="612"/>
      <c r="I43" s="602"/>
      <c r="J43" s="602"/>
      <c r="K43" s="612"/>
      <c r="L43" s="612"/>
    </row>
    <row r="44" spans="1:14" x14ac:dyDescent="0.2">
      <c r="A44" s="1506" t="s">
        <v>868</v>
      </c>
      <c r="B44" s="600">
        <v>2210</v>
      </c>
      <c r="C44" s="1945">
        <f>ROUND(SUMIF(Data!$A:$A,"1-"&amp;LEFT($B44,3)&amp;"*-"&amp;MID(C$1,2,1)&amp;"*",Data!$F:$F),0)</f>
        <v>12147</v>
      </c>
      <c r="D44" s="1945">
        <f>ROUND(SUMIF(Data!$A:$A,"1-"&amp;LEFT($B44,3)&amp;"*-"&amp;MID(D$1,2,1)&amp;"*",Data!$F:$F),0)</f>
        <v>4108</v>
      </c>
      <c r="E44" s="1945">
        <f>ROUND(SUMIF(Data!$A:$A,"1-"&amp;LEFT($B44,3)&amp;"*-"&amp;MID(E$1,2,1)&amp;"*",Data!$F:$F),0)</f>
        <v>43236</v>
      </c>
      <c r="F44" s="1945">
        <f>ROUND(SUMIF(Data!$A:$A,"1-"&amp;LEFT($B44,3)&amp;"*-"&amp;MID(F$1,2,1)&amp;"*",Data!$F:$F),0)</f>
        <v>19217</v>
      </c>
      <c r="G44" s="1945">
        <f>ROUND(SUMIF(Data!$A:$A,"1-"&amp;LEFT($B44,3)&amp;"*-"&amp;MID(G$1,2,1)&amp;"*",Data!$F:$F),0)</f>
        <v>0</v>
      </c>
      <c r="H44" s="1945">
        <f>ROUND(SUMIF(Data!$A:$A,"1-"&amp;LEFT($B44,3)&amp;"*-"&amp;MID(H$1,2,1)&amp;"*",Data!$F:$F),0)</f>
        <v>0</v>
      </c>
      <c r="I44" s="1945">
        <f>ROUND(SUMIF(Data!$A:$A,"1-"&amp;LEFT($B44,3)&amp;"*-"&amp;MID(I$1,2,1)&amp;"*",Data!$F:$F),0)</f>
        <v>0</v>
      </c>
      <c r="J44" s="1945">
        <f>ROUND(SUMIF(Data!$A:$A,"1-"&amp;LEFT($B44,3)&amp;"*-"&amp;MID(J$1,2,1)&amp;"*",Data!$F:$F),0)</f>
        <v>0</v>
      </c>
      <c r="K44" s="1672">
        <f>SUM(C44:J44)</f>
        <v>78708</v>
      </c>
      <c r="L44" s="466">
        <f>SUMIFS(Data!$G:$G,Data!$A:$A,"1-"&amp;LEFT($B44,3)&amp;"*",Data!$G:$G,"&gt;0")</f>
        <v>217596</v>
      </c>
    </row>
    <row r="45" spans="1:14" x14ac:dyDescent="0.2">
      <c r="A45" s="1506" t="s">
        <v>869</v>
      </c>
      <c r="B45" s="600">
        <v>2220</v>
      </c>
      <c r="C45" s="1945">
        <f>ROUND(SUMIF(Data!$A:$A,"1-"&amp;LEFT($B45,3)&amp;"*-"&amp;MID(C$1,2,1)&amp;"*",Data!$F:$F),0)</f>
        <v>328672</v>
      </c>
      <c r="D45" s="1945">
        <f>ROUND(SUMIF(Data!$A:$A,"1-"&amp;LEFT($B45,3)&amp;"*-"&amp;MID(D$1,2,1)&amp;"*",Data!$F:$F),0)</f>
        <v>93914</v>
      </c>
      <c r="E45" s="1945">
        <f>ROUND(SUMIF(Data!$A:$A,"1-"&amp;LEFT($B45,3)&amp;"*-"&amp;MID(E$1,2,1)&amp;"*",Data!$F:$F),0)</f>
        <v>260280</v>
      </c>
      <c r="F45" s="1945">
        <f>ROUND(SUMIF(Data!$A:$A,"1-"&amp;LEFT($B45,3)&amp;"*-"&amp;MID(F$1,2,1)&amp;"*",Data!$F:$F),0)</f>
        <v>26674</v>
      </c>
      <c r="G45" s="1945">
        <f>ROUND(SUMIF(Data!$A:$A,"1-"&amp;LEFT($B45,3)&amp;"*-"&amp;MID(G$1,2,1)&amp;"*",Data!$F:$F),0)</f>
        <v>138640</v>
      </c>
      <c r="H45" s="1945">
        <f>ROUND(SUMIF(Data!$A:$A,"1-"&amp;LEFT($B45,3)&amp;"*-"&amp;MID(H$1,2,1)&amp;"*",Data!$F:$F),0)</f>
        <v>0</v>
      </c>
      <c r="I45" s="1945">
        <f>ROUND(SUMIF(Data!$A:$A,"1-"&amp;LEFT($B45,3)&amp;"*-"&amp;MID(I$1,2,1)&amp;"*",Data!$F:$F),0)</f>
        <v>0</v>
      </c>
      <c r="J45" s="1945">
        <f>ROUND(SUMIF(Data!$A:$A,"1-"&amp;LEFT($B45,3)&amp;"*-"&amp;MID(J$1,2,1)&amp;"*",Data!$F:$F),0)</f>
        <v>0</v>
      </c>
      <c r="K45" s="1672">
        <f>SUM(C45:J45)</f>
        <v>848180</v>
      </c>
      <c r="L45" s="466">
        <f>SUMIFS(Data!$G:$G,Data!$A:$A,"1-"&amp;LEFT($B45,3)&amp;"*",Data!$G:$G,"&gt;0")</f>
        <v>987326.12</v>
      </c>
    </row>
    <row r="46" spans="1:14" x14ac:dyDescent="0.2">
      <c r="A46" s="1506" t="s">
        <v>870</v>
      </c>
      <c r="B46" s="600">
        <v>2230</v>
      </c>
      <c r="C46" s="1945">
        <f>ROUND(SUMIF(Data!$A:$A,"1-"&amp;LEFT($B46,3)&amp;"*-"&amp;MID(C$1,2,1)&amp;"*",Data!$F:$F),0)</f>
        <v>0</v>
      </c>
      <c r="D46" s="1945">
        <f>ROUND(SUMIF(Data!$A:$A,"1-"&amp;LEFT($B46,3)&amp;"*-"&amp;MID(D$1,2,1)&amp;"*",Data!$F:$F),0)</f>
        <v>0</v>
      </c>
      <c r="E46" s="1945">
        <f>ROUND(SUMIF(Data!$A:$A,"1-"&amp;LEFT($B46,3)&amp;"*-"&amp;MID(E$1,2,1)&amp;"*",Data!$F:$F),0)</f>
        <v>0</v>
      </c>
      <c r="F46" s="1945">
        <f>ROUND(SUMIF(Data!$A:$A,"1-"&amp;LEFT($B46,3)&amp;"*-"&amp;MID(F$1,2,1)&amp;"*",Data!$F:$F),0)</f>
        <v>0</v>
      </c>
      <c r="G46" s="1945">
        <f>ROUND(SUMIF(Data!$A:$A,"1-"&amp;LEFT($B46,3)&amp;"*-"&amp;MID(G$1,2,1)&amp;"*",Data!$F:$F),0)</f>
        <v>0</v>
      </c>
      <c r="H46" s="1945">
        <f>ROUND(SUMIF(Data!$A:$A,"1-"&amp;LEFT($B46,3)&amp;"*-"&amp;MID(H$1,2,1)&amp;"*",Data!$F:$F),0)</f>
        <v>0</v>
      </c>
      <c r="I46" s="1945">
        <f>ROUND(SUMIF(Data!$A:$A,"1-"&amp;LEFT($B46,3)&amp;"*-"&amp;MID(I$1,2,1)&amp;"*",Data!$F:$F),0)</f>
        <v>0</v>
      </c>
      <c r="J46" s="1945">
        <f>ROUND(SUMIF(Data!$A:$A,"1-"&amp;LEFT($B46,3)&amp;"*-"&amp;MID(J$1,2,1)&amp;"*",Data!$F:$F),0)</f>
        <v>0</v>
      </c>
      <c r="K46" s="1672">
        <f>SUM(C46:J46)</f>
        <v>0</v>
      </c>
      <c r="L46" s="466">
        <f>SUMIFS(Data!$G:$G,Data!$A:$A,"1-"&amp;LEFT($B46,3)&amp;"*",Data!$G:$G,"&gt;0")</f>
        <v>0</v>
      </c>
    </row>
    <row r="47" spans="1:14" ht="12.75" customHeight="1" thickBot="1" x14ac:dyDescent="0.25">
      <c r="A47" s="1668" t="s">
        <v>582</v>
      </c>
      <c r="B47" s="1669" t="s">
        <v>32</v>
      </c>
      <c r="C47" s="1670">
        <f>SUM(C44:C46)</f>
        <v>340819</v>
      </c>
      <c r="D47" s="1670">
        <f t="shared" ref="D47:K47" si="4">SUM(D44:D46)</f>
        <v>98022</v>
      </c>
      <c r="E47" s="1670">
        <f t="shared" si="4"/>
        <v>303516</v>
      </c>
      <c r="F47" s="1670">
        <f t="shared" si="4"/>
        <v>45891</v>
      </c>
      <c r="G47" s="1670">
        <f t="shared" si="4"/>
        <v>138640</v>
      </c>
      <c r="H47" s="1670">
        <f t="shared" si="4"/>
        <v>0</v>
      </c>
      <c r="I47" s="1670">
        <f t="shared" si="4"/>
        <v>0</v>
      </c>
      <c r="J47" s="1670">
        <f t="shared" si="4"/>
        <v>0</v>
      </c>
      <c r="K47" s="1670">
        <f t="shared" si="4"/>
        <v>926888</v>
      </c>
      <c r="L47" s="1670">
        <f>SUM(L44:L46)</f>
        <v>1204922.1200000001</v>
      </c>
    </row>
    <row r="48" spans="1:14" ht="15.75" customHeight="1" thickTop="1" x14ac:dyDescent="0.2">
      <c r="A48" s="610" t="s">
        <v>631</v>
      </c>
      <c r="B48" s="611"/>
      <c r="C48" s="612"/>
      <c r="D48" s="612"/>
      <c r="E48" s="612"/>
      <c r="F48" s="612"/>
      <c r="G48" s="612"/>
      <c r="H48" s="612"/>
      <c r="I48" s="602"/>
      <c r="J48" s="602"/>
      <c r="K48" s="612"/>
      <c r="L48" s="612"/>
    </row>
    <row r="49" spans="1:14" x14ac:dyDescent="0.2">
      <c r="A49" s="1506" t="s">
        <v>871</v>
      </c>
      <c r="B49" s="600">
        <v>2310</v>
      </c>
      <c r="C49" s="1945">
        <f>ROUND(SUMIF(Data!$A:$A,"1-"&amp;LEFT($B49,3)&amp;"*-"&amp;MID(C$1,2,1)&amp;"*",Data!$F:$F),0)</f>
        <v>1620</v>
      </c>
      <c r="D49" s="1945">
        <f>ROUND(SUMIF(Data!$A:$A,"1-"&amp;LEFT($B49,3)&amp;"*-"&amp;MID(D$1,2,1)&amp;"*",Data!$F:$F),0)</f>
        <v>0</v>
      </c>
      <c r="E49" s="1945">
        <f>ROUND(SUMIF(Data!$A:$A,"1-"&amp;LEFT($B49,3)&amp;"*-"&amp;MID(E$1,2,1)&amp;"*",Data!$F:$F),0)</f>
        <v>248035</v>
      </c>
      <c r="F49" s="1945">
        <f>ROUND(SUMIF(Data!$A:$A,"1-"&amp;LEFT($B49,3)&amp;"*-"&amp;MID(F$1,2,1)&amp;"*",Data!$F:$F),0)</f>
        <v>1034</v>
      </c>
      <c r="G49" s="1945">
        <f>ROUND(SUMIF(Data!$A:$A,"1-"&amp;LEFT($B49,3)&amp;"*-"&amp;MID(G$1,2,1)&amp;"*",Data!$F:$F),0)</f>
        <v>0</v>
      </c>
      <c r="H49" s="1945">
        <f>ROUND(SUMIF(Data!$A:$A,"1-"&amp;LEFT($B49,3)&amp;"*-"&amp;MID(H$1,2,1)&amp;"*",Data!$F:$F),0)</f>
        <v>12934</v>
      </c>
      <c r="I49" s="1945">
        <f>ROUND(SUMIF(Data!$A:$A,"1-"&amp;LEFT($B49,3)&amp;"*-"&amp;MID(I$1,2,1)&amp;"*",Data!$F:$F),0)</f>
        <v>0</v>
      </c>
      <c r="J49" s="1945">
        <f>ROUND(SUMIF(Data!$A:$A,"1-"&amp;LEFT($B49,3)&amp;"*-"&amp;MID(J$1,2,1)&amp;"*",Data!$F:$F),0)</f>
        <v>0</v>
      </c>
      <c r="K49" s="1672">
        <f>SUM(C49:J49)</f>
        <v>263623</v>
      </c>
      <c r="L49" s="466">
        <f>SUMIFS(Data!$G:$G,Data!$A:$A,"1-"&amp;LEFT($B49,3)&amp;"*",Data!$G:$G,"&gt;0")</f>
        <v>311020</v>
      </c>
    </row>
    <row r="50" spans="1:14" x14ac:dyDescent="0.2">
      <c r="A50" s="1506" t="s">
        <v>872</v>
      </c>
      <c r="B50" s="600">
        <v>2320</v>
      </c>
      <c r="C50" s="1945">
        <f>ROUND(SUMIF(Data!$A:$A,"1-"&amp;LEFT($B50,3)&amp;"*-"&amp;MID(C$1,2,1)&amp;"*",Data!$F:$F),0)</f>
        <v>212385</v>
      </c>
      <c r="D50" s="1945">
        <f>ROUND(SUMIF(Data!$A:$A,"1-"&amp;LEFT($B50,3)&amp;"*-"&amp;MID(D$1,2,1)&amp;"*",Data!$F:$F),0)</f>
        <v>57618</v>
      </c>
      <c r="E50" s="1945">
        <f>ROUND(SUMIF(Data!$A:$A,"1-"&amp;LEFT($B50,3)&amp;"*-"&amp;MID(E$1,2,1)&amp;"*",Data!$F:$F),0)</f>
        <v>17088</v>
      </c>
      <c r="F50" s="1945">
        <f>ROUND(SUMIF(Data!$A:$A,"1-"&amp;LEFT($B50,3)&amp;"*-"&amp;MID(F$1,2,1)&amp;"*",Data!$F:$F),0)</f>
        <v>2036</v>
      </c>
      <c r="G50" s="1945">
        <f>ROUND(SUMIF(Data!$A:$A,"1-"&amp;LEFT($B50,3)&amp;"*-"&amp;MID(G$1,2,1)&amp;"*",Data!$F:$F),0)</f>
        <v>0</v>
      </c>
      <c r="H50" s="1945">
        <f>ROUND(SUMIF(Data!$A:$A,"1-"&amp;LEFT($B50,3)&amp;"*-"&amp;MID(H$1,2,1)&amp;"*",Data!$F:$F),0)</f>
        <v>0</v>
      </c>
      <c r="I50" s="1945">
        <f>ROUND(SUMIF(Data!$A:$A,"1-"&amp;LEFT($B50,3)&amp;"*-"&amp;MID(I$1,2,1)&amp;"*",Data!$F:$F),0)</f>
        <v>0</v>
      </c>
      <c r="J50" s="1945">
        <f>ROUND(SUMIF(Data!$A:$A,"1-"&amp;LEFT($B50,3)&amp;"*-"&amp;MID(J$1,2,1)&amp;"*",Data!$F:$F),0)</f>
        <v>0</v>
      </c>
      <c r="K50" s="1672">
        <f>SUM(C50:J50)</f>
        <v>289127</v>
      </c>
      <c r="L50" s="466">
        <f>SUMIFS(Data!$G:$G,Data!$A:$A,"1-"&amp;LEFT($B50,3)&amp;"*",Data!$G:$G,"&gt;0")</f>
        <v>292405</v>
      </c>
    </row>
    <row r="51" spans="1:14" x14ac:dyDescent="0.2">
      <c r="A51" s="1506" t="s">
        <v>44</v>
      </c>
      <c r="B51" s="600">
        <v>2330</v>
      </c>
      <c r="C51" s="1945">
        <f>ROUND(SUMIF(Data!$A:$A,"1-"&amp;LEFT($B51,3)&amp;"*-"&amp;MID(C$1,2,1)&amp;"*",Data!$F:$F),0)</f>
        <v>0</v>
      </c>
      <c r="D51" s="1945">
        <f>ROUND(SUMIF(Data!$A:$A,"1-"&amp;LEFT($B51,3)&amp;"*-"&amp;MID(D$1,2,1)&amp;"*",Data!$F:$F),0)</f>
        <v>0</v>
      </c>
      <c r="E51" s="1945">
        <f>ROUND(SUMIF(Data!$A:$A,"1-"&amp;LEFT($B51,3)&amp;"*-"&amp;MID(E$1,2,1)&amp;"*",Data!$F:$F),0)</f>
        <v>0</v>
      </c>
      <c r="F51" s="1945">
        <f>ROUND(SUMIF(Data!$A:$A,"1-"&amp;LEFT($B51,3)&amp;"*-"&amp;MID(F$1,2,1)&amp;"*",Data!$F:$F),0)</f>
        <v>0</v>
      </c>
      <c r="G51" s="1945">
        <f>ROUND(SUMIF(Data!$A:$A,"1-"&amp;LEFT($B51,3)&amp;"*-"&amp;MID(G$1,2,1)&amp;"*",Data!$F:$F),0)</f>
        <v>0</v>
      </c>
      <c r="H51" s="1945">
        <f>ROUND(SUMIF(Data!$A:$A,"1-"&amp;LEFT($B51,3)&amp;"*-"&amp;MID(H$1,2,1)&amp;"*",Data!$F:$F),0)</f>
        <v>0</v>
      </c>
      <c r="I51" s="1945">
        <f>ROUND(SUMIF(Data!$A:$A,"1-"&amp;LEFT($B51,3)&amp;"*-"&amp;MID(I$1,2,1)&amp;"*",Data!$F:$F),0)</f>
        <v>0</v>
      </c>
      <c r="J51" s="1945">
        <f>ROUND(SUMIF(Data!$A:$A,"1-"&amp;LEFT($B51,3)&amp;"*-"&amp;MID(J$1,2,1)&amp;"*",Data!$F:$F),0)</f>
        <v>0</v>
      </c>
      <c r="K51" s="1672">
        <f>SUM(C51:J51)</f>
        <v>0</v>
      </c>
      <c r="L51" s="466">
        <f>SUMIFS(Data!$G:$G,Data!$A:$A,"1-"&amp;LEFT($B51,3)&amp;"*",Data!$G:$G,"&gt;0")</f>
        <v>0</v>
      </c>
    </row>
    <row r="52" spans="1:14" ht="22.5" x14ac:dyDescent="0.2">
      <c r="A52" s="1507" t="s">
        <v>316</v>
      </c>
      <c r="B52" s="613" t="s">
        <v>384</v>
      </c>
      <c r="C52" s="1945">
        <f>ROUND(SUMIF(Data!$A:$A,"1-"&amp;LEFT($B52,3)&amp;"*-"&amp;MID(C$1,2,1)&amp;"*",Data!$F:$F),0)</f>
        <v>0</v>
      </c>
      <c r="D52" s="1945">
        <f>ROUND(SUMIF(Data!$A:$A,"1-"&amp;LEFT($B52,3)&amp;"*-"&amp;MID(D$1,2,1)&amp;"*",Data!$F:$F),0)</f>
        <v>0</v>
      </c>
      <c r="E52" s="1945">
        <f>ROUND(SUMIF(Data!$A:$A,"1-"&amp;LEFT($B52,3)&amp;"*-"&amp;MID(E$1,2,1)&amp;"*",Data!$F:$F),0)</f>
        <v>0</v>
      </c>
      <c r="F52" s="1945">
        <f>ROUND(SUMIF(Data!$A:$A,"1-"&amp;LEFT($B52,3)&amp;"*-"&amp;MID(F$1,2,1)&amp;"*",Data!$F:$F),0)</f>
        <v>0</v>
      </c>
      <c r="G52" s="1945">
        <f>ROUND(SUMIF(Data!$A:$A,"1-"&amp;LEFT($B52,3)&amp;"*-"&amp;MID(G$1,2,1)&amp;"*",Data!$F:$F),0)</f>
        <v>0</v>
      </c>
      <c r="H52" s="1945">
        <f>ROUND(SUMIF(Data!$A:$A,"1-"&amp;LEFT($B52,3)&amp;"*-"&amp;MID(H$1,2,1)&amp;"*",Data!$F:$F),0)</f>
        <v>0</v>
      </c>
      <c r="I52" s="1945">
        <f>ROUND(SUMIF(Data!$A:$A,"1-"&amp;LEFT($B52,3)&amp;"*-"&amp;MID(I$1,2,1)&amp;"*",Data!$F:$F),0)</f>
        <v>0</v>
      </c>
      <c r="J52" s="1945">
        <f>ROUND(SUMIF(Data!$A:$A,"1-"&amp;LEFT($B52,3)&amp;"*-"&amp;MID(J$1,2,1)&amp;"*",Data!$F:$F),0)</f>
        <v>0</v>
      </c>
      <c r="K52" s="1672">
        <f>SUM(C52:J52)</f>
        <v>0</v>
      </c>
      <c r="L52" s="466">
        <f>SUMIFS(Data!$G:$G,Data!$A:$A,"1-"&amp;LEFT($B52,3)&amp;"*",Data!$G:$G,"&gt;0")</f>
        <v>0</v>
      </c>
    </row>
    <row r="53" spans="1:14" ht="12.75" customHeight="1" thickBot="1" x14ac:dyDescent="0.25">
      <c r="A53" s="1668" t="s">
        <v>741</v>
      </c>
      <c r="B53" s="1669" t="s">
        <v>33</v>
      </c>
      <c r="C53" s="1670">
        <f>SUM(C49:C52)</f>
        <v>214005</v>
      </c>
      <c r="D53" s="1670">
        <f t="shared" ref="D53:L53" si="5">SUM(D49:D52)</f>
        <v>57618</v>
      </c>
      <c r="E53" s="1670">
        <f t="shared" si="5"/>
        <v>265123</v>
      </c>
      <c r="F53" s="1670">
        <f t="shared" si="5"/>
        <v>3070</v>
      </c>
      <c r="G53" s="1670">
        <f t="shared" si="5"/>
        <v>0</v>
      </c>
      <c r="H53" s="1670">
        <f t="shared" si="5"/>
        <v>12934</v>
      </c>
      <c r="I53" s="1670">
        <f t="shared" si="5"/>
        <v>0</v>
      </c>
      <c r="J53" s="1670">
        <f t="shared" si="5"/>
        <v>0</v>
      </c>
      <c r="K53" s="1670">
        <f t="shared" si="5"/>
        <v>552750</v>
      </c>
      <c r="L53" s="1670">
        <f t="shared" si="5"/>
        <v>603425</v>
      </c>
    </row>
    <row r="54" spans="1:14" ht="15.75" customHeight="1" thickTop="1" x14ac:dyDescent="0.2">
      <c r="A54" s="610" t="s">
        <v>632</v>
      </c>
      <c r="B54" s="611"/>
      <c r="C54" s="612"/>
      <c r="D54" s="612"/>
      <c r="E54" s="612"/>
      <c r="F54" s="612"/>
      <c r="G54" s="612"/>
      <c r="H54" s="612"/>
      <c r="I54" s="602"/>
      <c r="J54" s="602"/>
      <c r="K54" s="612"/>
      <c r="L54" s="612"/>
    </row>
    <row r="55" spans="1:14" x14ac:dyDescent="0.2">
      <c r="A55" s="1506" t="s">
        <v>1127</v>
      </c>
      <c r="B55" s="600">
        <v>2410</v>
      </c>
      <c r="C55" s="1945">
        <f>ROUND(SUMIF(Data!$A:$A,"1-"&amp;LEFT($B55,3)&amp;"*-"&amp;MID(C$1,2,1)&amp;"*",Data!$F:$F),0)</f>
        <v>633612</v>
      </c>
      <c r="D55" s="1945">
        <f>ROUND(SUMIF(Data!$A:$A,"1-"&amp;LEFT($B55,3)&amp;"*-"&amp;MID(D$1,2,1)&amp;"*",Data!$F:$F),0)</f>
        <v>251033</v>
      </c>
      <c r="E55" s="1945">
        <f>ROUND(SUMIF(Data!$A:$A,"1-"&amp;LEFT($B55,3)&amp;"*-"&amp;MID(E$1,2,1)&amp;"*",Data!$F:$F),0)</f>
        <v>11392</v>
      </c>
      <c r="F55" s="1945">
        <f>ROUND(SUMIF(Data!$A:$A,"1-"&amp;LEFT($B55,3)&amp;"*-"&amp;MID(F$1,2,1)&amp;"*",Data!$F:$F),0)</f>
        <v>1216</v>
      </c>
      <c r="G55" s="1945">
        <f>ROUND(SUMIF(Data!$A:$A,"1-"&amp;LEFT($B55,3)&amp;"*-"&amp;MID(G$1,2,1)&amp;"*",Data!$F:$F),0)</f>
        <v>0</v>
      </c>
      <c r="H55" s="1945">
        <f>ROUND(SUMIF(Data!$A:$A,"1-"&amp;LEFT($B55,3)&amp;"*-"&amp;MID(H$1,2,1)&amp;"*",Data!$F:$F),0)</f>
        <v>3591</v>
      </c>
      <c r="I55" s="1945">
        <f>ROUND(SUMIF(Data!$A:$A,"1-"&amp;LEFT($B55,3)&amp;"*-"&amp;MID(I$1,2,1)&amp;"*",Data!$F:$F),0)</f>
        <v>0</v>
      </c>
      <c r="J55" s="1945">
        <f>ROUND(SUMIF(Data!$A:$A,"1-"&amp;LEFT($B55,3)&amp;"*-"&amp;MID(J$1,2,1)&amp;"*",Data!$F:$F),0)</f>
        <v>0</v>
      </c>
      <c r="K55" s="1672">
        <f>SUM(C55:J55)</f>
        <v>900844</v>
      </c>
      <c r="L55" s="466">
        <f>SUMIFS(Data!$G:$G,Data!$A:$A,"1-"&amp;LEFT($B55,3)&amp;"*",Data!$G:$G,"&gt;0")</f>
        <v>915609</v>
      </c>
    </row>
    <row r="56" spans="1:14" ht="12.75" customHeight="1" x14ac:dyDescent="0.2">
      <c r="A56" s="1510" t="s">
        <v>394</v>
      </c>
      <c r="B56" s="614">
        <v>2490</v>
      </c>
      <c r="C56" s="1945">
        <f>ROUND(SUMIF(Data!$A:$A,"1-"&amp;LEFT($B56,3)&amp;"*-"&amp;MID(C$1,2,1)&amp;"*",Data!$F:$F),0)</f>
        <v>0</v>
      </c>
      <c r="D56" s="1945">
        <f>ROUND(SUMIF(Data!$A:$A,"1-"&amp;LEFT($B56,3)&amp;"*-"&amp;MID(D$1,2,1)&amp;"*",Data!$F:$F),0)</f>
        <v>0</v>
      </c>
      <c r="E56" s="1945">
        <f>ROUND(SUMIF(Data!$A:$A,"1-"&amp;LEFT($B56,3)&amp;"*-"&amp;MID(E$1,2,1)&amp;"*",Data!$F:$F),0)</f>
        <v>0</v>
      </c>
      <c r="F56" s="1945">
        <f>ROUND(SUMIF(Data!$A:$A,"1-"&amp;LEFT($B56,3)&amp;"*-"&amp;MID(F$1,2,1)&amp;"*",Data!$F:$F),0)</f>
        <v>0</v>
      </c>
      <c r="G56" s="1945">
        <f>ROUND(SUMIF(Data!$A:$A,"1-"&amp;LEFT($B56,3)&amp;"*-"&amp;MID(G$1,2,1)&amp;"*",Data!$F:$F),0)</f>
        <v>0</v>
      </c>
      <c r="H56" s="1945">
        <f>ROUND(SUMIF(Data!$A:$A,"1-"&amp;LEFT($B56,3)&amp;"*-"&amp;MID(H$1,2,1)&amp;"*",Data!$F:$F),0)</f>
        <v>0</v>
      </c>
      <c r="I56" s="1945">
        <f>ROUND(SUMIF(Data!$A:$A,"1-"&amp;LEFT($B56,3)&amp;"*-"&amp;MID(I$1,2,1)&amp;"*",Data!$F:$F),0)</f>
        <v>0</v>
      </c>
      <c r="J56" s="1945">
        <f>ROUND(SUMIF(Data!$A:$A,"1-"&amp;LEFT($B56,3)&amp;"*-"&amp;MID(J$1,2,1)&amp;"*",Data!$F:$F),0)</f>
        <v>0</v>
      </c>
      <c r="K56" s="1672">
        <f>SUM(C56:J56)</f>
        <v>0</v>
      </c>
      <c r="L56" s="466">
        <f>SUMIFS(Data!$G:$G,Data!$A:$A,"1-"&amp;LEFT($B56,3)&amp;"*",Data!$G:$G,"&gt;0")</f>
        <v>0</v>
      </c>
    </row>
    <row r="57" spans="1:14" s="343" customFormat="1" ht="12.75" customHeight="1" thickBot="1" x14ac:dyDescent="0.25">
      <c r="A57" s="1668" t="s">
        <v>281</v>
      </c>
      <c r="B57" s="1673" t="s">
        <v>34</v>
      </c>
      <c r="C57" s="1674">
        <f>SUM(C55:C56)</f>
        <v>633612</v>
      </c>
      <c r="D57" s="1674">
        <f t="shared" ref="D57:K57" si="6">SUM(D55:D56)</f>
        <v>251033</v>
      </c>
      <c r="E57" s="1674">
        <f t="shared" si="6"/>
        <v>11392</v>
      </c>
      <c r="F57" s="1674">
        <f t="shared" si="6"/>
        <v>1216</v>
      </c>
      <c r="G57" s="1674">
        <f t="shared" si="6"/>
        <v>0</v>
      </c>
      <c r="H57" s="1674">
        <f t="shared" si="6"/>
        <v>3591</v>
      </c>
      <c r="I57" s="1674">
        <f t="shared" si="6"/>
        <v>0</v>
      </c>
      <c r="J57" s="1674">
        <f t="shared" si="6"/>
        <v>0</v>
      </c>
      <c r="K57" s="1674">
        <f t="shared" si="6"/>
        <v>900844</v>
      </c>
      <c r="L57" s="1670">
        <f>SUM(L55:L56)</f>
        <v>915609</v>
      </c>
      <c r="M57" s="595"/>
      <c r="N57" s="595"/>
    </row>
    <row r="58" spans="1:14" s="343" customFormat="1" ht="15.75" customHeight="1" thickTop="1" x14ac:dyDescent="0.2">
      <c r="A58" s="610" t="s">
        <v>633</v>
      </c>
      <c r="B58" s="611"/>
      <c r="C58" s="615"/>
      <c r="D58" s="612"/>
      <c r="E58" s="612"/>
      <c r="F58" s="612"/>
      <c r="G58" s="612"/>
      <c r="H58" s="612"/>
      <c r="I58" s="602"/>
      <c r="J58" s="602"/>
      <c r="K58" s="612"/>
      <c r="L58" s="612"/>
      <c r="M58" s="595"/>
      <c r="N58" s="595"/>
    </row>
    <row r="59" spans="1:14" s="343" customFormat="1" x14ac:dyDescent="0.2">
      <c r="A59" s="1506" t="s">
        <v>1128</v>
      </c>
      <c r="B59" s="600">
        <v>2510</v>
      </c>
      <c r="C59" s="1945">
        <f>ROUND(SUMIF(Data!$A:$A,"1-"&amp;LEFT($B59,3)&amp;"*-"&amp;MID(C$1,2,1)&amp;"*",Data!$F:$F),0)</f>
        <v>0</v>
      </c>
      <c r="D59" s="1945">
        <f>ROUND(SUMIF(Data!$A:$A,"1-"&amp;LEFT($B59,3)&amp;"*-"&amp;MID(D$1,2,1)&amp;"*",Data!$F:$F),0)</f>
        <v>0</v>
      </c>
      <c r="E59" s="1945">
        <f>ROUND(SUMIF(Data!$A:$A,"1-"&amp;LEFT($B59,3)&amp;"*-"&amp;MID(E$1,2,1)&amp;"*",Data!$F:$F),0)</f>
        <v>0</v>
      </c>
      <c r="F59" s="1945">
        <f>ROUND(SUMIF(Data!$A:$A,"1-"&amp;LEFT($B59,3)&amp;"*-"&amp;MID(F$1,2,1)&amp;"*",Data!$F:$F),0)</f>
        <v>0</v>
      </c>
      <c r="G59" s="1945">
        <f>ROUND(SUMIF(Data!$A:$A,"1-"&amp;LEFT($B59,3)&amp;"*-"&amp;MID(G$1,2,1)&amp;"*",Data!$F:$F),0)</f>
        <v>0</v>
      </c>
      <c r="H59" s="1945">
        <f>ROUND(SUMIF(Data!$A:$A,"1-"&amp;LEFT($B59,3)&amp;"*-"&amp;MID(H$1,2,1)&amp;"*",Data!$F:$F),0)</f>
        <v>0</v>
      </c>
      <c r="I59" s="1945">
        <f>ROUND(SUMIF(Data!$A:$A,"1-"&amp;LEFT($B59,3)&amp;"*-"&amp;MID(I$1,2,1)&amp;"*",Data!$F:$F),0)</f>
        <v>0</v>
      </c>
      <c r="J59" s="1945">
        <f>ROUND(SUMIF(Data!$A:$A,"1-"&amp;LEFT($B59,3)&amp;"*-"&amp;MID(J$1,2,1)&amp;"*",Data!$F:$F),0)</f>
        <v>0</v>
      </c>
      <c r="K59" s="1672">
        <f t="shared" ref="K59:K64" si="7">SUM(C59:J59)</f>
        <v>0</v>
      </c>
      <c r="L59" s="466">
        <f>SUMIFS(Data!$G:$G,Data!$A:$A,"1-"&amp;LEFT($B59,3)&amp;"*",Data!$G:$G,"&gt;0")</f>
        <v>0</v>
      </c>
      <c r="M59" s="595"/>
      <c r="N59" s="595"/>
    </row>
    <row r="60" spans="1:14" s="343" customFormat="1" x14ac:dyDescent="0.2">
      <c r="A60" s="1506" t="s">
        <v>483</v>
      </c>
      <c r="B60" s="600">
        <v>2520</v>
      </c>
      <c r="C60" s="1945">
        <f>ROUND(SUMIF(Data!$A:$A,"1-"&amp;LEFT($B60,3)&amp;"*-"&amp;MID(C$1,2,1)&amp;"*",Data!$F:$F),0)</f>
        <v>97806</v>
      </c>
      <c r="D60" s="1945">
        <f>ROUND(SUMIF(Data!$A:$A,"1-"&amp;LEFT($B60,3)&amp;"*-"&amp;MID(D$1,2,1)&amp;"*",Data!$F:$F),0)</f>
        <v>32065</v>
      </c>
      <c r="E60" s="1945">
        <f>ROUND(SUMIF(Data!$A:$A,"1-"&amp;LEFT($B60,3)&amp;"*-"&amp;MID(E$1,2,1)&amp;"*",Data!$F:$F),0)</f>
        <v>29171</v>
      </c>
      <c r="F60" s="1945">
        <f>ROUND(SUMIF(Data!$A:$A,"1-"&amp;LEFT($B60,3)&amp;"*-"&amp;MID(F$1,2,1)&amp;"*",Data!$F:$F),0)</f>
        <v>1835</v>
      </c>
      <c r="G60" s="1945">
        <f>ROUND(SUMIF(Data!$A:$A,"1-"&amp;LEFT($B60,3)&amp;"*-"&amp;MID(G$1,2,1)&amp;"*",Data!$F:$F),0)</f>
        <v>0</v>
      </c>
      <c r="H60" s="1945">
        <f>ROUND(SUMIF(Data!$A:$A,"1-"&amp;LEFT($B60,3)&amp;"*-"&amp;MID(H$1,2,1)&amp;"*",Data!$F:$F),0)</f>
        <v>0</v>
      </c>
      <c r="I60" s="1945">
        <f>ROUND(SUMIF(Data!$A:$A,"1-"&amp;LEFT($B60,3)&amp;"*-"&amp;MID(I$1,2,1)&amp;"*",Data!$F:$F),0)</f>
        <v>0</v>
      </c>
      <c r="J60" s="1945">
        <f>ROUND(SUMIF(Data!$A:$A,"1-"&amp;LEFT($B60,3)&amp;"*-"&amp;MID(J$1,2,1)&amp;"*",Data!$F:$F),0)</f>
        <v>0</v>
      </c>
      <c r="K60" s="1672">
        <f t="shared" si="7"/>
        <v>160877</v>
      </c>
      <c r="L60" s="466">
        <f>SUMIFS(Data!$G:$G,Data!$A:$A,"1-"&amp;LEFT($B60,3)&amp;"*",Data!$G:$G,"&gt;0")</f>
        <v>164787</v>
      </c>
      <c r="M60" s="595"/>
      <c r="N60" s="595"/>
    </row>
    <row r="61" spans="1:14" s="343" customFormat="1" x14ac:dyDescent="0.2">
      <c r="A61" s="1506" t="s">
        <v>206</v>
      </c>
      <c r="B61" s="600">
        <v>2540</v>
      </c>
      <c r="C61" s="1945">
        <f>ROUND(SUMIF(Data!$A:$A,"1-"&amp;LEFT($B61,3)&amp;"*-"&amp;MID(C$1,2,1)&amp;"*",Data!$F:$F),0)</f>
        <v>0</v>
      </c>
      <c r="D61" s="1945">
        <f>ROUND(SUMIF(Data!$A:$A,"1-"&amp;LEFT($B61,3)&amp;"*-"&amp;MID(D$1,2,1)&amp;"*",Data!$F:$F),0)</f>
        <v>0</v>
      </c>
      <c r="E61" s="1945">
        <f>ROUND(SUMIF(Data!$A:$A,"1-"&amp;LEFT($B61,3)&amp;"*-"&amp;MID(E$1,2,1)&amp;"*",Data!$F:$F),0)</f>
        <v>59641</v>
      </c>
      <c r="F61" s="1945">
        <f>ROUND(SUMIF(Data!$A:$A,"1-"&amp;LEFT($B61,3)&amp;"*-"&amp;MID(F$1,2,1)&amp;"*",Data!$F:$F),0)</f>
        <v>254155</v>
      </c>
      <c r="G61" s="1945">
        <f>ROUND(SUMIF(Data!$A:$A,"1-"&amp;LEFT($B61,3)&amp;"*-"&amp;MID(G$1,2,1)&amp;"*",Data!$F:$F),0)</f>
        <v>0</v>
      </c>
      <c r="H61" s="1945">
        <f>ROUND(SUMIF(Data!$A:$A,"1-"&amp;LEFT($B61,3)&amp;"*-"&amp;MID(H$1,2,1)&amp;"*",Data!$F:$F),0)</f>
        <v>0</v>
      </c>
      <c r="I61" s="1945">
        <f>ROUND(SUMIF(Data!$A:$A,"1-"&amp;LEFT($B61,3)&amp;"*-"&amp;MID(I$1,2,1)&amp;"*",Data!$F:$F),0)</f>
        <v>0</v>
      </c>
      <c r="J61" s="1945">
        <f>ROUND(SUMIF(Data!$A:$A,"1-"&amp;LEFT($B61,3)&amp;"*-"&amp;MID(J$1,2,1)&amp;"*",Data!$F:$F),0)</f>
        <v>0</v>
      </c>
      <c r="K61" s="1672">
        <f t="shared" si="7"/>
        <v>313796</v>
      </c>
      <c r="L61" s="466">
        <f>SUMIFS(Data!$G:$G,Data!$A:$A,"1-"&amp;LEFT($B61,3)&amp;"*",Data!$G:$G,"&gt;0")</f>
        <v>300748</v>
      </c>
      <c r="M61" s="595"/>
      <c r="N61" s="595"/>
    </row>
    <row r="62" spans="1:14" s="343" customFormat="1" x14ac:dyDescent="0.2">
      <c r="A62" s="1506" t="s">
        <v>1010</v>
      </c>
      <c r="B62" s="600">
        <v>2550</v>
      </c>
      <c r="C62" s="1945">
        <f>ROUND(SUMIF(Data!$A:$A,"1-"&amp;LEFT($B62,3)&amp;"*-"&amp;MID(C$1,2,1)&amp;"*",Data!$F:$F),0)</f>
        <v>0</v>
      </c>
      <c r="D62" s="1945">
        <f>ROUND(SUMIF(Data!$A:$A,"1-"&amp;LEFT($B62,3)&amp;"*-"&amp;MID(D$1,2,1)&amp;"*",Data!$F:$F),0)</f>
        <v>0</v>
      </c>
      <c r="E62" s="1945">
        <f>ROUND(SUMIF(Data!$A:$A,"1-"&amp;LEFT($B62,3)&amp;"*-"&amp;MID(E$1,2,1)&amp;"*",Data!$F:$F),0)</f>
        <v>0</v>
      </c>
      <c r="F62" s="1945">
        <f>ROUND(SUMIF(Data!$A:$A,"1-"&amp;LEFT($B62,3)&amp;"*-"&amp;MID(F$1,2,1)&amp;"*",Data!$F:$F),0)</f>
        <v>0</v>
      </c>
      <c r="G62" s="1945">
        <f>ROUND(SUMIF(Data!$A:$A,"1-"&amp;LEFT($B62,3)&amp;"*-"&amp;MID(G$1,2,1)&amp;"*",Data!$F:$F),0)</f>
        <v>0</v>
      </c>
      <c r="H62" s="1945">
        <f>ROUND(SUMIF(Data!$A:$A,"1-"&amp;LEFT($B62,3)&amp;"*-"&amp;MID(H$1,2,1)&amp;"*",Data!$F:$F),0)</f>
        <v>0</v>
      </c>
      <c r="I62" s="1945">
        <f>ROUND(SUMIF(Data!$A:$A,"1-"&amp;LEFT($B62,3)&amp;"*-"&amp;MID(I$1,2,1)&amp;"*",Data!$F:$F),0)</f>
        <v>0</v>
      </c>
      <c r="J62" s="1945">
        <f>ROUND(SUMIF(Data!$A:$A,"1-"&amp;LEFT($B62,3)&amp;"*-"&amp;MID(J$1,2,1)&amp;"*",Data!$F:$F),0)</f>
        <v>0</v>
      </c>
      <c r="K62" s="1672">
        <f t="shared" si="7"/>
        <v>0</v>
      </c>
      <c r="L62" s="466">
        <f>SUMIFS(Data!$G:$G,Data!$A:$A,"1-"&amp;LEFT($B62,3)&amp;"*",Data!$G:$G,"&gt;0")</f>
        <v>0</v>
      </c>
      <c r="M62" s="595"/>
      <c r="N62" s="595"/>
    </row>
    <row r="63" spans="1:14" s="595" customFormat="1" x14ac:dyDescent="0.2">
      <c r="A63" s="1506" t="s">
        <v>102</v>
      </c>
      <c r="B63" s="600">
        <v>2560</v>
      </c>
      <c r="C63" s="1945">
        <f>ROUND(SUMIF(Data!$A:$A,"1-"&amp;LEFT($B63,3)&amp;"*-"&amp;MID(C$1,2,1)&amp;"*",Data!$F:$F),0)</f>
        <v>166972</v>
      </c>
      <c r="D63" s="1945">
        <f>ROUND(SUMIF(Data!$A:$A,"1-"&amp;LEFT($B63,3)&amp;"*-"&amp;MID(D$1,2,1)&amp;"*",Data!$F:$F),0)</f>
        <v>53054</v>
      </c>
      <c r="E63" s="1945">
        <f>ROUND(SUMIF(Data!$A:$A,"1-"&amp;LEFT($B63,3)&amp;"*-"&amp;MID(E$1,2,1)&amp;"*",Data!$F:$F),0)</f>
        <v>2589</v>
      </c>
      <c r="F63" s="1945">
        <f>ROUND(SUMIF(Data!$A:$A,"1-"&amp;LEFT($B63,3)&amp;"*-"&amp;MID(F$1,2,1)&amp;"*",Data!$F:$F),0)</f>
        <v>295959</v>
      </c>
      <c r="G63" s="1945">
        <f>ROUND(SUMIF(Data!$A:$A,"1-"&amp;LEFT($B63,3)&amp;"*-"&amp;MID(G$1,2,1)&amp;"*",Data!$F:$F),0)</f>
        <v>5114</v>
      </c>
      <c r="H63" s="1945">
        <f>ROUND(SUMIF(Data!$A:$A,"1-"&amp;LEFT($B63,3)&amp;"*-"&amp;MID(H$1,2,1)&amp;"*",Data!$F:$F),0)</f>
        <v>0</v>
      </c>
      <c r="I63" s="1945">
        <f>ROUND(SUMIF(Data!$A:$A,"1-"&amp;LEFT($B63,3)&amp;"*-"&amp;MID(I$1,2,1)&amp;"*",Data!$F:$F),0)</f>
        <v>0</v>
      </c>
      <c r="J63" s="1945">
        <f>ROUND(SUMIF(Data!$A:$A,"1-"&amp;LEFT($B63,3)&amp;"*-"&amp;MID(J$1,2,1)&amp;"*",Data!$F:$F),0)</f>
        <v>0</v>
      </c>
      <c r="K63" s="1672">
        <f t="shared" si="7"/>
        <v>523688</v>
      </c>
      <c r="L63" s="466">
        <f>SUMIFS(Data!$G:$G,Data!$A:$A,"1-"&amp;LEFT($B63,3)&amp;"*",Data!$G:$G,"&gt;0")</f>
        <v>580023.75</v>
      </c>
    </row>
    <row r="64" spans="1:14" s="595" customFormat="1" x14ac:dyDescent="0.2">
      <c r="A64" s="1511" t="s">
        <v>103</v>
      </c>
      <c r="B64" s="616">
        <v>2570</v>
      </c>
      <c r="C64" s="1945">
        <f>ROUND(SUMIF(Data!$A:$A,"1-"&amp;LEFT($B64,3)&amp;"*-"&amp;MID(C$1,2,1)&amp;"*",Data!$F:$F),0)</f>
        <v>0</v>
      </c>
      <c r="D64" s="1945">
        <f>ROUND(SUMIF(Data!$A:$A,"1-"&amp;LEFT($B64,3)&amp;"*-"&amp;MID(D$1,2,1)&amp;"*",Data!$F:$F),0)</f>
        <v>0</v>
      </c>
      <c r="E64" s="1945">
        <f>ROUND(SUMIF(Data!$A:$A,"1-"&amp;LEFT($B64,3)&amp;"*-"&amp;MID(E$1,2,1)&amp;"*",Data!$F:$F),0)</f>
        <v>368</v>
      </c>
      <c r="F64" s="1945">
        <f>ROUND(SUMIF(Data!$A:$A,"1-"&amp;LEFT($B64,3)&amp;"*-"&amp;MID(F$1,2,1)&amp;"*",Data!$F:$F),0)</f>
        <v>12481</v>
      </c>
      <c r="G64" s="1945">
        <f>ROUND(SUMIF(Data!$A:$A,"1-"&amp;LEFT($B64,3)&amp;"*-"&amp;MID(G$1,2,1)&amp;"*",Data!$F:$F),0)</f>
        <v>0</v>
      </c>
      <c r="H64" s="1945">
        <f>ROUND(SUMIF(Data!$A:$A,"1-"&amp;LEFT($B64,3)&amp;"*-"&amp;MID(H$1,2,1)&amp;"*",Data!$F:$F),0)</f>
        <v>0</v>
      </c>
      <c r="I64" s="1945">
        <f>ROUND(SUMIF(Data!$A:$A,"1-"&amp;LEFT($B64,3)&amp;"*-"&amp;MID(I$1,2,1)&amp;"*",Data!$F:$F),0)</f>
        <v>0</v>
      </c>
      <c r="J64" s="1945">
        <f>ROUND(SUMIF(Data!$A:$A,"1-"&amp;LEFT($B64,3)&amp;"*-"&amp;MID(J$1,2,1)&amp;"*",Data!$F:$F),0)</f>
        <v>0</v>
      </c>
      <c r="K64" s="1672">
        <f t="shared" si="7"/>
        <v>12849</v>
      </c>
      <c r="L64" s="466">
        <f>SUMIFS(Data!$G:$G,Data!$A:$A,"1-"&amp;LEFT($B64,3)&amp;"*",Data!$G:$G,"&gt;0")</f>
        <v>13500</v>
      </c>
    </row>
    <row r="65" spans="1:14" s="343" customFormat="1" ht="12.75" customHeight="1" thickBot="1" x14ac:dyDescent="0.25">
      <c r="A65" s="1668" t="s">
        <v>743</v>
      </c>
      <c r="B65" s="1669" t="s">
        <v>35</v>
      </c>
      <c r="C65" s="1670">
        <f>SUM(C59:C64)</f>
        <v>264778</v>
      </c>
      <c r="D65" s="1670">
        <f t="shared" ref="D65:L65" si="8">SUM(D59:D64)</f>
        <v>85119</v>
      </c>
      <c r="E65" s="1670">
        <f t="shared" si="8"/>
        <v>91769</v>
      </c>
      <c r="F65" s="1670">
        <f t="shared" si="8"/>
        <v>564430</v>
      </c>
      <c r="G65" s="1670">
        <f t="shared" si="8"/>
        <v>5114</v>
      </c>
      <c r="H65" s="1670">
        <f t="shared" si="8"/>
        <v>0</v>
      </c>
      <c r="I65" s="1670">
        <f t="shared" si="8"/>
        <v>0</v>
      </c>
      <c r="J65" s="1670">
        <f t="shared" si="8"/>
        <v>0</v>
      </c>
      <c r="K65" s="1670">
        <f t="shared" si="8"/>
        <v>1011210</v>
      </c>
      <c r="L65" s="1670">
        <f t="shared" si="8"/>
        <v>1059058.75</v>
      </c>
      <c r="M65" s="595"/>
      <c r="N65" s="595"/>
    </row>
    <row r="66" spans="1:14" s="343" customFormat="1" ht="15.75" customHeight="1" thickTop="1" x14ac:dyDescent="0.2">
      <c r="A66" s="610" t="s">
        <v>634</v>
      </c>
      <c r="B66" s="617"/>
      <c r="C66" s="602"/>
      <c r="D66" s="602"/>
      <c r="E66" s="602"/>
      <c r="F66" s="602"/>
      <c r="G66" s="602"/>
      <c r="H66" s="602"/>
      <c r="I66" s="602"/>
      <c r="J66" s="602"/>
      <c r="K66" s="612"/>
      <c r="L66" s="612"/>
      <c r="M66" s="595"/>
      <c r="N66" s="595"/>
    </row>
    <row r="67" spans="1:14" s="343" customFormat="1" x14ac:dyDescent="0.2">
      <c r="A67" s="1506" t="s">
        <v>1120</v>
      </c>
      <c r="B67" s="600">
        <v>2610</v>
      </c>
      <c r="C67" s="1945">
        <f>ROUND(SUMIF(Data!$A:$A,"1-"&amp;LEFT($B67,3)&amp;"*-"&amp;MID(C$1,2,1)&amp;"*",Data!$F:$F),0)</f>
        <v>0</v>
      </c>
      <c r="D67" s="1945">
        <f>ROUND(SUMIF(Data!$A:$A,"1-"&amp;LEFT($B67,3)&amp;"*-"&amp;MID(D$1,2,1)&amp;"*",Data!$F:$F),0)</f>
        <v>0</v>
      </c>
      <c r="E67" s="1945">
        <f>ROUND(SUMIF(Data!$A:$A,"1-"&amp;LEFT($B67,3)&amp;"*-"&amp;MID(E$1,2,1)&amp;"*",Data!$F:$F),0)</f>
        <v>0</v>
      </c>
      <c r="F67" s="1945">
        <f>ROUND(SUMIF(Data!$A:$A,"1-"&amp;LEFT($B67,3)&amp;"*-"&amp;MID(F$1,2,1)&amp;"*",Data!$F:$F),0)</f>
        <v>0</v>
      </c>
      <c r="G67" s="1945">
        <f>ROUND(SUMIF(Data!$A:$A,"1-"&amp;LEFT($B67,3)&amp;"*-"&amp;MID(G$1,2,1)&amp;"*",Data!$F:$F),0)</f>
        <v>0</v>
      </c>
      <c r="H67" s="1945">
        <f>ROUND(SUMIF(Data!$A:$A,"1-"&amp;LEFT($B67,3)&amp;"*-"&amp;MID(H$1,2,1)&amp;"*",Data!$F:$F),0)</f>
        <v>0</v>
      </c>
      <c r="I67" s="1945">
        <f>ROUND(SUMIF(Data!$A:$A,"1-"&amp;LEFT($B67,3)&amp;"*-"&amp;MID(I$1,2,1)&amp;"*",Data!$F:$F),0)</f>
        <v>0</v>
      </c>
      <c r="J67" s="1945">
        <f>ROUND(SUMIF(Data!$A:$A,"1-"&amp;LEFT($B67,3)&amp;"*-"&amp;MID(J$1,2,1)&amp;"*",Data!$F:$F),0)</f>
        <v>0</v>
      </c>
      <c r="K67" s="1672">
        <f>SUM(C67:J67)</f>
        <v>0</v>
      </c>
      <c r="L67" s="466">
        <f>SUMIFS(Data!$G:$G,Data!$A:$A,"1-"&amp;LEFT($B67,3)&amp;"*",Data!$G:$G,"&gt;0")</f>
        <v>0</v>
      </c>
      <c r="M67" s="595"/>
      <c r="N67" s="595"/>
    </row>
    <row r="68" spans="1:14" s="343" customFormat="1" x14ac:dyDescent="0.2">
      <c r="A68" s="1506" t="s">
        <v>628</v>
      </c>
      <c r="B68" s="600">
        <v>2620</v>
      </c>
      <c r="C68" s="1945">
        <f>ROUND(SUMIF(Data!$A:$A,"1-"&amp;LEFT($B68,3)&amp;"*-"&amp;MID(C$1,2,1)&amp;"*",Data!$F:$F),0)</f>
        <v>0</v>
      </c>
      <c r="D68" s="1945">
        <f>ROUND(SUMIF(Data!$A:$A,"1-"&amp;LEFT($B68,3)&amp;"*-"&amp;MID(D$1,2,1)&amp;"*",Data!$F:$F),0)</f>
        <v>0</v>
      </c>
      <c r="E68" s="1945">
        <f>ROUND(SUMIF(Data!$A:$A,"1-"&amp;LEFT($B68,3)&amp;"*-"&amp;MID(E$1,2,1)&amp;"*",Data!$F:$F),0)</f>
        <v>0</v>
      </c>
      <c r="F68" s="1945">
        <f>ROUND(SUMIF(Data!$A:$A,"1-"&amp;LEFT($B68,3)&amp;"*-"&amp;MID(F$1,2,1)&amp;"*",Data!$F:$F),0)</f>
        <v>23500</v>
      </c>
      <c r="G68" s="1945">
        <f>ROUND(SUMIF(Data!$A:$A,"1-"&amp;LEFT($B68,3)&amp;"*-"&amp;MID(G$1,2,1)&amp;"*",Data!$F:$F),0)</f>
        <v>0</v>
      </c>
      <c r="H68" s="1945">
        <f>ROUND(SUMIF(Data!$A:$A,"1-"&amp;LEFT($B68,3)&amp;"*-"&amp;MID(H$1,2,1)&amp;"*",Data!$F:$F),0)</f>
        <v>0</v>
      </c>
      <c r="I68" s="1945">
        <f>ROUND(SUMIF(Data!$A:$A,"1-"&amp;LEFT($B68,3)&amp;"*-"&amp;MID(I$1,2,1)&amp;"*",Data!$F:$F),0)</f>
        <v>0</v>
      </c>
      <c r="J68" s="1945">
        <f>ROUND(SUMIF(Data!$A:$A,"1-"&amp;LEFT($B68,3)&amp;"*-"&amp;MID(J$1,2,1)&amp;"*",Data!$F:$F),0)</f>
        <v>0</v>
      </c>
      <c r="K68" s="1672">
        <f>SUM(C68:J68)</f>
        <v>23500</v>
      </c>
      <c r="L68" s="466">
        <f>SUMIFS(Data!$G:$G,Data!$A:$A,"1-"&amp;LEFT($B68,3)&amp;"*",Data!$G:$G,"&gt;0")</f>
        <v>24000</v>
      </c>
      <c r="M68" s="595"/>
      <c r="N68" s="595"/>
    </row>
    <row r="69" spans="1:14" s="343" customFormat="1" x14ac:dyDescent="0.2">
      <c r="A69" s="1506" t="s">
        <v>1121</v>
      </c>
      <c r="B69" s="600">
        <v>2630</v>
      </c>
      <c r="C69" s="1945">
        <f>ROUND(SUMIF(Data!$A:$A,"1-"&amp;LEFT($B69,3)&amp;"*-"&amp;MID(C$1,2,1)&amp;"*",Data!$F:$F),0)</f>
        <v>0</v>
      </c>
      <c r="D69" s="1945">
        <f>ROUND(SUMIF(Data!$A:$A,"1-"&amp;LEFT($B69,3)&amp;"*-"&amp;MID(D$1,2,1)&amp;"*",Data!$F:$F),0)</f>
        <v>0</v>
      </c>
      <c r="E69" s="1945">
        <f>ROUND(SUMIF(Data!$A:$A,"1-"&amp;LEFT($B69,3)&amp;"*-"&amp;MID(E$1,2,1)&amp;"*",Data!$F:$F),0)</f>
        <v>8710</v>
      </c>
      <c r="F69" s="1945">
        <f>ROUND(SUMIF(Data!$A:$A,"1-"&amp;LEFT($B69,3)&amp;"*-"&amp;MID(F$1,2,1)&amp;"*",Data!$F:$F),0)</f>
        <v>0</v>
      </c>
      <c r="G69" s="1945">
        <f>ROUND(SUMIF(Data!$A:$A,"1-"&amp;LEFT($B69,3)&amp;"*-"&amp;MID(G$1,2,1)&amp;"*",Data!$F:$F),0)</f>
        <v>0</v>
      </c>
      <c r="H69" s="1945">
        <f>ROUND(SUMIF(Data!$A:$A,"1-"&amp;LEFT($B69,3)&amp;"*-"&amp;MID(H$1,2,1)&amp;"*",Data!$F:$F),0)</f>
        <v>0</v>
      </c>
      <c r="I69" s="1945">
        <f>ROUND(SUMIF(Data!$A:$A,"1-"&amp;LEFT($B69,3)&amp;"*-"&amp;MID(I$1,2,1)&amp;"*",Data!$F:$F),0)</f>
        <v>0</v>
      </c>
      <c r="J69" s="1945">
        <f>ROUND(SUMIF(Data!$A:$A,"1-"&amp;LEFT($B69,3)&amp;"*-"&amp;MID(J$1,2,1)&amp;"*",Data!$F:$F),0)</f>
        <v>0</v>
      </c>
      <c r="K69" s="1672">
        <f>SUM(C69:J69)</f>
        <v>8710</v>
      </c>
      <c r="L69" s="466">
        <f>SUMIFS(Data!$G:$G,Data!$A:$A,"1-"&amp;LEFT($B69,3)&amp;"*",Data!$G:$G,"&gt;0")</f>
        <v>7500</v>
      </c>
      <c r="M69" s="595"/>
      <c r="N69" s="595"/>
    </row>
    <row r="70" spans="1:14" s="343" customFormat="1" x14ac:dyDescent="0.2">
      <c r="A70" s="1506" t="s">
        <v>423</v>
      </c>
      <c r="B70" s="600">
        <v>2640</v>
      </c>
      <c r="C70" s="1945">
        <f>ROUND(SUMIF(Data!$A:$A,"1-"&amp;LEFT($B70,3)&amp;"*-"&amp;MID(C$1,2,1)&amp;"*",Data!$F:$F),0)</f>
        <v>3425</v>
      </c>
      <c r="D70" s="1945">
        <f>ROUND(SUMIF(Data!$A:$A,"1-"&amp;LEFT($B70,3)&amp;"*-"&amp;MID(D$1,2,1)&amp;"*",Data!$F:$F),0)</f>
        <v>132</v>
      </c>
      <c r="E70" s="1945">
        <f>ROUND(SUMIF(Data!$A:$A,"1-"&amp;LEFT($B70,3)&amp;"*-"&amp;MID(E$1,2,1)&amp;"*",Data!$F:$F),0)</f>
        <v>3519</v>
      </c>
      <c r="F70" s="1945">
        <f>ROUND(SUMIF(Data!$A:$A,"1-"&amp;LEFT($B70,3)&amp;"*-"&amp;MID(F$1,2,1)&amp;"*",Data!$F:$F),0)</f>
        <v>0</v>
      </c>
      <c r="G70" s="1945">
        <f>ROUND(SUMIF(Data!$A:$A,"1-"&amp;LEFT($B70,3)&amp;"*-"&amp;MID(G$1,2,1)&amp;"*",Data!$F:$F),0)</f>
        <v>0</v>
      </c>
      <c r="H70" s="1945">
        <f>ROUND(SUMIF(Data!$A:$A,"1-"&amp;LEFT($B70,3)&amp;"*-"&amp;MID(H$1,2,1)&amp;"*",Data!$F:$F),0)</f>
        <v>0</v>
      </c>
      <c r="I70" s="1945">
        <f>ROUND(SUMIF(Data!$A:$A,"1-"&amp;LEFT($B70,3)&amp;"*-"&amp;MID(I$1,2,1)&amp;"*",Data!$F:$F),0)</f>
        <v>0</v>
      </c>
      <c r="J70" s="1945">
        <f>ROUND(SUMIF(Data!$A:$A,"1-"&amp;LEFT($B70,3)&amp;"*-"&amp;MID(J$1,2,1)&amp;"*",Data!$F:$F),0)</f>
        <v>0</v>
      </c>
      <c r="K70" s="1672">
        <f>SUM(C70:J70)</f>
        <v>7076</v>
      </c>
      <c r="L70" s="466">
        <f>SUMIFS(Data!$G:$G,Data!$A:$A,"1-"&amp;LEFT($B70,3)&amp;"*",Data!$G:$G,"&gt;0")</f>
        <v>8030</v>
      </c>
      <c r="M70" s="595"/>
      <c r="N70" s="595"/>
    </row>
    <row r="71" spans="1:14" s="343" customFormat="1" x14ac:dyDescent="0.2">
      <c r="A71" s="1506" t="s">
        <v>424</v>
      </c>
      <c r="B71" s="600">
        <v>2660</v>
      </c>
      <c r="C71" s="1945">
        <f>ROUND(SUMIF(Data!$A:$A,"1-"&amp;LEFT($B71,3)&amp;"*-"&amp;MID(C$1,2,1)&amp;"*",Data!$F:$F),0)</f>
        <v>0</v>
      </c>
      <c r="D71" s="1945">
        <f>ROUND(SUMIF(Data!$A:$A,"1-"&amp;LEFT($B71,3)&amp;"*-"&amp;MID(D$1,2,1)&amp;"*",Data!$F:$F),0)</f>
        <v>0</v>
      </c>
      <c r="E71" s="1945">
        <f>ROUND(SUMIF(Data!$A:$A,"1-"&amp;LEFT($B71,3)&amp;"*-"&amp;MID(E$1,2,1)&amp;"*",Data!$F:$F),0)</f>
        <v>0</v>
      </c>
      <c r="F71" s="1945">
        <f>ROUND(SUMIF(Data!$A:$A,"1-"&amp;LEFT($B71,3)&amp;"*-"&amp;MID(F$1,2,1)&amp;"*",Data!$F:$F),0)</f>
        <v>0</v>
      </c>
      <c r="G71" s="1945">
        <f>ROUND(SUMIF(Data!$A:$A,"1-"&amp;LEFT($B71,3)&amp;"*-"&amp;MID(G$1,2,1)&amp;"*",Data!$F:$F),0)</f>
        <v>0</v>
      </c>
      <c r="H71" s="1945">
        <f>ROUND(SUMIF(Data!$A:$A,"1-"&amp;LEFT($B71,3)&amp;"*-"&amp;MID(H$1,2,1)&amp;"*",Data!$F:$F),0)</f>
        <v>0</v>
      </c>
      <c r="I71" s="1945">
        <f>ROUND(SUMIF(Data!$A:$A,"1-"&amp;LEFT($B71,3)&amp;"*-"&amp;MID(I$1,2,1)&amp;"*",Data!$F:$F),0)</f>
        <v>0</v>
      </c>
      <c r="J71" s="1945">
        <f>ROUND(SUMIF(Data!$A:$A,"1-"&amp;LEFT($B71,3)&amp;"*-"&amp;MID(J$1,2,1)&amp;"*",Data!$F:$F),0)</f>
        <v>0</v>
      </c>
      <c r="K71" s="1672">
        <f>SUM(C71:J71)</f>
        <v>0</v>
      </c>
      <c r="L71" s="466">
        <f>SUMIFS(Data!$G:$G,Data!$A:$A,"1-"&amp;LEFT($B71,3)&amp;"*",Data!$G:$G,"&gt;0")</f>
        <v>0</v>
      </c>
      <c r="M71" s="595"/>
      <c r="N71" s="595"/>
    </row>
    <row r="72" spans="1:14" s="343" customFormat="1" ht="12.75" customHeight="1" thickBot="1" x14ac:dyDescent="0.25">
      <c r="A72" s="1668" t="s">
        <v>37</v>
      </c>
      <c r="B72" s="1675" t="s">
        <v>36</v>
      </c>
      <c r="C72" s="1670">
        <f>SUM(C67:C71)</f>
        <v>3425</v>
      </c>
      <c r="D72" s="1670">
        <f t="shared" ref="D72:K72" si="9">SUM(D67:D71)</f>
        <v>132</v>
      </c>
      <c r="E72" s="1670">
        <f t="shared" si="9"/>
        <v>12229</v>
      </c>
      <c r="F72" s="1670">
        <f t="shared" si="9"/>
        <v>23500</v>
      </c>
      <c r="G72" s="1670">
        <f t="shared" si="9"/>
        <v>0</v>
      </c>
      <c r="H72" s="1670">
        <f t="shared" si="9"/>
        <v>0</v>
      </c>
      <c r="I72" s="1670">
        <f t="shared" si="9"/>
        <v>0</v>
      </c>
      <c r="J72" s="1670">
        <f t="shared" si="9"/>
        <v>0</v>
      </c>
      <c r="K72" s="1670">
        <f t="shared" si="9"/>
        <v>39286</v>
      </c>
      <c r="L72" s="1670">
        <f>SUM(L67:L71)</f>
        <v>39530</v>
      </c>
      <c r="M72" s="595"/>
      <c r="N72" s="595"/>
    </row>
    <row r="73" spans="1:14" s="343" customFormat="1" ht="14.25" thickTop="1" thickBot="1" x14ac:dyDescent="0.25">
      <c r="A73" s="1512" t="s">
        <v>1037</v>
      </c>
      <c r="B73" s="618" t="s">
        <v>595</v>
      </c>
      <c r="C73" s="1945">
        <f>ROUND(SUMIF(Data!$A:$A,"1-"&amp;LEFT($B73,3)&amp;"*-"&amp;MID(C$1,2,1)&amp;"*",Data!$F:$F),0)</f>
        <v>0</v>
      </c>
      <c r="D73" s="1945">
        <f>ROUND(SUMIF(Data!$A:$A,"1-"&amp;LEFT($B73,3)&amp;"*-"&amp;MID(D$1,2,1)&amp;"*",Data!$F:$F),0)</f>
        <v>0</v>
      </c>
      <c r="E73" s="1945">
        <f>ROUND(SUMIF(Data!$A:$A,"1-"&amp;LEFT($B73,3)&amp;"*-"&amp;MID(E$1,2,1)&amp;"*",Data!$F:$F),0)</f>
        <v>0</v>
      </c>
      <c r="F73" s="1945">
        <f>ROUND(SUMIF(Data!$A:$A,"1-"&amp;LEFT($B73,3)&amp;"*-"&amp;MID(F$1,2,1)&amp;"*",Data!$F:$F),0)</f>
        <v>0</v>
      </c>
      <c r="G73" s="1945">
        <f>ROUND(SUMIF(Data!$A:$A,"1-"&amp;LEFT($B73,3)&amp;"*-"&amp;MID(G$1,2,1)&amp;"*",Data!$F:$F),0)</f>
        <v>0</v>
      </c>
      <c r="H73" s="1945">
        <f>ROUND(SUMIF(Data!$A:$A,"1-"&amp;LEFT($B73,3)&amp;"*-"&amp;MID(H$1,2,1)&amp;"*",Data!$F:$F),0)</f>
        <v>0</v>
      </c>
      <c r="I73" s="1945">
        <f>ROUND(SUMIF(Data!$A:$A,"1-"&amp;LEFT($B73,3)&amp;"*-"&amp;MID(I$1,2,1)&amp;"*",Data!$F:$F),0)</f>
        <v>0</v>
      </c>
      <c r="J73" s="1945">
        <f>ROUND(SUMIF(Data!$A:$A,"1-"&amp;LEFT($B73,3)&amp;"*-"&amp;MID(J$1,2,1)&amp;"*",Data!$F:$F),0)</f>
        <v>0</v>
      </c>
      <c r="K73" s="1670">
        <f>SUM(C73:J73)</f>
        <v>0</v>
      </c>
      <c r="L73" s="466">
        <f>SUMIFS(Data!$G:$G,Data!$A:$A,"1-"&amp;LEFT($B73,3)&amp;"*",Data!$G:$G,"&gt;0")</f>
        <v>0</v>
      </c>
      <c r="M73" s="595"/>
      <c r="N73" s="595"/>
    </row>
    <row r="74" spans="1:14" ht="12.75" customHeight="1" thickTop="1" thickBot="1" x14ac:dyDescent="0.25">
      <c r="A74" s="1668" t="s">
        <v>865</v>
      </c>
      <c r="B74" s="1676">
        <v>2000</v>
      </c>
      <c r="C74" s="1677">
        <f>SUM(C42,C47,C53,C57,C65,C72,C73)</f>
        <v>2530524</v>
      </c>
      <c r="D74" s="1677">
        <f t="shared" ref="D74:K74" si="10">SUM(D42,D47,D53,D57,D65,D72,D73)</f>
        <v>822443</v>
      </c>
      <c r="E74" s="1677">
        <f t="shared" si="10"/>
        <v>773854</v>
      </c>
      <c r="F74" s="1677">
        <f t="shared" si="10"/>
        <v>651518</v>
      </c>
      <c r="G74" s="1677">
        <f t="shared" si="10"/>
        <v>143754</v>
      </c>
      <c r="H74" s="1677">
        <f t="shared" si="10"/>
        <v>18012</v>
      </c>
      <c r="I74" s="1677">
        <f t="shared" si="10"/>
        <v>0</v>
      </c>
      <c r="J74" s="1677">
        <f t="shared" si="10"/>
        <v>0</v>
      </c>
      <c r="K74" s="1677">
        <f t="shared" si="10"/>
        <v>4940105</v>
      </c>
      <c r="L74" s="1677">
        <f>SUM(L42,L47,L53,L57,L65,L72,L73)</f>
        <v>5342581.07</v>
      </c>
    </row>
    <row r="75" spans="1:14" s="259" customFormat="1" ht="15.75" customHeight="1" thickTop="1" thickBot="1" x14ac:dyDescent="0.25">
      <c r="A75" s="1612" t="s">
        <v>49</v>
      </c>
      <c r="B75" s="1613" t="s">
        <v>596</v>
      </c>
      <c r="C75" s="1945">
        <f>ROUND(SUMIF(Data!$A:$A,"1-"&amp;LEFT($B75,3)&amp;"*-"&amp;MID(C$1,2,1)&amp;"*",Data!$F:$F),0)</f>
        <v>0</v>
      </c>
      <c r="D75" s="1945">
        <f>ROUND(SUMIF(Data!$A:$A,"1-"&amp;LEFT($B75,3)&amp;"*-"&amp;MID(D$1,2,1)&amp;"*",Data!$F:$F),0)</f>
        <v>0</v>
      </c>
      <c r="E75" s="1945">
        <f>ROUND(SUMIF(Data!$A:$A,"1-"&amp;LEFT($B75,3)&amp;"*-"&amp;MID(E$1,2,1)&amp;"*",Data!$F:$F),0)</f>
        <v>0</v>
      </c>
      <c r="F75" s="1945">
        <f>ROUND(SUMIF(Data!$A:$A,"1-"&amp;LEFT($B75,3)&amp;"*-"&amp;MID(F$1,2,1)&amp;"*",Data!$F:$F),0)</f>
        <v>0</v>
      </c>
      <c r="G75" s="1945">
        <f>ROUND(SUMIF(Data!$A:$A,"1-"&amp;LEFT($B75,3)&amp;"*-"&amp;MID(G$1,2,1)&amp;"*",Data!$F:$F),0)</f>
        <v>0</v>
      </c>
      <c r="H75" s="1945">
        <f>ROUND(SUMIF(Data!$A:$A,"1-"&amp;LEFT($B75,3)&amp;"*-"&amp;MID(H$1,2,1)&amp;"*",Data!$F:$F),0)</f>
        <v>0</v>
      </c>
      <c r="I75" s="1945">
        <f>ROUND(SUMIF(Data!$A:$A,"1-"&amp;LEFT($B75,3)&amp;"*-"&amp;MID(I$1,2,1)&amp;"*",Data!$F:$F),0)</f>
        <v>0</v>
      </c>
      <c r="J75" s="1945">
        <f>ROUND(SUMIF(Data!$A:$A,"1-"&amp;LEFT($B75,3)&amp;"*-"&amp;MID(J$1,2,1)&amp;"*",Data!$F:$F),0)</f>
        <v>0</v>
      </c>
      <c r="K75" s="1670">
        <f>SUM(C75:J75)</f>
        <v>0</v>
      </c>
      <c r="L75" s="466">
        <f>SUMIFS(Data!$G:$G,Data!$A:$A,"1-"&amp;LEFT($B75,3)&amp;"*",Data!$G:$G,"&gt;0")</f>
        <v>0</v>
      </c>
      <c r="M75" s="599"/>
      <c r="N75" s="599"/>
    </row>
    <row r="76" spans="1:14" s="619" customFormat="1" ht="15.75" customHeight="1" thickTop="1" x14ac:dyDescent="0.2">
      <c r="A76" s="1614" t="s">
        <v>383</v>
      </c>
      <c r="B76" s="1611" t="s">
        <v>915</v>
      </c>
      <c r="C76" s="604"/>
      <c r="D76" s="604"/>
      <c r="E76" s="602"/>
      <c r="F76" s="604"/>
      <c r="G76" s="604"/>
      <c r="H76" s="602"/>
      <c r="I76" s="602"/>
      <c r="J76" s="602"/>
      <c r="K76" s="602"/>
      <c r="L76" s="602"/>
      <c r="M76" s="184"/>
      <c r="N76" s="184"/>
    </row>
    <row r="77" spans="1:14" s="259" customFormat="1" ht="15.75" customHeight="1" x14ac:dyDescent="0.2">
      <c r="A77" s="607" t="s">
        <v>635</v>
      </c>
      <c r="B77" s="608"/>
      <c r="C77" s="602"/>
      <c r="D77" s="602"/>
      <c r="E77" s="609"/>
      <c r="F77" s="602"/>
      <c r="G77" s="602"/>
      <c r="H77" s="609"/>
      <c r="I77" s="602"/>
      <c r="J77" s="602"/>
      <c r="K77" s="609"/>
      <c r="L77" s="609"/>
      <c r="M77" s="599"/>
      <c r="N77" s="599"/>
    </row>
    <row r="78" spans="1:14" x14ac:dyDescent="0.2">
      <c r="A78" s="1506" t="s">
        <v>517</v>
      </c>
      <c r="B78" s="600">
        <v>4110</v>
      </c>
      <c r="C78" s="602"/>
      <c r="D78" s="602"/>
      <c r="E78" s="1945">
        <f>ROUND(SUMIF(Data!$A:$A,"1-"&amp;LEFT($B78,3)&amp;"*-"&amp;MID(E$1,2,1)&amp;"*",Data!$F:$F),0)</f>
        <v>0</v>
      </c>
      <c r="F78" s="602"/>
      <c r="G78" s="602"/>
      <c r="H78" s="1945">
        <f>ROUND(SUMIF(Data!$A:$A,"1-"&amp;LEFT($B78,3)&amp;"*-"&amp;MID(H$1,2,1)&amp;"*",Data!$F:$F),0)</f>
        <v>0</v>
      </c>
      <c r="I78" s="477"/>
      <c r="J78" s="477"/>
      <c r="K78" s="1671">
        <f t="shared" ref="K78:K83" si="11">SUM(C78:J78)</f>
        <v>0</v>
      </c>
      <c r="L78" s="466">
        <f>SUMIFS(Data!$G:$G,Data!$A:$A,"1-"&amp;LEFT($B78,3)&amp;"*",Data!$G:$G,"&gt;0")</f>
        <v>0</v>
      </c>
    </row>
    <row r="79" spans="1:14" x14ac:dyDescent="0.2">
      <c r="A79" s="1506" t="s">
        <v>322</v>
      </c>
      <c r="B79" s="600">
        <v>4120</v>
      </c>
      <c r="C79" s="602"/>
      <c r="D79" s="602"/>
      <c r="E79" s="1945">
        <f>ROUND(SUMIF(Data!$A:$A,"1-"&amp;LEFT($B79,3)&amp;"*-"&amp;MID(E$1,2,1)&amp;"*",Data!$F:$F),0)</f>
        <v>0</v>
      </c>
      <c r="F79" s="602"/>
      <c r="G79" s="602"/>
      <c r="H79" s="1945">
        <f>ROUND(SUMIF(Data!$A:$A,"1-"&amp;LEFT($B79,3)&amp;"*-"&amp;MID(H$1,2,1)&amp;"*",Data!$F:$F),0)</f>
        <v>543374</v>
      </c>
      <c r="I79" s="477"/>
      <c r="J79" s="477"/>
      <c r="K79" s="1671">
        <f t="shared" si="11"/>
        <v>543374</v>
      </c>
      <c r="L79" s="466">
        <f>SUMIFS(Data!$G:$G,Data!$A:$A,"1-"&amp;LEFT($B79,3)&amp;"*",Data!$G:$G,"&gt;0")</f>
        <v>567535.18000000005</v>
      </c>
    </row>
    <row r="80" spans="1:14" x14ac:dyDescent="0.2">
      <c r="A80" s="1506" t="s">
        <v>323</v>
      </c>
      <c r="B80" s="600">
        <v>4130</v>
      </c>
      <c r="C80" s="602"/>
      <c r="D80" s="602"/>
      <c r="E80" s="1945">
        <f>ROUND(SUMIF(Data!$A:$A,"1-"&amp;LEFT($B80,3)&amp;"*-"&amp;MID(E$1,2,1)&amp;"*",Data!$F:$F),0)</f>
        <v>0</v>
      </c>
      <c r="F80" s="602"/>
      <c r="G80" s="602"/>
      <c r="H80" s="1945">
        <f>ROUND(SUMIF(Data!$A:$A,"1-"&amp;LEFT($B80,3)&amp;"*-"&amp;MID(H$1,2,1)&amp;"*",Data!$F:$F),0)</f>
        <v>0</v>
      </c>
      <c r="I80" s="477"/>
      <c r="J80" s="477"/>
      <c r="K80" s="1671">
        <f t="shared" si="11"/>
        <v>0</v>
      </c>
      <c r="L80" s="466">
        <f>SUMIFS(Data!$G:$G,Data!$A:$A,"1-"&amp;LEFT($B80,3)&amp;"*",Data!$G:$G,"&gt;0")</f>
        <v>0</v>
      </c>
    </row>
    <row r="81" spans="1:12" x14ac:dyDescent="0.2">
      <c r="A81" s="1506" t="s">
        <v>721</v>
      </c>
      <c r="B81" s="600">
        <v>4140</v>
      </c>
      <c r="C81" s="602"/>
      <c r="D81" s="602"/>
      <c r="E81" s="1945">
        <f>ROUND(SUMIF(Data!$A:$A,"1-"&amp;LEFT($B81,3)&amp;"*-"&amp;MID(E$1,2,1)&amp;"*",Data!$F:$F),0)</f>
        <v>0</v>
      </c>
      <c r="F81" s="602"/>
      <c r="G81" s="602"/>
      <c r="H81" s="1945">
        <f>ROUND(SUMIF(Data!$A:$A,"1-"&amp;LEFT($B81,3)&amp;"*-"&amp;MID(H$1,2,1)&amp;"*",Data!$F:$F),0)</f>
        <v>0</v>
      </c>
      <c r="I81" s="477"/>
      <c r="J81" s="477"/>
      <c r="K81" s="1671">
        <f t="shared" si="11"/>
        <v>0</v>
      </c>
      <c r="L81" s="466">
        <f>SUMIFS(Data!$G:$G,Data!$A:$A,"1-"&amp;LEFT($B81,3)&amp;"*",Data!$G:$G,"&gt;0")</f>
        <v>0</v>
      </c>
    </row>
    <row r="82" spans="1:12" x14ac:dyDescent="0.2">
      <c r="A82" s="1506" t="s">
        <v>88</v>
      </c>
      <c r="B82" s="600">
        <v>4170</v>
      </c>
      <c r="C82" s="602"/>
      <c r="D82" s="602"/>
      <c r="E82" s="1945">
        <f>ROUND(SUMIF(Data!$A:$A,"1-"&amp;LEFT($B82,3)&amp;"*-"&amp;MID(E$1,2,1)&amp;"*",Data!$F:$F),0)</f>
        <v>0</v>
      </c>
      <c r="F82" s="602"/>
      <c r="G82" s="602"/>
      <c r="H82" s="1945">
        <f>ROUND(SUMIF(Data!$A:$A,"1-"&amp;LEFT($B82,3)&amp;"*-"&amp;MID(H$1,2,1)&amp;"*",Data!$F:$F),0)</f>
        <v>0</v>
      </c>
      <c r="I82" s="477"/>
      <c r="J82" s="477"/>
      <c r="K82" s="1671">
        <f t="shared" si="11"/>
        <v>0</v>
      </c>
      <c r="L82" s="466">
        <f>SUMIFS(Data!$G:$G,Data!$A:$A,"1-"&amp;LEFT($B82,3)&amp;"*",Data!$G:$G,"&gt;0")</f>
        <v>0</v>
      </c>
    </row>
    <row r="83" spans="1:12" x14ac:dyDescent="0.2">
      <c r="A83" s="1510" t="s">
        <v>722</v>
      </c>
      <c r="B83" s="614">
        <v>4190</v>
      </c>
      <c r="C83" s="602"/>
      <c r="D83" s="602"/>
      <c r="E83" s="1945">
        <f>ROUND(SUMIF(Data!$A:$A,"1-"&amp;LEFT($B83,3)&amp;"*-"&amp;MID(E$1,2,1)&amp;"*",Data!$F:$F),0)</f>
        <v>0</v>
      </c>
      <c r="F83" s="602"/>
      <c r="G83" s="602"/>
      <c r="H83" s="1945">
        <f>ROUND(SUMIF(Data!$A:$A,"1-"&amp;LEFT($B83,3)&amp;"*-"&amp;MID(H$1,2,1)&amp;"*",Data!$F:$F),0)</f>
        <v>0</v>
      </c>
      <c r="I83" s="477"/>
      <c r="J83" s="477"/>
      <c r="K83" s="1671">
        <f t="shared" si="11"/>
        <v>0</v>
      </c>
      <c r="L83" s="466">
        <f>SUMIFS(Data!$G:$G,Data!$A:$A,"1-"&amp;LEFT($B83,3)&amp;"*",Data!$G:$G,"&gt;0")</f>
        <v>0</v>
      </c>
    </row>
    <row r="84" spans="1:12" ht="13.5" thickBot="1" x14ac:dyDescent="0.25">
      <c r="A84" s="1668" t="s">
        <v>1565</v>
      </c>
      <c r="B84" s="1678">
        <v>4100</v>
      </c>
      <c r="C84" s="602"/>
      <c r="D84" s="602"/>
      <c r="E84" s="1670">
        <f>SUM(E78:E83)</f>
        <v>0</v>
      </c>
      <c r="F84" s="602"/>
      <c r="G84" s="602"/>
      <c r="H84" s="1670">
        <f>SUM(H78:H83)</f>
        <v>543374</v>
      </c>
      <c r="I84" s="477"/>
      <c r="J84" s="477"/>
      <c r="K84" s="1670">
        <f>SUM(K78:K83)</f>
        <v>543374</v>
      </c>
      <c r="L84" s="1670">
        <f>SUM(L78:L83)</f>
        <v>567535.18000000005</v>
      </c>
    </row>
    <row r="85" spans="1:12" ht="12.75" customHeight="1" thickTop="1" thickBot="1" x14ac:dyDescent="0.25">
      <c r="A85" s="1513" t="s">
        <v>273</v>
      </c>
      <c r="B85" s="620">
        <v>4210</v>
      </c>
      <c r="C85" s="602"/>
      <c r="D85" s="602"/>
      <c r="E85" s="621"/>
      <c r="F85" s="602"/>
      <c r="G85" s="602"/>
      <c r="H85" s="1945">
        <f>ROUND(SUMIF(Data!$A:$A,"1-"&amp;LEFT($B85,3)&amp;"*-"&amp;MID(H$1,2,1)&amp;"*",Data!$F:$F),0)</f>
        <v>0</v>
      </c>
      <c r="I85" s="477"/>
      <c r="J85" s="477"/>
      <c r="K85" s="1677">
        <f>H85</f>
        <v>0</v>
      </c>
      <c r="L85" s="466">
        <f>SUMIFS(Data!$G:$G,Data!$A:$A,"1-"&amp;LEFT($B85,3)&amp;"*",Data!$G:$G,"&gt;0")</f>
        <v>0</v>
      </c>
    </row>
    <row r="86" spans="1:12" ht="12.75" customHeight="1" thickTop="1" thickBot="1" x14ac:dyDescent="0.25">
      <c r="A86" s="1514" t="s">
        <v>723</v>
      </c>
      <c r="B86" s="622">
        <v>4220</v>
      </c>
      <c r="C86" s="602"/>
      <c r="D86" s="602"/>
      <c r="E86" s="623"/>
      <c r="F86" s="602"/>
      <c r="G86" s="602"/>
      <c r="H86" s="1945">
        <f>ROUND(SUMIF(Data!$A:$A,"1-"&amp;LEFT($B86,3)&amp;"*-"&amp;MID(H$1,2,1)&amp;"*",Data!$F:$F),0)</f>
        <v>0</v>
      </c>
      <c r="I86" s="477"/>
      <c r="J86" s="477"/>
      <c r="K86" s="1677">
        <f t="shared" ref="K86:K98" si="12">H86</f>
        <v>0</v>
      </c>
      <c r="L86" s="466">
        <f>SUMIFS(Data!$G:$G,Data!$A:$A,"1-"&amp;LEFT($B86,3)&amp;"*",Data!$G:$G,"&gt;0")</f>
        <v>0</v>
      </c>
    </row>
    <row r="87" spans="1:12" ht="14.25" thickTop="1" thickBot="1" x14ac:dyDescent="0.25">
      <c r="A87" s="1515" t="s">
        <v>724</v>
      </c>
      <c r="B87" s="624">
        <v>4230</v>
      </c>
      <c r="C87" s="602"/>
      <c r="D87" s="602"/>
      <c r="E87" s="623"/>
      <c r="F87" s="602"/>
      <c r="G87" s="602"/>
      <c r="H87" s="1945">
        <f>ROUND(SUMIF(Data!$A:$A,"1-"&amp;LEFT($B87,3)&amp;"*-"&amp;MID(H$1,2,1)&amp;"*",Data!$F:$F),0)</f>
        <v>0</v>
      </c>
      <c r="I87" s="477"/>
      <c r="J87" s="477"/>
      <c r="K87" s="1677">
        <f t="shared" si="12"/>
        <v>0</v>
      </c>
      <c r="L87" s="466">
        <f>SUMIFS(Data!$G:$G,Data!$A:$A,"1-"&amp;LEFT($B87,3)&amp;"*",Data!$G:$G,"&gt;0")</f>
        <v>0</v>
      </c>
    </row>
    <row r="88" spans="1:12" ht="12.75" customHeight="1" thickTop="1" thickBot="1" x14ac:dyDescent="0.25">
      <c r="A88" s="1515" t="s">
        <v>789</v>
      </c>
      <c r="B88" s="624">
        <v>4240</v>
      </c>
      <c r="C88" s="602"/>
      <c r="D88" s="602"/>
      <c r="E88" s="623"/>
      <c r="F88" s="602"/>
      <c r="G88" s="602"/>
      <c r="H88" s="1945">
        <f>ROUND(SUMIF(Data!$A:$A,"1-"&amp;LEFT($B88,3)&amp;"*-"&amp;MID(H$1,2,1)&amp;"*",Data!$F:$F),0)</f>
        <v>0</v>
      </c>
      <c r="I88" s="477"/>
      <c r="J88" s="477"/>
      <c r="K88" s="1677">
        <f t="shared" si="12"/>
        <v>0</v>
      </c>
      <c r="L88" s="466">
        <f>SUMIFS(Data!$G:$G,Data!$A:$A,"1-"&amp;LEFT($B88,3)&amp;"*",Data!$G:$G,"&gt;0")</f>
        <v>0</v>
      </c>
    </row>
    <row r="89" spans="1:12" ht="12.75" customHeight="1" thickTop="1" thickBot="1" x14ac:dyDescent="0.25">
      <c r="A89" s="1515" t="s">
        <v>725</v>
      </c>
      <c r="B89" s="624">
        <v>4270</v>
      </c>
      <c r="C89" s="602"/>
      <c r="D89" s="602"/>
      <c r="E89" s="623"/>
      <c r="F89" s="602"/>
      <c r="G89" s="602"/>
      <c r="H89" s="1945">
        <f>ROUND(SUMIF(Data!$A:$A,"1-"&amp;LEFT($B89,3)&amp;"*-"&amp;MID(H$1,2,1)&amp;"*",Data!$F:$F),0)</f>
        <v>0</v>
      </c>
      <c r="I89" s="477"/>
      <c r="J89" s="477"/>
      <c r="K89" s="1677">
        <f t="shared" si="12"/>
        <v>0</v>
      </c>
      <c r="L89" s="466">
        <f>SUMIFS(Data!$G:$G,Data!$A:$A,"1-"&amp;LEFT($B89,3)&amp;"*",Data!$G:$G,"&gt;0")</f>
        <v>0</v>
      </c>
    </row>
    <row r="90" spans="1:12" ht="12.75" customHeight="1" thickTop="1" thickBot="1" x14ac:dyDescent="0.25">
      <c r="A90" s="1515" t="s">
        <v>710</v>
      </c>
      <c r="B90" s="624">
        <v>4280</v>
      </c>
      <c r="C90" s="602"/>
      <c r="D90" s="602"/>
      <c r="E90" s="623"/>
      <c r="F90" s="602"/>
      <c r="G90" s="602"/>
      <c r="H90" s="1945">
        <f>ROUND(SUMIF(Data!$A:$A,"1-"&amp;LEFT($B90,3)&amp;"*-"&amp;MID(H$1,2,1)&amp;"*",Data!$F:$F),0)</f>
        <v>0</v>
      </c>
      <c r="I90" s="477"/>
      <c r="J90" s="477"/>
      <c r="K90" s="1677">
        <f t="shared" si="12"/>
        <v>0</v>
      </c>
      <c r="L90" s="466">
        <f>SUMIFS(Data!$G:$G,Data!$A:$A,"1-"&amp;LEFT($B90,3)&amp;"*",Data!$G:$G,"&gt;0")</f>
        <v>0</v>
      </c>
    </row>
    <row r="91" spans="1:12" ht="12.75" customHeight="1" thickTop="1" thickBot="1" x14ac:dyDescent="0.25">
      <c r="A91" s="1515" t="s">
        <v>711</v>
      </c>
      <c r="B91" s="624">
        <v>4290</v>
      </c>
      <c r="C91" s="602"/>
      <c r="D91" s="602"/>
      <c r="E91" s="623"/>
      <c r="F91" s="602"/>
      <c r="G91" s="602"/>
      <c r="H91" s="1945">
        <f>ROUND(SUMIF(Data!$A:$A,"1-"&amp;LEFT($B91,3)&amp;"*-"&amp;MID(H$1,2,1)&amp;"*",Data!$F:$F),0)</f>
        <v>0</v>
      </c>
      <c r="I91" s="477"/>
      <c r="J91" s="477"/>
      <c r="K91" s="1677">
        <f t="shared" si="12"/>
        <v>0</v>
      </c>
      <c r="L91" s="466">
        <f>SUMIFS(Data!$G:$G,Data!$A:$A,"1-"&amp;LEFT($B91,3)&amp;"*",Data!$G:$G,"&gt;0")</f>
        <v>0</v>
      </c>
    </row>
    <row r="92" spans="1:12" ht="14.25" thickTop="1" thickBot="1" x14ac:dyDescent="0.25">
      <c r="A92" s="1680" t="s">
        <v>1641</v>
      </c>
      <c r="B92" s="1678">
        <v>4200</v>
      </c>
      <c r="C92" s="602"/>
      <c r="D92" s="602"/>
      <c r="E92" s="623"/>
      <c r="F92" s="602"/>
      <c r="G92" s="602"/>
      <c r="H92" s="1670">
        <f>SUM(H85:H91)</f>
        <v>0</v>
      </c>
      <c r="I92" s="477"/>
      <c r="J92" s="477"/>
      <c r="K92" s="1677">
        <f t="shared" si="12"/>
        <v>0</v>
      </c>
      <c r="L92" s="1670">
        <f>SUM(L85:L91)</f>
        <v>0</v>
      </c>
    </row>
    <row r="93" spans="1:12" ht="14.25" thickTop="1" thickBot="1" x14ac:dyDescent="0.25">
      <c r="A93" s="1514" t="s">
        <v>712</v>
      </c>
      <c r="B93" s="625">
        <v>4310</v>
      </c>
      <c r="C93" s="602"/>
      <c r="D93" s="602"/>
      <c r="E93" s="623"/>
      <c r="F93" s="602"/>
      <c r="G93" s="602"/>
      <c r="H93" s="1945">
        <f>ROUND(SUMIF(Data!$A:$A,"1-"&amp;LEFT($B93,3)&amp;"*-"&amp;MID(H$1,2,1)&amp;"*",Data!$F:$F),0)</f>
        <v>0</v>
      </c>
      <c r="I93" s="477"/>
      <c r="J93" s="477"/>
      <c r="K93" s="1677">
        <f t="shared" si="12"/>
        <v>0</v>
      </c>
      <c r="L93" s="466">
        <f>SUMIFS(Data!$G:$G,Data!$A:$A,"1-"&amp;LEFT($B93,3)&amp;"*",Data!$G:$G,"&gt;0")</f>
        <v>0</v>
      </c>
    </row>
    <row r="94" spans="1:12" ht="12.75" customHeight="1" thickTop="1" thickBot="1" x14ac:dyDescent="0.25">
      <c r="A94" s="1515" t="s">
        <v>713</v>
      </c>
      <c r="B94" s="624">
        <v>4320</v>
      </c>
      <c r="C94" s="602"/>
      <c r="D94" s="602"/>
      <c r="E94" s="623"/>
      <c r="F94" s="602"/>
      <c r="G94" s="602"/>
      <c r="H94" s="1945">
        <f>ROUND(SUMIF(Data!$A:$A,"1-"&amp;LEFT($B94,3)&amp;"*-"&amp;MID(H$1,2,1)&amp;"*",Data!$F:$F),0)</f>
        <v>0</v>
      </c>
      <c r="I94" s="477"/>
      <c r="J94" s="477"/>
      <c r="K94" s="1677">
        <f t="shared" si="12"/>
        <v>0</v>
      </c>
      <c r="L94" s="466">
        <f>SUMIFS(Data!$G:$G,Data!$A:$A,"1-"&amp;LEFT($B94,3)&amp;"*",Data!$G:$G,"&gt;0")</f>
        <v>0</v>
      </c>
    </row>
    <row r="95" spans="1:12" ht="15" customHeight="1" thickTop="1" thickBot="1" x14ac:dyDescent="0.25">
      <c r="A95" s="1515" t="s">
        <v>1568</v>
      </c>
      <c r="B95" s="624">
        <v>4330</v>
      </c>
      <c r="C95" s="602"/>
      <c r="D95" s="602"/>
      <c r="E95" s="623"/>
      <c r="F95" s="602"/>
      <c r="G95" s="602"/>
      <c r="H95" s="1945">
        <f>ROUND(SUMIF(Data!$A:$A,"1-"&amp;LEFT($B95,3)&amp;"*-"&amp;MID(H$1,2,1)&amp;"*",Data!$F:$F),0)</f>
        <v>0</v>
      </c>
      <c r="I95" s="477"/>
      <c r="J95" s="477"/>
      <c r="K95" s="1677">
        <f t="shared" si="12"/>
        <v>0</v>
      </c>
      <c r="L95" s="466">
        <f>SUMIFS(Data!$G:$G,Data!$A:$A,"1-"&amp;LEFT($B95,3)&amp;"*",Data!$G:$G,"&gt;0")</f>
        <v>0</v>
      </c>
    </row>
    <row r="96" spans="1:12" ht="14.25" thickTop="1" thickBot="1" x14ac:dyDescent="0.25">
      <c r="A96" s="1515" t="s">
        <v>714</v>
      </c>
      <c r="B96" s="624">
        <v>4340</v>
      </c>
      <c r="C96" s="602"/>
      <c r="D96" s="602"/>
      <c r="E96" s="623"/>
      <c r="F96" s="602"/>
      <c r="G96" s="602"/>
      <c r="H96" s="1945">
        <f>ROUND(SUMIF(Data!$A:$A,"1-"&amp;LEFT($B96,3)&amp;"*-"&amp;MID(H$1,2,1)&amp;"*",Data!$F:$F),0)</f>
        <v>0</v>
      </c>
      <c r="I96" s="477"/>
      <c r="J96" s="477"/>
      <c r="K96" s="1677">
        <f t="shared" si="12"/>
        <v>0</v>
      </c>
      <c r="L96" s="466">
        <f>SUMIFS(Data!$G:$G,Data!$A:$A,"1-"&amp;LEFT($B96,3)&amp;"*",Data!$G:$G,"&gt;0")</f>
        <v>0</v>
      </c>
    </row>
    <row r="97" spans="1:14" ht="12.75" customHeight="1" thickTop="1" thickBot="1" x14ac:dyDescent="0.25">
      <c r="A97" s="1515" t="s">
        <v>787</v>
      </c>
      <c r="B97" s="624">
        <v>4370</v>
      </c>
      <c r="C97" s="602"/>
      <c r="D97" s="602"/>
      <c r="E97" s="623"/>
      <c r="F97" s="602"/>
      <c r="G97" s="602"/>
      <c r="H97" s="1945">
        <f>ROUND(SUMIF(Data!$A:$A,"1-"&amp;LEFT($B97,3)&amp;"*-"&amp;MID(H$1,2,1)&amp;"*",Data!$F:$F),0)</f>
        <v>0</v>
      </c>
      <c r="I97" s="477"/>
      <c r="J97" s="477"/>
      <c r="K97" s="1677">
        <f t="shared" si="12"/>
        <v>0</v>
      </c>
      <c r="L97" s="466">
        <f>SUMIFS(Data!$G:$G,Data!$A:$A,"1-"&amp;LEFT($B97,3)&amp;"*",Data!$G:$G,"&gt;0")</f>
        <v>0</v>
      </c>
    </row>
    <row r="98" spans="1:14" ht="14.25" thickTop="1" thickBot="1" x14ac:dyDescent="0.25">
      <c r="A98" s="1515" t="s">
        <v>788</v>
      </c>
      <c r="B98" s="624">
        <v>4380</v>
      </c>
      <c r="C98" s="602"/>
      <c r="D98" s="602"/>
      <c r="E98" s="626"/>
      <c r="F98" s="602"/>
      <c r="G98" s="602"/>
      <c r="H98" s="1945">
        <f>ROUND(SUMIF(Data!$A:$A,"1-"&amp;LEFT($B98,3)&amp;"*-"&amp;MID(H$1,2,1)&amp;"*",Data!$F:$F),0)</f>
        <v>0</v>
      </c>
      <c r="I98" s="477"/>
      <c r="J98" s="477"/>
      <c r="K98" s="1677">
        <f t="shared" si="12"/>
        <v>0</v>
      </c>
      <c r="L98" s="466">
        <f>SUMIFS(Data!$G:$G,Data!$A:$A,"1-"&amp;LEFT($B98,3)&amp;"*",Data!$G:$G,"&gt;0")</f>
        <v>0</v>
      </c>
    </row>
    <row r="99" spans="1:14" ht="14.25" thickTop="1" thickBot="1" x14ac:dyDescent="0.25">
      <c r="A99" s="1515" t="s">
        <v>385</v>
      </c>
      <c r="B99" s="624">
        <v>4390</v>
      </c>
      <c r="C99" s="602"/>
      <c r="D99" s="602"/>
      <c r="E99" s="1945">
        <f>ROUND(SUMIF(Data!$A:$A,"1-"&amp;LEFT($B99,3)&amp;"*-"&amp;MID(E$1,2,1)&amp;"*",Data!$F:$F),0)</f>
        <v>0</v>
      </c>
      <c r="F99" s="602"/>
      <c r="G99" s="602"/>
      <c r="H99" s="1945">
        <f>ROUND(SUMIF(Data!$A:$A,"1-"&amp;LEFT($B99,3)&amp;"*-"&amp;MID(H$1,2,1)&amp;"*",Data!$F:$F),0)</f>
        <v>0</v>
      </c>
      <c r="I99" s="477"/>
      <c r="J99" s="477"/>
      <c r="K99" s="1677">
        <f>SUM(E99,H99)</f>
        <v>0</v>
      </c>
      <c r="L99" s="466">
        <f>SUMIFS(Data!$G:$G,Data!$A:$A,"1-"&amp;LEFT($B99,3)&amp;"*",Data!$G:$G,"&gt;0")</f>
        <v>0</v>
      </c>
    </row>
    <row r="100" spans="1:14" ht="14.25" thickTop="1" thickBot="1" x14ac:dyDescent="0.25">
      <c r="A100" s="1680" t="s">
        <v>1566</v>
      </c>
      <c r="B100" s="1681">
        <v>4300</v>
      </c>
      <c r="C100" s="602"/>
      <c r="D100" s="602"/>
      <c r="E100" s="1677">
        <f>SUM(E93:E99)</f>
        <v>0</v>
      </c>
      <c r="F100" s="602"/>
      <c r="G100" s="602"/>
      <c r="H100" s="1677">
        <f>SUM(H93:H99)</f>
        <v>0</v>
      </c>
      <c r="I100" s="477"/>
      <c r="J100" s="477"/>
      <c r="K100" s="1677">
        <f>SUM(K93:K99)</f>
        <v>0</v>
      </c>
      <c r="L100" s="1677">
        <f>SUM(L93:L99)</f>
        <v>0</v>
      </c>
    </row>
    <row r="101" spans="1:14" ht="12.75" customHeight="1" thickTop="1" thickBot="1" x14ac:dyDescent="0.25">
      <c r="A101" s="1512" t="s">
        <v>1569</v>
      </c>
      <c r="B101" s="627" t="s">
        <v>988</v>
      </c>
      <c r="C101" s="602"/>
      <c r="D101" s="602"/>
      <c r="E101" s="1945">
        <f>ROUND(SUMIF(Data!$A:$A,"1-"&amp;LEFT($B101,3)&amp;"*-"&amp;MID(E$1,2,1)&amp;"*",Data!$F:$F),0)</f>
        <v>0</v>
      </c>
      <c r="F101" s="602"/>
      <c r="G101" s="602"/>
      <c r="H101" s="1945">
        <f>ROUND(SUMIF(Data!$A:$A,"1-"&amp;LEFT($B101,3)&amp;"*-"&amp;MID(H$1,2,1)&amp;"*",Data!$F:$F),0)</f>
        <v>0</v>
      </c>
      <c r="I101" s="477"/>
      <c r="J101" s="477"/>
      <c r="K101" s="1679">
        <f>SUM(C101:J101)</f>
        <v>0</v>
      </c>
      <c r="L101" s="466">
        <f>SUMIFS(Data!$G:$G,Data!$A:$A,"1-"&amp;LEFT($B101,3)&amp;"*",Data!$G:$G,"&gt;0")</f>
        <v>0</v>
      </c>
    </row>
    <row r="102" spans="1:14" ht="12.75" customHeight="1" thickTop="1" thickBot="1" x14ac:dyDescent="0.25">
      <c r="A102" s="1668" t="s">
        <v>1567</v>
      </c>
      <c r="B102" s="1678">
        <v>4000</v>
      </c>
      <c r="C102" s="602"/>
      <c r="D102" s="602"/>
      <c r="E102" s="1677">
        <f>SUM(E84,E92,E100,E101)</f>
        <v>0</v>
      </c>
      <c r="F102" s="602"/>
      <c r="G102" s="602"/>
      <c r="H102" s="1677">
        <f>SUM(H84,H92,H100,H101)</f>
        <v>543374</v>
      </c>
      <c r="I102" s="477"/>
      <c r="J102" s="477"/>
      <c r="K102" s="1677">
        <f>SUM(K84,K92,K100,K101)</f>
        <v>543374</v>
      </c>
      <c r="L102" s="1677">
        <f>SUM(L84,L92,L100,L101)</f>
        <v>567535.18000000005</v>
      </c>
    </row>
    <row r="103" spans="1:14" s="619" customFormat="1" ht="15.75" customHeight="1" thickTop="1" x14ac:dyDescent="0.2">
      <c r="A103" s="1614" t="s">
        <v>534</v>
      </c>
      <c r="B103" s="1611" t="s">
        <v>513</v>
      </c>
      <c r="C103" s="602"/>
      <c r="D103" s="602"/>
      <c r="E103" s="602"/>
      <c r="F103" s="602"/>
      <c r="G103" s="602"/>
      <c r="H103" s="604"/>
      <c r="I103" s="468"/>
      <c r="J103" s="468"/>
      <c r="K103" s="604"/>
      <c r="L103" s="604"/>
      <c r="M103" s="184"/>
      <c r="N103" s="184"/>
    </row>
    <row r="104" spans="1:14" s="630" customFormat="1" ht="15.75" customHeight="1" x14ac:dyDescent="0.2">
      <c r="A104" s="628" t="s">
        <v>636</v>
      </c>
      <c r="B104" s="629"/>
      <c r="C104" s="602"/>
      <c r="D104" s="602"/>
      <c r="E104" s="602"/>
      <c r="F104" s="602"/>
      <c r="G104" s="602"/>
      <c r="H104" s="609"/>
      <c r="I104" s="468"/>
      <c r="J104" s="468"/>
      <c r="K104" s="609"/>
      <c r="L104" s="609"/>
      <c r="M104" s="599"/>
      <c r="N104" s="599"/>
    </row>
    <row r="105" spans="1:14" s="583" customFormat="1" x14ac:dyDescent="0.2">
      <c r="A105" s="1506" t="s">
        <v>89</v>
      </c>
      <c r="B105" s="600">
        <v>5110</v>
      </c>
      <c r="C105" s="602"/>
      <c r="D105" s="602"/>
      <c r="E105" s="602"/>
      <c r="F105" s="602"/>
      <c r="G105" s="602"/>
      <c r="H105" s="1945">
        <f>ROUND(SUMIF(Data!$A:$A,"1-"&amp;LEFT($B105,3)&amp;"*-"&amp;MID(H$1,2,1)&amp;"*",Data!$F:$F),0)</f>
        <v>0</v>
      </c>
      <c r="I105" s="468"/>
      <c r="J105" s="468"/>
      <c r="K105" s="1671">
        <f>H105</f>
        <v>0</v>
      </c>
      <c r="L105" s="466">
        <f>SUMIFS(Data!$G:$G,Data!$A:$A,"1-"&amp;LEFT($B105,3)&amp;"*",Data!$G:$G,"&gt;0")</f>
        <v>0</v>
      </c>
      <c r="M105" s="210"/>
      <c r="N105" s="210"/>
    </row>
    <row r="106" spans="1:14" s="583" customFormat="1" x14ac:dyDescent="0.2">
      <c r="A106" s="1506" t="s">
        <v>90</v>
      </c>
      <c r="B106" s="600">
        <v>5120</v>
      </c>
      <c r="C106" s="602"/>
      <c r="D106" s="602"/>
      <c r="E106" s="602"/>
      <c r="F106" s="602"/>
      <c r="G106" s="602"/>
      <c r="H106" s="1945">
        <f>ROUND(SUMIF(Data!$A:$A,"1-"&amp;LEFT($B106,3)&amp;"*-"&amp;MID(H$1,2,1)&amp;"*",Data!$F:$F),0)</f>
        <v>0</v>
      </c>
      <c r="I106" s="468"/>
      <c r="J106" s="468"/>
      <c r="K106" s="1671">
        <f>H106</f>
        <v>0</v>
      </c>
      <c r="L106" s="466">
        <f>SUMIFS(Data!$G:$G,Data!$A:$A,"1-"&amp;LEFT($B106,3)&amp;"*",Data!$G:$G,"&gt;0")</f>
        <v>0</v>
      </c>
      <c r="M106" s="210"/>
      <c r="N106" s="210"/>
    </row>
    <row r="107" spans="1:14" s="583" customFormat="1" ht="12.75" customHeight="1" x14ac:dyDescent="0.2">
      <c r="A107" s="1506" t="s">
        <v>1232</v>
      </c>
      <c r="B107" s="600">
        <v>5130</v>
      </c>
      <c r="C107" s="602"/>
      <c r="D107" s="602"/>
      <c r="E107" s="602"/>
      <c r="F107" s="602"/>
      <c r="G107" s="602"/>
      <c r="H107" s="1945">
        <f>ROUND(SUMIF(Data!$A:$A,"1-"&amp;LEFT($B107,3)&amp;"*-"&amp;MID(H$1,2,1)&amp;"*",Data!$F:$F),0)</f>
        <v>0</v>
      </c>
      <c r="I107" s="468"/>
      <c r="J107" s="468"/>
      <c r="K107" s="1671">
        <f>H107</f>
        <v>0</v>
      </c>
      <c r="L107" s="466">
        <f>SUMIFS(Data!$G:$G,Data!$A:$A,"1-"&amp;LEFT($B107,3)&amp;"*",Data!$G:$G,"&gt;0")</f>
        <v>0</v>
      </c>
      <c r="M107" s="210"/>
      <c r="N107" s="210"/>
    </row>
    <row r="108" spans="1:14" s="583" customFormat="1" x14ac:dyDescent="0.2">
      <c r="A108" s="1506" t="s">
        <v>91</v>
      </c>
      <c r="B108" s="600" t="s">
        <v>610</v>
      </c>
      <c r="C108" s="602"/>
      <c r="D108" s="602"/>
      <c r="E108" s="602"/>
      <c r="F108" s="602"/>
      <c r="G108" s="602"/>
      <c r="H108" s="1945">
        <f>ROUND(SUMIF(Data!$A:$A,"1-"&amp;LEFT($B108,3)&amp;"*-"&amp;MID(H$1,2,1)&amp;"*",Data!$F:$F),0)</f>
        <v>0</v>
      </c>
      <c r="I108" s="468"/>
      <c r="J108" s="468"/>
      <c r="K108" s="1671">
        <f>H108</f>
        <v>0</v>
      </c>
      <c r="L108" s="466">
        <f>SUMIFS(Data!$G:$G,Data!$A:$A,"1-"&amp;LEFT($B108,3)&amp;"*",Data!$G:$G,"&gt;0")</f>
        <v>0</v>
      </c>
      <c r="M108" s="210"/>
      <c r="N108" s="210"/>
    </row>
    <row r="109" spans="1:14" s="583" customFormat="1" x14ac:dyDescent="0.2">
      <c r="A109" s="1506" t="s">
        <v>272</v>
      </c>
      <c r="B109" s="614">
        <v>5150</v>
      </c>
      <c r="C109" s="602"/>
      <c r="D109" s="602"/>
      <c r="E109" s="602"/>
      <c r="F109" s="602"/>
      <c r="G109" s="602"/>
      <c r="H109" s="1945">
        <f>ROUND(SUMIF(Data!$A:$A,"1-"&amp;LEFT($B109,3)&amp;"*-"&amp;MID(H$1,2,1)&amp;"*",Data!$F:$F),0)</f>
        <v>0</v>
      </c>
      <c r="I109" s="468"/>
      <c r="J109" s="468"/>
      <c r="K109" s="1671">
        <f>H109</f>
        <v>0</v>
      </c>
      <c r="L109" s="466">
        <f>SUMIFS(Data!$G:$G,Data!$A:$A,"1-"&amp;LEFT($B109,3)&amp;"*",Data!$G:$G,"&gt;0")</f>
        <v>0</v>
      </c>
      <c r="M109" s="210"/>
      <c r="N109" s="210"/>
    </row>
    <row r="110" spans="1:14" s="583" customFormat="1" ht="12.75" customHeight="1" thickBot="1" x14ac:dyDescent="0.25">
      <c r="A110" s="1668" t="s">
        <v>1164</v>
      </c>
      <c r="B110" s="1675" t="s">
        <v>742</v>
      </c>
      <c r="C110" s="602"/>
      <c r="D110" s="602"/>
      <c r="E110" s="602"/>
      <c r="F110" s="602"/>
      <c r="G110" s="602"/>
      <c r="H110" s="1670">
        <f>SUM(H105:H109)</f>
        <v>0</v>
      </c>
      <c r="I110" s="468"/>
      <c r="J110" s="468"/>
      <c r="K110" s="1670">
        <f>SUM(K105:K109)</f>
        <v>0</v>
      </c>
      <c r="L110" s="1670">
        <f>SUM(L105:L109)</f>
        <v>0</v>
      </c>
      <c r="M110" s="210"/>
      <c r="N110" s="210"/>
    </row>
    <row r="111" spans="1:14" s="583" customFormat="1" ht="12.75" customHeight="1" thickTop="1" x14ac:dyDescent="0.2">
      <c r="A111" s="1516" t="s">
        <v>386</v>
      </c>
      <c r="B111" s="631" t="s">
        <v>38</v>
      </c>
      <c r="C111" s="602"/>
      <c r="D111" s="602"/>
      <c r="E111" s="602"/>
      <c r="F111" s="602"/>
      <c r="G111" s="602"/>
      <c r="H111" s="1945">
        <f>ROUND(SUMIF(Data!$A:$A,"1-"&amp;LEFT($B111,3)&amp;"*-"&amp;MID(H$1,2,1)&amp;"*",Data!$F:$F),0)</f>
        <v>0</v>
      </c>
      <c r="I111" s="468"/>
      <c r="J111" s="468"/>
      <c r="K111" s="1683">
        <f>H111</f>
        <v>0</v>
      </c>
      <c r="L111" s="466">
        <f>SUMIFS(Data!$G:$G,Data!$A:$A,"1-"&amp;LEFT($B111,3)&amp;"*",Data!$G:$G,"&gt;0")</f>
        <v>0</v>
      </c>
      <c r="M111" s="210"/>
      <c r="N111" s="210"/>
    </row>
    <row r="112" spans="1:14" s="583" customFormat="1" ht="12.75" customHeight="1" thickBot="1" x14ac:dyDescent="0.25">
      <c r="A112" s="1668" t="s">
        <v>659</v>
      </c>
      <c r="B112" s="1669" t="s">
        <v>513</v>
      </c>
      <c r="C112" s="602"/>
      <c r="D112" s="602"/>
      <c r="E112" s="602"/>
      <c r="F112" s="602"/>
      <c r="G112" s="602"/>
      <c r="H112" s="1670">
        <f>SUM(H110:H111)</f>
        <v>0</v>
      </c>
      <c r="I112" s="468"/>
      <c r="J112" s="468"/>
      <c r="K112" s="1670">
        <f>SUM(K110:K111)</f>
        <v>0</v>
      </c>
      <c r="L112" s="1677">
        <f>SUM(L110,L111)</f>
        <v>0</v>
      </c>
      <c r="M112" s="210"/>
      <c r="N112" s="210"/>
    </row>
    <row r="113" spans="1:14" s="259" customFormat="1" ht="15.75" customHeight="1" thickTop="1" x14ac:dyDescent="0.2">
      <c r="A113" s="1608" t="s">
        <v>535</v>
      </c>
      <c r="B113" s="1615" t="s">
        <v>916</v>
      </c>
      <c r="C113" s="609"/>
      <c r="D113" s="609"/>
      <c r="E113" s="602"/>
      <c r="F113" s="602"/>
      <c r="G113" s="602"/>
      <c r="H113" s="609"/>
      <c r="I113" s="468"/>
      <c r="J113" s="468"/>
      <c r="K113" s="609"/>
      <c r="L113" s="466">
        <f>SUMIFS(Data!$G:$G,Data!$A:$A,"1-"&amp;LEFT($B113,3)&amp;"*",Data!$G:$G,"&gt;0")</f>
        <v>0</v>
      </c>
      <c r="M113" s="599"/>
      <c r="N113" s="599"/>
    </row>
    <row r="114" spans="1:14" ht="12.75" customHeight="1" thickBot="1" x14ac:dyDescent="0.25">
      <c r="A114" s="1668" t="s">
        <v>50</v>
      </c>
      <c r="B114" s="1682"/>
      <c r="C114" s="1670">
        <f>SUM(C33,C74,C75,C102,C112,C113)</f>
        <v>11051635</v>
      </c>
      <c r="D114" s="1670">
        <f t="shared" ref="D114:K114" si="13">SUM(D33,D74,D75,D102,D112,D113)</f>
        <v>3336442</v>
      </c>
      <c r="E114" s="1670">
        <f t="shared" si="13"/>
        <v>833400</v>
      </c>
      <c r="F114" s="1670">
        <f t="shared" si="13"/>
        <v>923226</v>
      </c>
      <c r="G114" s="1670">
        <f t="shared" si="13"/>
        <v>290928</v>
      </c>
      <c r="H114" s="1670">
        <f>SUM(H33,H74,H75,H102,H112,H113)</f>
        <v>804819</v>
      </c>
      <c r="I114" s="1670">
        <f t="shared" si="13"/>
        <v>0</v>
      </c>
      <c r="J114" s="1670">
        <f t="shared" si="13"/>
        <v>0</v>
      </c>
      <c r="K114" s="1670">
        <f t="shared" si="13"/>
        <v>17240450</v>
      </c>
      <c r="L114" s="1670">
        <f>SUM(L33,L74,L75,L102,L112,L113)</f>
        <v>17786737.25</v>
      </c>
    </row>
    <row r="115" spans="1:14" ht="13.5" thickTop="1" x14ac:dyDescent="0.2">
      <c r="A115" s="2234" t="s">
        <v>1053</v>
      </c>
      <c r="B115" s="2235"/>
      <c r="C115" s="604"/>
      <c r="D115" s="604"/>
      <c r="E115" s="604"/>
      <c r="F115" s="604"/>
      <c r="G115" s="604"/>
      <c r="H115" s="604"/>
      <c r="I115" s="604"/>
      <c r="J115" s="604"/>
      <c r="K115" s="1684">
        <f>'Revenues 9-14'!C275-'Expenditures 15-22'!K114</f>
        <v>721903</v>
      </c>
      <c r="L115" s="604"/>
    </row>
    <row r="116" spans="1:14" s="180" customFormat="1" ht="9" customHeight="1" x14ac:dyDescent="0.2">
      <c r="A116" s="632"/>
      <c r="B116" s="633"/>
      <c r="C116" s="634"/>
      <c r="D116" s="634"/>
      <c r="E116" s="634"/>
      <c r="F116" s="634"/>
      <c r="G116" s="634"/>
      <c r="H116" s="634"/>
      <c r="I116" s="634"/>
      <c r="J116" s="634"/>
      <c r="K116" s="634"/>
      <c r="L116" s="634"/>
      <c r="M116" s="210"/>
      <c r="N116" s="210"/>
    </row>
    <row r="117" spans="1:14" s="635" customFormat="1" ht="16.7" customHeight="1" x14ac:dyDescent="0.2">
      <c r="A117" s="2212" t="s">
        <v>314</v>
      </c>
      <c r="B117" s="2213"/>
      <c r="C117" s="1628"/>
      <c r="D117" s="1629"/>
      <c r="E117" s="1629"/>
      <c r="F117" s="1629"/>
      <c r="G117" s="1629"/>
      <c r="H117" s="1629"/>
      <c r="I117" s="1629"/>
      <c r="J117" s="1629"/>
      <c r="K117" s="1629"/>
      <c r="L117" s="1630"/>
      <c r="M117" s="175"/>
      <c r="N117" s="175"/>
    </row>
    <row r="118" spans="1:14" ht="15.75" customHeight="1" x14ac:dyDescent="0.2">
      <c r="A118" s="1616" t="s">
        <v>1095</v>
      </c>
      <c r="B118" s="1617" t="s">
        <v>590</v>
      </c>
      <c r="C118" s="602"/>
      <c r="D118" s="602"/>
      <c r="E118" s="602"/>
      <c r="F118" s="602"/>
      <c r="G118" s="602"/>
      <c r="H118" s="602"/>
      <c r="I118" s="602"/>
      <c r="J118" s="602"/>
      <c r="K118" s="602"/>
      <c r="L118" s="602"/>
    </row>
    <row r="119" spans="1:14" ht="15.75" customHeight="1" x14ac:dyDescent="0.2">
      <c r="A119" s="636" t="s">
        <v>612</v>
      </c>
      <c r="B119" s="608"/>
      <c r="C119" s="609"/>
      <c r="D119" s="609"/>
      <c r="E119" s="609"/>
      <c r="F119" s="602"/>
      <c r="G119" s="602"/>
      <c r="H119" s="609"/>
      <c r="I119" s="602"/>
      <c r="J119" s="602"/>
      <c r="K119" s="609"/>
      <c r="L119" s="609"/>
    </row>
    <row r="120" spans="1:14" ht="12.75" customHeight="1" x14ac:dyDescent="0.2">
      <c r="A120" s="1510" t="s">
        <v>167</v>
      </c>
      <c r="B120" s="614">
        <v>2190</v>
      </c>
      <c r="C120" s="1945">
        <f>SUMIF(Data!$A:$A,"2-"&amp;LEFT($B120,3)&amp;"*-"&amp;MID(C$1,2,1)&amp;"*",Data!$F:$F)</f>
        <v>0</v>
      </c>
      <c r="D120" s="1945">
        <f>SUMIF(Data!$A:$A,"2-"&amp;LEFT($B120,3)&amp;"*-"&amp;MID(D$1,2,1)&amp;"*",Data!$F:$F)</f>
        <v>0</v>
      </c>
      <c r="E120" s="1945">
        <f>SUMIF(Data!$A:$A,"2-"&amp;LEFT($B120,3)&amp;"*-"&amp;MID(E$1,2,1)&amp;"*",Data!$F:$F)</f>
        <v>0</v>
      </c>
      <c r="F120" s="1945">
        <f>SUMIF(Data!$A:$A,"2-"&amp;LEFT($B120,3)&amp;"*-"&amp;MID(F$1,2,1)&amp;"*",Data!$F:$F)</f>
        <v>0</v>
      </c>
      <c r="G120" s="1945">
        <f>SUMIF(Data!$A:$A,"2-"&amp;LEFT($B120,3)&amp;"*-"&amp;MID(G$1,2,1)&amp;"*",Data!$F:$F)</f>
        <v>0</v>
      </c>
      <c r="H120" s="1945">
        <f>SUMIF(Data!$A:$A,"2-"&amp;LEFT($B120,3)&amp;"*-"&amp;MID(H$1,2,1)&amp;"*",Data!$F:$F)</f>
        <v>0</v>
      </c>
      <c r="I120" s="1945">
        <f>SUMIF(Data!$A:$A,"2-"&amp;LEFT($B120,3)&amp;"*-"&amp;MID(I$1,2,1)&amp;"*",Data!$F:$F)</f>
        <v>0</v>
      </c>
      <c r="J120" s="1945">
        <f>SUMIF(Data!$A:$A,"2-"&amp;LEFT($B120,3)&amp;"*-"&amp;MID(J$1,2,1)&amp;"*",Data!$F:$F)</f>
        <v>0</v>
      </c>
      <c r="K120" s="1671">
        <f>SUM(C120:J120)</f>
        <v>0</v>
      </c>
      <c r="L120" s="466">
        <f>SUMIFS(Data!$G:$G,Data!$A:$A,"2-"&amp;LEFT($B120,3)&amp;"*",Data!$G:$G,"&gt;0")</f>
        <v>0</v>
      </c>
    </row>
    <row r="121" spans="1:14" ht="15.75" customHeight="1" x14ac:dyDescent="0.2">
      <c r="A121" s="637" t="s">
        <v>633</v>
      </c>
      <c r="B121" s="608"/>
      <c r="C121" s="521"/>
      <c r="D121" s="521"/>
      <c r="E121" s="521"/>
      <c r="F121" s="521"/>
      <c r="G121" s="521"/>
      <c r="H121" s="521"/>
      <c r="I121" s="602"/>
      <c r="J121" s="602"/>
      <c r="K121" s="609"/>
      <c r="L121" s="521"/>
    </row>
    <row r="122" spans="1:14" ht="13.5" thickBot="1" x14ac:dyDescent="0.25">
      <c r="A122" s="1506" t="s">
        <v>1128</v>
      </c>
      <c r="B122" s="600">
        <v>2510</v>
      </c>
      <c r="C122" s="1945">
        <f>SUMIF(Data!$A:$A,"2-"&amp;LEFT($B122,3)&amp;"*-"&amp;MID(C$1,2,1)&amp;"*",Data!$F:$F)</f>
        <v>0</v>
      </c>
      <c r="D122" s="1945">
        <f>SUMIF(Data!$A:$A,"2-"&amp;LEFT($B122,3)&amp;"*-"&amp;MID(D$1,2,1)&amp;"*",Data!$F:$F)</f>
        <v>0</v>
      </c>
      <c r="E122" s="1945">
        <f>SUMIF(Data!$A:$A,"2-"&amp;LEFT($B122,3)&amp;"*-"&amp;MID(E$1,2,1)&amp;"*",Data!$F:$F)</f>
        <v>0</v>
      </c>
      <c r="F122" s="1945">
        <f>SUMIF(Data!$A:$A,"2-"&amp;LEFT($B122,3)&amp;"*-"&amp;MID(F$1,2,1)&amp;"*",Data!$F:$F)</f>
        <v>0</v>
      </c>
      <c r="G122" s="1945">
        <f>SUMIF(Data!$A:$A,"2-"&amp;LEFT($B122,3)&amp;"*-"&amp;MID(G$1,2,1)&amp;"*",Data!$F:$F)</f>
        <v>0</v>
      </c>
      <c r="H122" s="1945">
        <f>SUMIF(Data!$A:$A,"2-"&amp;LEFT($B122,3)&amp;"*-"&amp;MID(H$1,2,1)&amp;"*",Data!$F:$F)</f>
        <v>0</v>
      </c>
      <c r="I122" s="1945">
        <f>SUMIF(Data!$A:$A,"2-"&amp;LEFT($B122,3)&amp;"*-"&amp;MID(I$1,2,1)&amp;"*",Data!$F:$F)</f>
        <v>0</v>
      </c>
      <c r="J122" s="1945">
        <f>SUMIF(Data!$A:$A,"2-"&amp;LEFT($B122,3)&amp;"*-"&amp;MID(J$1,2,1)&amp;"*",Data!$F:$F)</f>
        <v>0</v>
      </c>
      <c r="K122" s="1670">
        <f>SUM(C122:J122)</f>
        <v>0</v>
      </c>
      <c r="L122" s="466">
        <f>SUMIFS(Data!$G:$G,Data!$A:$A,"2-"&amp;LEFT($B122,3)&amp;"*",Data!$G:$G,"&gt;0")</f>
        <v>0</v>
      </c>
    </row>
    <row r="123" spans="1:14" ht="14.25" thickTop="1" thickBot="1" x14ac:dyDescent="0.25">
      <c r="A123" s="1506" t="s">
        <v>4</v>
      </c>
      <c r="B123" s="600">
        <v>2530</v>
      </c>
      <c r="C123" s="1945">
        <f>SUMIF(Data!$A:$A,"2-"&amp;LEFT($B123,3)&amp;"*-"&amp;MID(C$1,2,1)&amp;"*",Data!$F:$F)</f>
        <v>0</v>
      </c>
      <c r="D123" s="1945">
        <f>SUMIF(Data!$A:$A,"2-"&amp;LEFT($B123,3)&amp;"*-"&amp;MID(D$1,2,1)&amp;"*",Data!$F:$F)</f>
        <v>0</v>
      </c>
      <c r="E123" s="1945">
        <f>SUMIF(Data!$A:$A,"2-"&amp;LEFT($B123,3)&amp;"*-"&amp;MID(E$1,2,1)&amp;"*",Data!$F:$F)</f>
        <v>0</v>
      </c>
      <c r="F123" s="1945">
        <f>SUMIF(Data!$A:$A,"2-"&amp;LEFT($B123,3)&amp;"*-"&amp;MID(F$1,2,1)&amp;"*",Data!$F:$F)</f>
        <v>0</v>
      </c>
      <c r="G123" s="1945">
        <f>SUMIF(Data!$A:$A,"2-"&amp;LEFT($B123,3)&amp;"*-"&amp;MID(G$1,2,1)&amp;"*",Data!$F:$F)</f>
        <v>0</v>
      </c>
      <c r="H123" s="1945">
        <f>SUMIF(Data!$A:$A,"2-"&amp;LEFT($B123,3)&amp;"*-"&amp;MID(H$1,2,1)&amp;"*",Data!$F:$F)</f>
        <v>0</v>
      </c>
      <c r="I123" s="1945">
        <f>SUMIF(Data!$A:$A,"2-"&amp;LEFT($B123,3)&amp;"*-"&amp;MID(I$1,2,1)&amp;"*",Data!$F:$F)</f>
        <v>0</v>
      </c>
      <c r="J123" s="1945">
        <f>SUMIF(Data!$A:$A,"2-"&amp;LEFT($B123,3)&amp;"*-"&amp;MID(J$1,2,1)&amp;"*",Data!$F:$F)</f>
        <v>0</v>
      </c>
      <c r="K123" s="1670">
        <f>SUM(C123:J123)</f>
        <v>0</v>
      </c>
      <c r="L123" s="466">
        <f>SUMIFS(Data!$G:$G,Data!$A:$A,"2-"&amp;LEFT($B123,3)&amp;"*",Data!$G:$G,"&gt;0")</f>
        <v>0</v>
      </c>
    </row>
    <row r="124" spans="1:14" ht="14.25" thickTop="1" thickBot="1" x14ac:dyDescent="0.25">
      <c r="A124" s="1506" t="s">
        <v>206</v>
      </c>
      <c r="B124" s="600">
        <v>2540</v>
      </c>
      <c r="C124" s="1945">
        <f>SUMIF(Data!$A:$A,"2-"&amp;LEFT($B124,3)&amp;"*-"&amp;MID(C$1,2,1)&amp;"*",Data!$F:$F)</f>
        <v>864913.28</v>
      </c>
      <c r="D124" s="1945">
        <f>SUMIF(Data!$A:$A,"2-"&amp;LEFT($B124,3)&amp;"*-"&amp;MID(D$1,2,1)&amp;"*",Data!$F:$F)</f>
        <v>175308.03</v>
      </c>
      <c r="E124" s="1945">
        <f>SUMIF(Data!$A:$A,"2-"&amp;LEFT($B124,3)&amp;"*-"&amp;MID(E$1,2,1)&amp;"*",Data!$F:$F)</f>
        <v>125928.15000000001</v>
      </c>
      <c r="F124" s="1945">
        <f>SUMIF(Data!$A:$A,"2-"&amp;LEFT($B124,3)&amp;"*-"&amp;MID(F$1,2,1)&amp;"*",Data!$F:$F)</f>
        <v>86891.07</v>
      </c>
      <c r="G124" s="1945">
        <f>SUMIF(Data!$A:$A,"2-"&amp;LEFT($B124,3)&amp;"*-"&amp;MID(G$1,2,1)&amp;"*",Data!$F:$F)</f>
        <v>218636.6</v>
      </c>
      <c r="H124" s="1945">
        <f>SUMIF(Data!$A:$A,"2-"&amp;LEFT($B124,3)&amp;"*-"&amp;MID(H$1,2,1)&amp;"*",Data!$F:$F)</f>
        <v>0</v>
      </c>
      <c r="I124" s="1945">
        <f>SUMIF(Data!$A:$A,"2-"&amp;LEFT($B124,3)&amp;"*-"&amp;MID(I$1,2,1)&amp;"*",Data!$F:$F)</f>
        <v>0</v>
      </c>
      <c r="J124" s="1945">
        <f>SUMIF(Data!$A:$A,"2-"&amp;LEFT($B124,3)&amp;"*-"&amp;MID(J$1,2,1)&amp;"*",Data!$F:$F)</f>
        <v>0</v>
      </c>
      <c r="K124" s="1670">
        <f>SUM(C124:J124)</f>
        <v>1471677.1300000001</v>
      </c>
      <c r="L124" s="466">
        <f>SUMIFS(Data!$G:$G,Data!$A:$A,"2-"&amp;LEFT($B124,3)&amp;"*",Data!$G:$G,"&gt;0")</f>
        <v>1504614</v>
      </c>
    </row>
    <row r="125" spans="1:14" ht="14.25" thickTop="1" thickBot="1" x14ac:dyDescent="0.25">
      <c r="A125" s="1506" t="s">
        <v>1010</v>
      </c>
      <c r="B125" s="600">
        <v>2550</v>
      </c>
      <c r="C125" s="1945">
        <f>SUMIF(Data!$A:$A,"2-"&amp;LEFT($B125,3)&amp;"*-"&amp;MID(C$1,2,1)&amp;"*",Data!$F:$F)</f>
        <v>0</v>
      </c>
      <c r="D125" s="1945">
        <f>SUMIF(Data!$A:$A,"2-"&amp;LEFT($B125,3)&amp;"*-"&amp;MID(D$1,2,1)&amp;"*",Data!$F:$F)</f>
        <v>0</v>
      </c>
      <c r="E125" s="1945">
        <f>SUMIF(Data!$A:$A,"2-"&amp;LEFT($B125,3)&amp;"*-"&amp;MID(E$1,2,1)&amp;"*",Data!$F:$F)</f>
        <v>0</v>
      </c>
      <c r="F125" s="1945">
        <f>SUMIF(Data!$A:$A,"2-"&amp;LEFT($B125,3)&amp;"*-"&amp;MID(F$1,2,1)&amp;"*",Data!$F:$F)</f>
        <v>0</v>
      </c>
      <c r="G125" s="1945">
        <f>SUMIF(Data!$A:$A,"2-"&amp;LEFT($B125,3)&amp;"*-"&amp;MID(G$1,2,1)&amp;"*",Data!$F:$F)</f>
        <v>0</v>
      </c>
      <c r="H125" s="1945">
        <f>SUMIF(Data!$A:$A,"2-"&amp;LEFT($B125,3)&amp;"*-"&amp;MID(H$1,2,1)&amp;"*",Data!$F:$F)</f>
        <v>0</v>
      </c>
      <c r="I125" s="1945">
        <f>SUMIF(Data!$A:$A,"2-"&amp;LEFT($B125,3)&amp;"*-"&amp;MID(I$1,2,1)&amp;"*",Data!$F:$F)</f>
        <v>0</v>
      </c>
      <c r="J125" s="1945">
        <f>SUMIF(Data!$A:$A,"2-"&amp;LEFT($B125,3)&amp;"*-"&amp;MID(J$1,2,1)&amp;"*",Data!$F:$F)</f>
        <v>0</v>
      </c>
      <c r="K125" s="1670">
        <f>SUM(C125:J125)</f>
        <v>0</v>
      </c>
      <c r="L125" s="466">
        <f>SUMIFS(Data!$G:$G,Data!$A:$A,"2-"&amp;LEFT($B125,3)&amp;"*",Data!$G:$G,"&gt;0")</f>
        <v>0</v>
      </c>
    </row>
    <row r="126" spans="1:14" ht="14.25" thickTop="1" thickBot="1" x14ac:dyDescent="0.25">
      <c r="A126" s="1506" t="s">
        <v>102</v>
      </c>
      <c r="B126" s="600">
        <v>2560</v>
      </c>
      <c r="C126" s="638"/>
      <c r="D126" s="638"/>
      <c r="E126" s="638"/>
      <c r="F126" s="638"/>
      <c r="G126" s="1945">
        <f>SUMIF(Data!$A:$A,"2-"&amp;LEFT($B126,3)&amp;"*-"&amp;MID(G$1,2,1)&amp;"*",Data!$F:$F)</f>
        <v>0</v>
      </c>
      <c r="H126" s="638"/>
      <c r="I126" s="1945">
        <f>SUMIF(Data!$A:$A,"2-"&amp;LEFT($B126,3)&amp;"*-"&amp;MID(I$1,2,1)&amp;"*",Data!$F:$F)</f>
        <v>0</v>
      </c>
      <c r="J126" s="602"/>
      <c r="K126" s="1670">
        <f>SUM(C126:J126)</f>
        <v>0</v>
      </c>
      <c r="L126" s="466">
        <f>SUMIFS(Data!$G:$G,Data!$A:$A,"2-"&amp;LEFT($B126,3)&amp;"*",Data!$G:$G,"&gt;0")</f>
        <v>0</v>
      </c>
    </row>
    <row r="127" spans="1:14" ht="12.75" customHeight="1" thickTop="1" thickBot="1" x14ac:dyDescent="0.25">
      <c r="A127" s="1668" t="s">
        <v>743</v>
      </c>
      <c r="B127" s="1669" t="s">
        <v>35</v>
      </c>
      <c r="C127" s="1670">
        <f>SUM(C122:C126)</f>
        <v>864913.28</v>
      </c>
      <c r="D127" s="1670">
        <f t="shared" ref="D127:L127" si="14">SUM(D122:D126)</f>
        <v>175308.03</v>
      </c>
      <c r="E127" s="1670">
        <f t="shared" si="14"/>
        <v>125928.15000000001</v>
      </c>
      <c r="F127" s="1670">
        <f t="shared" si="14"/>
        <v>86891.07</v>
      </c>
      <c r="G127" s="1670">
        <f t="shared" si="14"/>
        <v>218636.6</v>
      </c>
      <c r="H127" s="1670">
        <f t="shared" si="14"/>
        <v>0</v>
      </c>
      <c r="I127" s="1670">
        <f t="shared" si="14"/>
        <v>0</v>
      </c>
      <c r="J127" s="1670">
        <f t="shared" si="14"/>
        <v>0</v>
      </c>
      <c r="K127" s="1670">
        <f t="shared" si="14"/>
        <v>1471677.1300000001</v>
      </c>
      <c r="L127" s="1670">
        <f t="shared" si="14"/>
        <v>1504614</v>
      </c>
    </row>
    <row r="128" spans="1:14" ht="12.75" customHeight="1" thickTop="1" x14ac:dyDescent="0.2">
      <c r="A128" s="1513" t="s">
        <v>1037</v>
      </c>
      <c r="B128" s="639" t="s">
        <v>595</v>
      </c>
      <c r="C128" s="1945">
        <f>SUMIF(Data!$A:$A,"2-"&amp;LEFT($B128,3)&amp;"*-"&amp;MID(C$1,2,1)&amp;"*",Data!$F:$F)</f>
        <v>0</v>
      </c>
      <c r="D128" s="1945">
        <f>SUMIF(Data!$A:$A,"2-"&amp;LEFT($B128,3)&amp;"*-"&amp;MID(D$1,2,1)&amp;"*",Data!$F:$F)</f>
        <v>0</v>
      </c>
      <c r="E128" s="1945">
        <f>SUMIF(Data!$A:$A,"2-"&amp;LEFT($B128,3)&amp;"*-"&amp;MID(E$1,2,1)&amp;"*",Data!$F:$F)</f>
        <v>0</v>
      </c>
      <c r="F128" s="1945">
        <f>SUMIF(Data!$A:$A,"2-"&amp;LEFT($B128,3)&amp;"*-"&amp;MID(F$1,2,1)&amp;"*",Data!$F:$F)</f>
        <v>0</v>
      </c>
      <c r="G128" s="1945">
        <f>SUMIF(Data!$A:$A,"2-"&amp;LEFT($B128,3)&amp;"*-"&amp;MID(G$1,2,1)&amp;"*",Data!$F:$F)</f>
        <v>0</v>
      </c>
      <c r="H128" s="1945">
        <f>SUMIF(Data!$A:$A,"2-"&amp;LEFT($B128,3)&amp;"*-"&amp;MID(H$1,2,1)&amp;"*",Data!$F:$F)</f>
        <v>0</v>
      </c>
      <c r="I128" s="1945">
        <f>SUMIF(Data!$A:$A,"2-"&amp;LEFT($B128,3)&amp;"*-"&amp;MID(I$1,2,1)&amp;"*",Data!$F:$F)</f>
        <v>0</v>
      </c>
      <c r="J128" s="1945">
        <f>SUMIF(Data!$A:$A,"2-"&amp;LEFT($B128,3)&amp;"*-"&amp;MID(J$1,2,1)&amp;"*",Data!$F:$F)</f>
        <v>0</v>
      </c>
      <c r="K128" s="1685">
        <f>SUM(C128:J128)</f>
        <v>0</v>
      </c>
      <c r="L128" s="466">
        <f>SUMIFS(Data!$G:$G,Data!$A:$A,"2-"&amp;LEFT($B128,3)&amp;"*",Data!$G:$G,"&gt;0")</f>
        <v>0</v>
      </c>
    </row>
    <row r="129" spans="1:14" ht="12.75" customHeight="1" thickBot="1" x14ac:dyDescent="0.25">
      <c r="A129" s="1686" t="s">
        <v>865</v>
      </c>
      <c r="B129" s="1687" t="s">
        <v>590</v>
      </c>
      <c r="C129" s="1677">
        <f>SUM(C120,C127,C128)</f>
        <v>864913.28</v>
      </c>
      <c r="D129" s="1677">
        <f t="shared" ref="D129:L129" si="15">SUM(D120,D127,D128)</f>
        <v>175308.03</v>
      </c>
      <c r="E129" s="1677">
        <f t="shared" si="15"/>
        <v>125928.15000000001</v>
      </c>
      <c r="F129" s="1677">
        <f t="shared" si="15"/>
        <v>86891.07</v>
      </c>
      <c r="G129" s="1677">
        <f t="shared" si="15"/>
        <v>218636.6</v>
      </c>
      <c r="H129" s="1677">
        <f t="shared" si="15"/>
        <v>0</v>
      </c>
      <c r="I129" s="1677">
        <f t="shared" si="15"/>
        <v>0</v>
      </c>
      <c r="J129" s="1677">
        <f t="shared" si="15"/>
        <v>0</v>
      </c>
      <c r="K129" s="1677">
        <f t="shared" si="15"/>
        <v>1471677.1300000001</v>
      </c>
      <c r="L129" s="1677">
        <f t="shared" si="15"/>
        <v>1504614</v>
      </c>
    </row>
    <row r="130" spans="1:14" ht="15.75" customHeight="1" thickTop="1" thickBot="1" x14ac:dyDescent="0.25">
      <c r="A130" s="1612" t="s">
        <v>1096</v>
      </c>
      <c r="B130" s="1613" t="s">
        <v>596</v>
      </c>
      <c r="C130" s="1945">
        <f>SUMIF(Data!$A:$A,"2-"&amp;LEFT($B130,3)&amp;"*-"&amp;MID(C$1,2,1)&amp;"*",Data!$F:$F)</f>
        <v>0</v>
      </c>
      <c r="D130" s="1945">
        <f>SUMIF(Data!$A:$A,"2-"&amp;LEFT($B130,3)&amp;"*-"&amp;MID(D$1,2,1)&amp;"*",Data!$F:$F)</f>
        <v>0</v>
      </c>
      <c r="E130" s="1945">
        <f>SUMIF(Data!$A:$A,"2-"&amp;LEFT($B130,3)&amp;"*-"&amp;MID(E$1,2,1)&amp;"*",Data!$F:$F)</f>
        <v>0</v>
      </c>
      <c r="F130" s="1945">
        <f>SUMIF(Data!$A:$A,"2-"&amp;LEFT($B130,3)&amp;"*-"&amp;MID(F$1,2,1)&amp;"*",Data!$F:$F)</f>
        <v>0</v>
      </c>
      <c r="G130" s="1945">
        <f>SUMIF(Data!$A:$A,"2-"&amp;LEFT($B130,3)&amp;"*-"&amp;MID(G$1,2,1)&amp;"*",Data!$F:$F)</f>
        <v>0</v>
      </c>
      <c r="H130" s="1945">
        <f>SUMIF(Data!$A:$A,"2-"&amp;LEFT($B130,3)&amp;"*-"&amp;MID(H$1,2,1)&amp;"*",Data!$F:$F)</f>
        <v>0</v>
      </c>
      <c r="I130" s="1945">
        <f>SUMIF(Data!$A:$A,"2-"&amp;LEFT($B130,3)&amp;"*-"&amp;MID(I$1,2,1)&amp;"*",Data!$F:$F)</f>
        <v>0</v>
      </c>
      <c r="J130" s="1945">
        <f>SUMIF(Data!$A:$A,"2-"&amp;LEFT($B130,3)&amp;"*-"&amp;MID(J$1,2,1)&amp;"*",Data!$F:$F)</f>
        <v>0</v>
      </c>
      <c r="K130" s="1670">
        <f>SUM(C130:J130)</f>
        <v>0</v>
      </c>
      <c r="L130" s="466">
        <f>SUMIFS(Data!$G:$G,Data!$A:$A,"2-"&amp;LEFT($B130,3)&amp;"*",Data!$G:$G,"&gt;0")</f>
        <v>0</v>
      </c>
    </row>
    <row r="131" spans="1:14" ht="15.75" customHeight="1" thickTop="1" x14ac:dyDescent="0.2">
      <c r="A131" s="1618" t="s">
        <v>637</v>
      </c>
      <c r="B131" s="1611" t="s">
        <v>915</v>
      </c>
      <c r="C131" s="468"/>
      <c r="D131" s="468"/>
      <c r="E131" s="564"/>
      <c r="F131" s="468"/>
      <c r="G131" s="468"/>
      <c r="H131" s="564"/>
      <c r="I131" s="468"/>
      <c r="J131" s="468"/>
      <c r="K131" s="564"/>
      <c r="L131" s="564"/>
    </row>
    <row r="132" spans="1:14" s="384" customFormat="1" ht="13.5" customHeight="1" x14ac:dyDescent="0.2">
      <c r="A132" s="641" t="s">
        <v>635</v>
      </c>
      <c r="B132" s="642"/>
      <c r="C132" s="468"/>
      <c r="D132" s="468"/>
      <c r="E132" s="521"/>
      <c r="F132" s="468"/>
      <c r="G132" s="468"/>
      <c r="H132" s="521"/>
      <c r="I132" s="468"/>
      <c r="J132" s="468"/>
      <c r="K132" s="521"/>
      <c r="L132" s="521"/>
      <c r="M132" s="206"/>
      <c r="N132" s="206"/>
    </row>
    <row r="133" spans="1:14" s="384" customFormat="1" ht="13.5" customHeight="1" x14ac:dyDescent="0.2">
      <c r="A133" s="1492" t="s">
        <v>517</v>
      </c>
      <c r="B133" s="1842" t="s">
        <v>1953</v>
      </c>
      <c r="C133" s="468"/>
      <c r="D133" s="468"/>
      <c r="E133" s="1945">
        <f>SUMIF(Data!$A:$A,"2-"&amp;LEFT($B133,3)&amp;"*-"&amp;MID(E$1,2,1)&amp;"*",Data!$F:$F)</f>
        <v>0</v>
      </c>
      <c r="F133" s="468"/>
      <c r="G133" s="468"/>
      <c r="H133" s="1945">
        <f>SUMIF(Data!$A:$A,"2-"&amp;LEFT($B133,3)&amp;"*-"&amp;MID(H$1,2,1)&amp;"*",Data!$F:$F)</f>
        <v>0</v>
      </c>
      <c r="I133" s="468"/>
      <c r="J133" s="468"/>
      <c r="K133" s="1822">
        <f>SUM(E133,H133)</f>
        <v>0</v>
      </c>
      <c r="L133" s="466">
        <f>SUMIFS(Data!$G:$G,Data!$A:$A,"2-"&amp;LEFT($B133,3)&amp;"*",Data!$G:$G,"&gt;0")</f>
        <v>0</v>
      </c>
      <c r="M133" s="206"/>
      <c r="N133" s="206"/>
    </row>
    <row r="134" spans="1:14" x14ac:dyDescent="0.2">
      <c r="A134" s="1506" t="s">
        <v>322</v>
      </c>
      <c r="B134" s="600">
        <v>4120</v>
      </c>
      <c r="C134" s="602"/>
      <c r="D134" s="602"/>
      <c r="E134" s="1945">
        <f>SUMIF(Data!$A:$A,"2-"&amp;LEFT($B134,3)&amp;"*-"&amp;MID(E$1,2,1)&amp;"*",Data!$F:$F)</f>
        <v>0</v>
      </c>
      <c r="F134" s="602"/>
      <c r="G134" s="602"/>
      <c r="H134" s="1945">
        <f>SUMIF(Data!$A:$A,"2-"&amp;LEFT($B134,3)&amp;"*-"&amp;MID(H$1,2,1)&amp;"*",Data!$F:$F)</f>
        <v>0</v>
      </c>
      <c r="I134" s="477"/>
      <c r="J134" s="602"/>
      <c r="K134" s="1672">
        <f>SUM(E134,H134)</f>
        <v>0</v>
      </c>
      <c r="L134" s="466">
        <f>SUMIFS(Data!$G:$G,Data!$A:$A,"2-"&amp;LEFT($B134,3)&amp;"*",Data!$G:$G,"&gt;0")</f>
        <v>0</v>
      </c>
    </row>
    <row r="135" spans="1:14" x14ac:dyDescent="0.2">
      <c r="A135" s="1506" t="s">
        <v>721</v>
      </c>
      <c r="B135" s="600">
        <v>4140</v>
      </c>
      <c r="C135" s="602"/>
      <c r="D135" s="602"/>
      <c r="E135" s="1945">
        <f>SUMIF(Data!$A:$A,"2-"&amp;LEFT($B135,3)&amp;"*-"&amp;MID(E$1,2,1)&amp;"*",Data!$F:$F)</f>
        <v>0</v>
      </c>
      <c r="F135" s="602"/>
      <c r="G135" s="602"/>
      <c r="H135" s="1945">
        <f>SUMIF(Data!$A:$A,"2-"&amp;LEFT($B135,3)&amp;"*-"&amp;MID(H$1,2,1)&amp;"*",Data!$F:$F)</f>
        <v>0</v>
      </c>
      <c r="I135" s="477"/>
      <c r="J135" s="602"/>
      <c r="K135" s="1672">
        <f>SUM(E135,H135)</f>
        <v>0</v>
      </c>
      <c r="L135" s="466">
        <f>SUMIFS(Data!$G:$G,Data!$A:$A,"2-"&amp;LEFT($B135,3)&amp;"*",Data!$G:$G,"&gt;0")</f>
        <v>0</v>
      </c>
    </row>
    <row r="136" spans="1:14" x14ac:dyDescent="0.2">
      <c r="A136" s="1510" t="s">
        <v>722</v>
      </c>
      <c r="B136" s="614">
        <v>4190</v>
      </c>
      <c r="C136" s="602"/>
      <c r="D136" s="602"/>
      <c r="E136" s="1945">
        <f>SUMIF(Data!$A:$A,"2-"&amp;LEFT($B136,3)&amp;"*-"&amp;MID(E$1,2,1)&amp;"*",Data!$F:$F)</f>
        <v>0</v>
      </c>
      <c r="F136" s="602"/>
      <c r="G136" s="602"/>
      <c r="H136" s="1945">
        <f>SUMIF(Data!$A:$A,"2-"&amp;LEFT($B136,3)&amp;"*-"&amp;MID(H$1,2,1)&amp;"*",Data!$F:$F)</f>
        <v>0</v>
      </c>
      <c r="I136" s="477"/>
      <c r="J136" s="602"/>
      <c r="K136" s="1672">
        <f>SUM(E136,H136)</f>
        <v>0</v>
      </c>
      <c r="L136" s="466">
        <f>SUMIFS(Data!$G:$G,Data!$A:$A,"2-"&amp;LEFT($B136,3)&amp;"*",Data!$G:$G,"&gt;0")</f>
        <v>0</v>
      </c>
    </row>
    <row r="137" spans="1:14" ht="12.75" customHeight="1" thickBot="1" x14ac:dyDescent="0.25">
      <c r="A137" s="1668" t="s">
        <v>501</v>
      </c>
      <c r="B137" s="1678">
        <v>4100</v>
      </c>
      <c r="C137" s="602"/>
      <c r="D137" s="602"/>
      <c r="E137" s="1670">
        <f>SUM(E133:E136)</f>
        <v>0</v>
      </c>
      <c r="F137" s="602"/>
      <c r="G137" s="602"/>
      <c r="H137" s="1670">
        <f>SUM(H133:H136)</f>
        <v>0</v>
      </c>
      <c r="I137" s="477"/>
      <c r="J137" s="602"/>
      <c r="K137" s="1670">
        <f>SUM(K133:K136)</f>
        <v>0</v>
      </c>
      <c r="L137" s="1670">
        <f>SUM(L133:L136)</f>
        <v>0</v>
      </c>
    </row>
    <row r="138" spans="1:14" ht="12.75" customHeight="1" thickTop="1" thickBot="1" x14ac:dyDescent="0.25">
      <c r="A138" s="1512" t="s">
        <v>98</v>
      </c>
      <c r="B138" s="627" t="s">
        <v>988</v>
      </c>
      <c r="C138" s="602"/>
      <c r="D138" s="602"/>
      <c r="E138" s="1945">
        <f>SUMIF(Data!$A:$A,"2-"&amp;LEFT($B138,3)&amp;"*-"&amp;MID(E$1,2,1)&amp;"*",Data!$F:$F)</f>
        <v>0</v>
      </c>
      <c r="F138" s="602"/>
      <c r="G138" s="602"/>
      <c r="H138" s="1945">
        <f>SUMIF(Data!$A:$A,"2-"&amp;LEFT($B138,3)&amp;"*-"&amp;MID(H$1,2,1)&amp;"*",Data!$F:$F)</f>
        <v>0</v>
      </c>
      <c r="I138" s="477"/>
      <c r="J138" s="602"/>
      <c r="K138" s="1672">
        <f>SUM(E138,H138)</f>
        <v>0</v>
      </c>
      <c r="L138" s="466">
        <f>SUMIFS(Data!$G:$G,Data!$A:$A,"2-"&amp;LEFT($B138,3)&amp;"*",Data!$G:$G,"&gt;0")</f>
        <v>0</v>
      </c>
    </row>
    <row r="139" spans="1:14" ht="12.75" customHeight="1" thickTop="1" thickBot="1" x14ac:dyDescent="0.25">
      <c r="A139" s="1668" t="s">
        <v>1567</v>
      </c>
      <c r="B139" s="1678">
        <v>4000</v>
      </c>
      <c r="C139" s="602"/>
      <c r="D139" s="602"/>
      <c r="E139" s="1670">
        <f>SUM(E137,E138)</f>
        <v>0</v>
      </c>
      <c r="F139" s="602"/>
      <c r="G139" s="602"/>
      <c r="H139" s="1679">
        <f>SUM(H137:H138)</f>
        <v>0</v>
      </c>
      <c r="I139" s="477"/>
      <c r="J139" s="602"/>
      <c r="K139" s="1672">
        <f>SUM(K137,K138)</f>
        <v>0</v>
      </c>
      <c r="L139" s="1679">
        <f>SUM(L137,L138)</f>
        <v>0</v>
      </c>
    </row>
    <row r="140" spans="1:14" ht="15.75" customHeight="1" thickTop="1" x14ac:dyDescent="0.2">
      <c r="A140" s="1614" t="s">
        <v>1097</v>
      </c>
      <c r="B140" s="1615" t="s">
        <v>513</v>
      </c>
      <c r="C140" s="602"/>
      <c r="D140" s="602"/>
      <c r="E140" s="623"/>
      <c r="F140" s="623"/>
      <c r="G140" s="623"/>
      <c r="H140" s="621"/>
      <c r="I140" s="477"/>
      <c r="J140" s="623"/>
      <c r="K140" s="621"/>
      <c r="L140" s="621"/>
    </row>
    <row r="141" spans="1:14" ht="15.75" customHeight="1" x14ac:dyDescent="0.2">
      <c r="A141" s="637" t="s">
        <v>636</v>
      </c>
      <c r="B141" s="608"/>
      <c r="C141" s="602"/>
      <c r="D141" s="602"/>
      <c r="E141" s="602"/>
      <c r="F141" s="602"/>
      <c r="G141" s="602"/>
      <c r="H141" s="609"/>
      <c r="I141" s="468"/>
      <c r="J141" s="602"/>
      <c r="K141" s="609"/>
      <c r="L141" s="609"/>
    </row>
    <row r="142" spans="1:14" x14ac:dyDescent="0.2">
      <c r="A142" s="1506" t="s">
        <v>89</v>
      </c>
      <c r="B142" s="600">
        <v>5110</v>
      </c>
      <c r="C142" s="602"/>
      <c r="D142" s="602"/>
      <c r="E142" s="602"/>
      <c r="F142" s="602"/>
      <c r="G142" s="602"/>
      <c r="H142" s="1945">
        <f>SUMIF(Data!$A:$A,"2-"&amp;LEFT($B142,3)&amp;"*-"&amp;MID(H$1,2,1)&amp;"*",Data!$F:$F)</f>
        <v>0</v>
      </c>
      <c r="I142" s="468"/>
      <c r="J142" s="602"/>
      <c r="K142" s="1672">
        <f>SUM(H142)</f>
        <v>0</v>
      </c>
      <c r="L142" s="466">
        <f>SUMIFS(Data!$G:$G,Data!$A:$A,"2-"&amp;LEFT($B142,3)&amp;"*",Data!$G:$G,"&gt;0")</f>
        <v>0</v>
      </c>
    </row>
    <row r="143" spans="1:14" x14ac:dyDescent="0.2">
      <c r="A143" s="1506" t="s">
        <v>90</v>
      </c>
      <c r="B143" s="600">
        <v>5120</v>
      </c>
      <c r="C143" s="602"/>
      <c r="D143" s="602"/>
      <c r="E143" s="602"/>
      <c r="F143" s="602"/>
      <c r="G143" s="602"/>
      <c r="H143" s="1945">
        <f>SUMIF(Data!$A:$A,"2-"&amp;LEFT($B143,3)&amp;"*-"&amp;MID(H$1,2,1)&amp;"*",Data!$F:$F)</f>
        <v>0</v>
      </c>
      <c r="I143" s="468"/>
      <c r="J143" s="602"/>
      <c r="K143" s="1672">
        <f>SUM(H143)</f>
        <v>0</v>
      </c>
      <c r="L143" s="466">
        <f>SUMIFS(Data!$G:$G,Data!$A:$A,"2-"&amp;LEFT($B143,3)&amp;"*",Data!$G:$G,"&gt;0")</f>
        <v>0</v>
      </c>
    </row>
    <row r="144" spans="1:14" ht="12.75" customHeight="1" x14ac:dyDescent="0.2">
      <c r="A144" s="1506" t="s">
        <v>1232</v>
      </c>
      <c r="B144" s="614" t="s">
        <v>638</v>
      </c>
      <c r="C144" s="602"/>
      <c r="D144" s="602"/>
      <c r="E144" s="602"/>
      <c r="F144" s="602"/>
      <c r="G144" s="602"/>
      <c r="H144" s="1945">
        <f>SUMIF(Data!$A:$A,"2-"&amp;LEFT($B144,3)&amp;"*-"&amp;MID(H$1,2,1)&amp;"*",Data!$F:$F)</f>
        <v>0</v>
      </c>
      <c r="I144" s="468"/>
      <c r="J144" s="602"/>
      <c r="K144" s="1672">
        <f>SUM(H144)</f>
        <v>0</v>
      </c>
      <c r="L144" s="466">
        <f>SUMIFS(Data!$G:$G,Data!$A:$A,"2-"&amp;LEFT($B144,3)&amp;"*",Data!$G:$G,"&gt;0")</f>
        <v>0</v>
      </c>
    </row>
    <row r="145" spans="1:14" x14ac:dyDescent="0.2">
      <c r="A145" s="1506" t="s">
        <v>91</v>
      </c>
      <c r="B145" s="600" t="s">
        <v>610</v>
      </c>
      <c r="C145" s="602"/>
      <c r="D145" s="602"/>
      <c r="E145" s="602"/>
      <c r="F145" s="602"/>
      <c r="G145" s="602"/>
      <c r="H145" s="1945">
        <f>SUMIF(Data!$A:$A,"2-"&amp;LEFT($B145,3)&amp;"*-"&amp;MID(H$1,2,1)&amp;"*",Data!$F:$F)</f>
        <v>0</v>
      </c>
      <c r="I145" s="468"/>
      <c r="J145" s="602"/>
      <c r="K145" s="1672">
        <f>SUM(H145)</f>
        <v>0</v>
      </c>
      <c r="L145" s="466">
        <f>SUMIFS(Data!$G:$G,Data!$A:$A,"2-"&amp;LEFT($B145,3)&amp;"*",Data!$G:$G,"&gt;0")</f>
        <v>0</v>
      </c>
    </row>
    <row r="146" spans="1:14" ht="12.75" customHeight="1" x14ac:dyDescent="0.2">
      <c r="A146" s="1506" t="s">
        <v>640</v>
      </c>
      <c r="B146" s="600" t="s">
        <v>639</v>
      </c>
      <c r="C146" s="602"/>
      <c r="D146" s="602"/>
      <c r="E146" s="602"/>
      <c r="F146" s="602"/>
      <c r="G146" s="602"/>
      <c r="H146" s="1945">
        <f>SUMIF(Data!$A:$A,"2-"&amp;LEFT($B146,3)&amp;"*-"&amp;MID(H$1,2,1)&amp;"*",Data!$F:$F)</f>
        <v>0</v>
      </c>
      <c r="I146" s="468"/>
      <c r="J146" s="602"/>
      <c r="K146" s="1672">
        <f>SUM(H146)</f>
        <v>0</v>
      </c>
      <c r="L146" s="466">
        <f>SUMIFS(Data!$G:$G,Data!$A:$A,"2-"&amp;LEFT($B146,3)&amp;"*",Data!$G:$G,"&gt;0")</f>
        <v>0</v>
      </c>
    </row>
    <row r="147" spans="1:14" ht="12.75" customHeight="1" thickBot="1" x14ac:dyDescent="0.25">
      <c r="A147" s="1517" t="s">
        <v>647</v>
      </c>
      <c r="B147" s="643" t="s">
        <v>742</v>
      </c>
      <c r="C147" s="602"/>
      <c r="D147" s="602"/>
      <c r="E147" s="602"/>
      <c r="F147" s="602"/>
      <c r="G147" s="602"/>
      <c r="H147" s="1688">
        <f>SUM(H142:H146)</f>
        <v>0</v>
      </c>
      <c r="I147" s="468"/>
      <c r="J147" s="602"/>
      <c r="K147" s="1670">
        <f>SUM(K142:K146)</f>
        <v>0</v>
      </c>
      <c r="L147" s="1688">
        <f>SUM(L142:L146)</f>
        <v>0</v>
      </c>
    </row>
    <row r="148" spans="1:14" ht="15.75" customHeight="1" thickTop="1" x14ac:dyDescent="0.2">
      <c r="A148" s="644" t="s">
        <v>1165</v>
      </c>
      <c r="B148" s="645" t="s">
        <v>38</v>
      </c>
      <c r="C148" s="602"/>
      <c r="D148" s="602"/>
      <c r="E148" s="602"/>
      <c r="F148" s="602"/>
      <c r="G148" s="602"/>
      <c r="H148" s="1945">
        <f>SUMIF(Data!$A:$A,"2-"&amp;LEFT($B148,3)&amp;"*-"&amp;MID(H$1,2,1)&amp;"*",Data!$F:$F)</f>
        <v>0</v>
      </c>
      <c r="I148" s="468"/>
      <c r="J148" s="602"/>
      <c r="K148" s="1672">
        <f>SUM(H148)</f>
        <v>0</v>
      </c>
      <c r="L148" s="466">
        <f>SUMIFS(Data!$G:$G,Data!$A:$A,"2-"&amp;LEFT($B148,3)&amp;"*",Data!$G:$G,"&gt;0")</f>
        <v>0</v>
      </c>
    </row>
    <row r="149" spans="1:14" ht="12.75" customHeight="1" thickBot="1" x14ac:dyDescent="0.25">
      <c r="A149" s="1509" t="s">
        <v>659</v>
      </c>
      <c r="B149" s="603" t="s">
        <v>513</v>
      </c>
      <c r="C149" s="602"/>
      <c r="D149" s="602"/>
      <c r="E149" s="602"/>
      <c r="F149" s="602"/>
      <c r="G149" s="602"/>
      <c r="H149" s="1670">
        <f>SUM(H147,H148)</f>
        <v>0</v>
      </c>
      <c r="I149" s="468"/>
      <c r="J149" s="602"/>
      <c r="K149" s="1670">
        <f>SUM(K147:K148)</f>
        <v>0</v>
      </c>
      <c r="L149" s="1670">
        <f>SUM(L142:L146,L148)</f>
        <v>0</v>
      </c>
    </row>
    <row r="150" spans="1:14" ht="15.75" customHeight="1" thickTop="1" x14ac:dyDescent="0.2">
      <c r="A150" s="1608" t="s">
        <v>1098</v>
      </c>
      <c r="B150" s="1615" t="s">
        <v>916</v>
      </c>
      <c r="C150" s="602"/>
      <c r="D150" s="602"/>
      <c r="E150" s="602"/>
      <c r="F150" s="602"/>
      <c r="G150" s="602"/>
      <c r="H150" s="646"/>
      <c r="I150" s="521"/>
      <c r="J150" s="602"/>
      <c r="K150" s="609"/>
      <c r="L150" s="466">
        <f>SUMIFS(Data!$G:$G,Data!$A:$A,"2-"&amp;LEFT($B150,3)&amp;"*",Data!$G:$G,"&gt;0")</f>
        <v>0</v>
      </c>
    </row>
    <row r="151" spans="1:14" ht="12.75" customHeight="1" thickBot="1" x14ac:dyDescent="0.25">
      <c r="A151" s="2224" t="s">
        <v>641</v>
      </c>
      <c r="B151" s="2206"/>
      <c r="C151" s="1670">
        <f>SUM(C129,C130,C139,C149,C150)</f>
        <v>864913.28</v>
      </c>
      <c r="D151" s="1670">
        <f t="shared" ref="D151:K151" si="16">SUM(D129,D130,D139,D149,D150)</f>
        <v>175308.03</v>
      </c>
      <c r="E151" s="1670">
        <f t="shared" si="16"/>
        <v>125928.15000000001</v>
      </c>
      <c r="F151" s="1670">
        <f t="shared" si="16"/>
        <v>86891.07</v>
      </c>
      <c r="G151" s="1670">
        <f t="shared" si="16"/>
        <v>218636.6</v>
      </c>
      <c r="H151" s="1670">
        <f t="shared" si="16"/>
        <v>0</v>
      </c>
      <c r="I151" s="1670">
        <f t="shared" si="16"/>
        <v>0</v>
      </c>
      <c r="J151" s="1670">
        <f t="shared" si="16"/>
        <v>0</v>
      </c>
      <c r="K151" s="1670">
        <f t="shared" si="16"/>
        <v>1471677.1300000001</v>
      </c>
      <c r="L151" s="1670">
        <f>SUM(L129,L130,L139,L149,L150)</f>
        <v>1504614</v>
      </c>
    </row>
    <row r="152" spans="1:14" ht="12.75" customHeight="1" thickTop="1" x14ac:dyDescent="0.2">
      <c r="A152" s="2227" t="s">
        <v>1240</v>
      </c>
      <c r="B152" s="2228"/>
      <c r="C152" s="604"/>
      <c r="D152" s="604"/>
      <c r="E152" s="604"/>
      <c r="F152" s="604"/>
      <c r="G152" s="604"/>
      <c r="H152" s="604"/>
      <c r="I152" s="604"/>
      <c r="J152" s="602"/>
      <c r="K152" s="1684">
        <f>'Revenues 9-14'!D275-'Expenditures 15-22'!K151</f>
        <v>-507660.00000000023</v>
      </c>
      <c r="L152" s="604"/>
    </row>
    <row r="153" spans="1:14" s="650" customFormat="1" ht="9" customHeight="1" x14ac:dyDescent="0.2">
      <c r="A153" s="647"/>
      <c r="B153" s="648"/>
      <c r="C153" s="634"/>
      <c r="D153" s="634"/>
      <c r="E153" s="634"/>
      <c r="F153" s="634"/>
      <c r="G153" s="634"/>
      <c r="H153" s="634"/>
      <c r="I153" s="634"/>
      <c r="J153" s="634"/>
      <c r="K153" s="634"/>
      <c r="L153" s="634"/>
      <c r="M153" s="649"/>
      <c r="N153" s="649"/>
    </row>
    <row r="154" spans="1:14" s="652" customFormat="1" ht="16.7" customHeight="1" x14ac:dyDescent="0.2">
      <c r="A154" s="2212" t="s">
        <v>642</v>
      </c>
      <c r="B154" s="2214"/>
      <c r="C154" s="1628"/>
      <c r="D154" s="1629"/>
      <c r="E154" s="1629"/>
      <c r="F154" s="1629"/>
      <c r="G154" s="1629"/>
      <c r="H154" s="1629"/>
      <c r="I154" s="1629"/>
      <c r="J154" s="1629"/>
      <c r="K154" s="1629"/>
      <c r="L154" s="1630"/>
      <c r="M154" s="651"/>
      <c r="N154" s="651"/>
    </row>
    <row r="155" spans="1:14" s="606" customFormat="1" ht="15.75" customHeight="1" thickBot="1" x14ac:dyDescent="0.25">
      <c r="A155" s="1619" t="s">
        <v>83</v>
      </c>
      <c r="B155" s="1620" t="s">
        <v>915</v>
      </c>
      <c r="C155" s="602"/>
      <c r="D155" s="602"/>
      <c r="E155" s="602"/>
      <c r="F155" s="602"/>
      <c r="G155" s="602"/>
      <c r="H155" s="1843"/>
      <c r="I155" s="602"/>
      <c r="J155" s="602"/>
      <c r="K155" s="1826"/>
      <c r="L155" s="1843"/>
      <c r="M155" s="605"/>
      <c r="N155" s="605"/>
    </row>
    <row r="156" spans="1:14" s="606" customFormat="1" ht="15.75" customHeight="1" thickTop="1" x14ac:dyDescent="0.2">
      <c r="A156" s="1823" t="s">
        <v>1954</v>
      </c>
      <c r="B156" s="1824"/>
      <c r="C156" s="602"/>
      <c r="D156" s="602"/>
      <c r="E156" s="602"/>
      <c r="F156" s="602"/>
      <c r="G156" s="602"/>
      <c r="H156" s="1844"/>
      <c r="I156" s="602"/>
      <c r="J156" s="602"/>
      <c r="K156" s="1825"/>
      <c r="L156" s="1844"/>
      <c r="M156" s="605"/>
      <c r="N156" s="605"/>
    </row>
    <row r="157" spans="1:14" s="606" customFormat="1" ht="12" x14ac:dyDescent="0.2">
      <c r="A157" s="1827" t="s">
        <v>517</v>
      </c>
      <c r="B157" s="1828" t="s">
        <v>1953</v>
      </c>
      <c r="C157" s="602"/>
      <c r="D157" s="602"/>
      <c r="E157" s="602"/>
      <c r="F157" s="602"/>
      <c r="G157" s="602"/>
      <c r="H157" s="1945">
        <f>ROUND(SUMIF(Data!$A:$A,"3-"&amp;LEFT($B157,3)&amp;"*-"&amp;MID(H$1,2,1)&amp;"*",Data!$F:$F),0)</f>
        <v>0</v>
      </c>
      <c r="I157" s="602"/>
      <c r="J157" s="602"/>
      <c r="K157" s="1671">
        <f>H157</f>
        <v>0</v>
      </c>
      <c r="L157" s="467">
        <f>SUMIFS(Data!$G:$G,Data!$A:$A,"3-"&amp;LEFT($B157,3)&amp;"*",Data!$G:$G,"&gt;0")</f>
        <v>0</v>
      </c>
      <c r="M157" s="605"/>
      <c r="N157" s="605"/>
    </row>
    <row r="158" spans="1:14" s="606" customFormat="1" ht="12" x14ac:dyDescent="0.2">
      <c r="A158" s="1827" t="s">
        <v>322</v>
      </c>
      <c r="B158" s="1828" t="s">
        <v>1955</v>
      </c>
      <c r="C158" s="602"/>
      <c r="D158" s="602"/>
      <c r="E158" s="602"/>
      <c r="F158" s="602"/>
      <c r="G158" s="602"/>
      <c r="H158" s="1945">
        <f>ROUND(SUMIF(Data!$A:$A,"3-"&amp;LEFT($B158,3)&amp;"*-"&amp;MID(H$1,2,1)&amp;"*",Data!$F:$F),0)</f>
        <v>0</v>
      </c>
      <c r="I158" s="602"/>
      <c r="J158" s="602"/>
      <c r="K158" s="1671">
        <f>H158</f>
        <v>0</v>
      </c>
      <c r="L158" s="467">
        <f>SUMIFS(Data!$G:$G,Data!$A:$A,"3-"&amp;LEFT($B158,3)&amp;"*",Data!$G:$G,"&gt;0")</f>
        <v>0</v>
      </c>
      <c r="M158" s="605"/>
      <c r="N158" s="605"/>
    </row>
    <row r="159" spans="1:14" s="606" customFormat="1" ht="12" x14ac:dyDescent="0.2">
      <c r="A159" s="1827" t="s">
        <v>1956</v>
      </c>
      <c r="B159" s="1828" t="s">
        <v>579</v>
      </c>
      <c r="C159" s="602"/>
      <c r="D159" s="602"/>
      <c r="E159" s="602"/>
      <c r="F159" s="602"/>
      <c r="G159" s="602"/>
      <c r="H159" s="1945">
        <f>ROUND(SUMIF(Data!$A:$A,"3-"&amp;LEFT($B159,3)&amp;"*-"&amp;MID(H$1,2,1)&amp;"*",Data!$F:$F),0)</f>
        <v>0</v>
      </c>
      <c r="I159" s="602"/>
      <c r="J159" s="602"/>
      <c r="K159" s="1671">
        <f>H159</f>
        <v>0</v>
      </c>
      <c r="L159" s="467">
        <f>SUMIFS(Data!$G:$G,Data!$A:$A,"3-"&amp;LEFT($B159,3)&amp;"*",Data!$G:$G,"&gt;0")</f>
        <v>0</v>
      </c>
      <c r="M159" s="605"/>
      <c r="N159" s="605"/>
    </row>
    <row r="160" spans="1:14" s="606" customFormat="1" ht="15.75" customHeight="1" thickBot="1" x14ac:dyDescent="0.25">
      <c r="A160" s="1829" t="s">
        <v>1957</v>
      </c>
      <c r="B160" s="1830" t="s">
        <v>915</v>
      </c>
      <c r="C160" s="602"/>
      <c r="D160" s="602"/>
      <c r="E160" s="602"/>
      <c r="F160" s="602"/>
      <c r="G160" s="602"/>
      <c r="H160" s="1688">
        <f>SUM(H157:H159)</f>
        <v>0</v>
      </c>
      <c r="I160" s="602"/>
      <c r="J160" s="602"/>
      <c r="K160" s="1670">
        <f>SUM(K157:K159)</f>
        <v>0</v>
      </c>
      <c r="L160" s="1688">
        <f>SUM(L157:L159)</f>
        <v>0</v>
      </c>
      <c r="M160" s="605"/>
      <c r="N160" s="605"/>
    </row>
    <row r="161" spans="1:14" s="259" customFormat="1" ht="15.75" customHeight="1" thickTop="1" x14ac:dyDescent="0.2">
      <c r="A161" s="1614" t="s">
        <v>84</v>
      </c>
      <c r="B161" s="1615" t="s">
        <v>513</v>
      </c>
      <c r="C161" s="602"/>
      <c r="D161" s="602"/>
      <c r="E161" s="602"/>
      <c r="F161" s="602"/>
      <c r="G161" s="602"/>
      <c r="H161" s="602"/>
      <c r="I161" s="602"/>
      <c r="J161" s="602"/>
      <c r="K161" s="602"/>
      <c r="L161" s="602"/>
      <c r="M161" s="599"/>
      <c r="N161" s="599"/>
    </row>
    <row r="162" spans="1:14" s="259" customFormat="1" ht="15.75" customHeight="1" x14ac:dyDescent="0.2">
      <c r="A162" s="637" t="s">
        <v>636</v>
      </c>
      <c r="B162" s="608"/>
      <c r="C162" s="602"/>
      <c r="D162" s="602"/>
      <c r="E162" s="602"/>
      <c r="F162" s="602"/>
      <c r="G162" s="602"/>
      <c r="H162" s="602"/>
      <c r="I162" s="602"/>
      <c r="J162" s="602"/>
      <c r="K162" s="609"/>
      <c r="L162" s="609"/>
      <c r="M162" s="599"/>
      <c r="N162" s="599"/>
    </row>
    <row r="163" spans="1:14" x14ac:dyDescent="0.2">
      <c r="A163" s="1506" t="s">
        <v>89</v>
      </c>
      <c r="B163" s="600">
        <v>5110</v>
      </c>
      <c r="C163" s="602"/>
      <c r="D163" s="602"/>
      <c r="E163" s="602"/>
      <c r="F163" s="602"/>
      <c r="G163" s="602"/>
      <c r="H163" s="1945">
        <f>ROUND(SUMIF(Data!$A:$A,"3-"&amp;LEFT($B163,3)&amp;"*-"&amp;MID(H$1,2,1)&amp;"*",Data!$F:$F),0)</f>
        <v>0</v>
      </c>
      <c r="I163" s="602"/>
      <c r="J163" s="602"/>
      <c r="K163" s="1671">
        <f>SUM(C163:J163)</f>
        <v>0</v>
      </c>
      <c r="L163" s="467">
        <f>SUMIFS(Data!$G:$G,Data!$A:$A,"3-"&amp;LEFT($B163,3)&amp;"*",Data!$G:$G,"&gt;0")</f>
        <v>0</v>
      </c>
    </row>
    <row r="164" spans="1:14" x14ac:dyDescent="0.2">
      <c r="A164" s="1506" t="s">
        <v>90</v>
      </c>
      <c r="B164" s="600">
        <v>5120</v>
      </c>
      <c r="C164" s="602"/>
      <c r="D164" s="602"/>
      <c r="E164" s="602"/>
      <c r="F164" s="602"/>
      <c r="G164" s="602"/>
      <c r="H164" s="1945">
        <f>ROUND(SUMIF(Data!$A:$A,"3-"&amp;LEFT($B164,3)&amp;"*-"&amp;MID(H$1,2,1)&amp;"*",Data!$F:$F),0)</f>
        <v>0</v>
      </c>
      <c r="I164" s="602"/>
      <c r="J164" s="602"/>
      <c r="K164" s="1671">
        <f>SUM(C164:J164)</f>
        <v>0</v>
      </c>
      <c r="L164" s="467">
        <f>SUMIFS(Data!$G:$G,Data!$A:$A,"3-"&amp;LEFT($B164,3)&amp;"*",Data!$G:$G,"&gt;0")</f>
        <v>0</v>
      </c>
    </row>
    <row r="165" spans="1:14" ht="12.75" customHeight="1" x14ac:dyDescent="0.2">
      <c r="A165" s="1506" t="s">
        <v>1232</v>
      </c>
      <c r="B165" s="600" t="s">
        <v>638</v>
      </c>
      <c r="C165" s="602"/>
      <c r="D165" s="602"/>
      <c r="E165" s="602"/>
      <c r="F165" s="602"/>
      <c r="G165" s="602"/>
      <c r="H165" s="1945">
        <f>ROUND(SUMIF(Data!$A:$A,"3-"&amp;LEFT($B165,3)&amp;"*-"&amp;MID(H$1,2,1)&amp;"*",Data!$F:$F),0)</f>
        <v>0</v>
      </c>
      <c r="I165" s="602"/>
      <c r="J165" s="602"/>
      <c r="K165" s="1671">
        <f>SUM(C165:J165)</f>
        <v>0</v>
      </c>
      <c r="L165" s="467">
        <f>SUMIFS(Data!$G:$G,Data!$A:$A,"3-"&amp;LEFT($B165,3)&amp;"*",Data!$G:$G,"&gt;0")</f>
        <v>0</v>
      </c>
    </row>
    <row r="166" spans="1:14" x14ac:dyDescent="0.2">
      <c r="A166" s="1506" t="s">
        <v>91</v>
      </c>
      <c r="B166" s="614" t="s">
        <v>610</v>
      </c>
      <c r="C166" s="602"/>
      <c r="D166" s="602"/>
      <c r="E166" s="602"/>
      <c r="F166" s="602"/>
      <c r="G166" s="602"/>
      <c r="H166" s="1945"/>
      <c r="I166" s="602"/>
      <c r="J166" s="602"/>
      <c r="K166" s="1671">
        <f>SUM(C166:J166)</f>
        <v>0</v>
      </c>
      <c r="L166" s="467"/>
    </row>
    <row r="167" spans="1:14" ht="12.75" customHeight="1" x14ac:dyDescent="0.2">
      <c r="A167" s="1506" t="s">
        <v>640</v>
      </c>
      <c r="B167" s="600" t="s">
        <v>639</v>
      </c>
      <c r="C167" s="602"/>
      <c r="D167" s="602"/>
      <c r="E167" s="602"/>
      <c r="F167" s="602"/>
      <c r="G167" s="602"/>
      <c r="H167" s="1945">
        <f>ROUND(SUMIF(Data!$A:$A,"3-"&amp;LEFT($B167,3)&amp;"*-"&amp;MID(H$1,2,1)&amp;"*",Data!$F:$F),0)</f>
        <v>0</v>
      </c>
      <c r="I167" s="602"/>
      <c r="J167" s="602"/>
      <c r="K167" s="1671">
        <f>SUM(C167:J167)</f>
        <v>0</v>
      </c>
      <c r="L167" s="467">
        <f>SUMIFS(Data!$G:$G,Data!$A:$A,"3-"&amp;LEFT($B167,3)&amp;"*",Data!$G:$G,"&gt;0")</f>
        <v>0</v>
      </c>
    </row>
    <row r="168" spans="1:14" ht="13.5" thickBot="1" x14ac:dyDescent="0.25">
      <c r="A168" s="1668" t="s">
        <v>294</v>
      </c>
      <c r="B168" s="1675" t="s">
        <v>742</v>
      </c>
      <c r="C168" s="602"/>
      <c r="D168" s="602"/>
      <c r="E168" s="602"/>
      <c r="F168" s="602"/>
      <c r="G168" s="602"/>
      <c r="H168" s="1670">
        <f>SUM(H163:H167)</f>
        <v>0</v>
      </c>
      <c r="I168" s="602"/>
      <c r="J168" s="602"/>
      <c r="K168" s="1670">
        <f>SUM(K163:K167)</f>
        <v>0</v>
      </c>
      <c r="L168" s="1670">
        <f>SUM(L163:L167)</f>
        <v>0</v>
      </c>
    </row>
    <row r="169" spans="1:14" ht="15.75" customHeight="1" thickTop="1" x14ac:dyDescent="0.2">
      <c r="A169" s="653" t="s">
        <v>85</v>
      </c>
      <c r="B169" s="654" t="s">
        <v>38</v>
      </c>
      <c r="C169" s="602"/>
      <c r="D169" s="602"/>
      <c r="E169" s="602"/>
      <c r="F169" s="602"/>
      <c r="G169" s="602"/>
      <c r="H169" s="1945">
        <f>ROUND(SUMIF(Data!$A:$A,"3-"&amp;LEFT($B169,3)&amp;"*-"&amp;MID(H$1,2,1)&amp;"*",Data!$F:$F),0)</f>
        <v>322777</v>
      </c>
      <c r="I169" s="602"/>
      <c r="J169" s="602"/>
      <c r="K169" s="1671">
        <f>SUM(C169:H169)</f>
        <v>322777</v>
      </c>
      <c r="L169" s="640"/>
    </row>
    <row r="170" spans="1:14" ht="33.75" customHeight="1" x14ac:dyDescent="0.2">
      <c r="A170" s="653" t="s">
        <v>1769</v>
      </c>
      <c r="B170" s="655" t="s">
        <v>31</v>
      </c>
      <c r="C170" s="602"/>
      <c r="D170" s="602"/>
      <c r="E170" s="602"/>
      <c r="F170" s="602"/>
      <c r="G170" s="602"/>
      <c r="H170" s="1945">
        <f>ROUND(SUMIF(Data!$A:$A,"3-"&amp;LEFT($B170,3)&amp;"*-"&amp;MID(H$1,2,1)&amp;"*",Data!$F:$F),0)</f>
        <v>2960237</v>
      </c>
      <c r="I170" s="602"/>
      <c r="J170" s="602"/>
      <c r="K170" s="1671">
        <f>SUM(C170:J170)</f>
        <v>2960237</v>
      </c>
      <c r="L170" s="467">
        <v>3145031</v>
      </c>
    </row>
    <row r="171" spans="1:14" ht="15.75" customHeight="1" x14ac:dyDescent="0.2">
      <c r="A171" s="607" t="s">
        <v>790</v>
      </c>
      <c r="B171" s="656" t="s">
        <v>86</v>
      </c>
      <c r="C171" s="602"/>
      <c r="D171" s="602"/>
      <c r="E171" s="1945">
        <f>ROUND(SUMIF(Data!$A:$A,"3-"&amp;LEFT($B171,3)&amp;"*-"&amp;MID(E$1,2,1)&amp;"*",Data!$F:$F),0)</f>
        <v>0</v>
      </c>
      <c r="F171" s="602"/>
      <c r="G171" s="602"/>
      <c r="H171" s="1945">
        <v>1500</v>
      </c>
      <c r="I171" s="477"/>
      <c r="J171" s="602"/>
      <c r="K171" s="1671">
        <f>SUM(C171:J171)</f>
        <v>1500</v>
      </c>
      <c r="L171" s="467">
        <v>2000</v>
      </c>
    </row>
    <row r="172" spans="1:14" ht="12.75" customHeight="1" thickBot="1" x14ac:dyDescent="0.25">
      <c r="A172" s="1668" t="s">
        <v>659</v>
      </c>
      <c r="B172" s="1669" t="s">
        <v>513</v>
      </c>
      <c r="C172" s="602"/>
      <c r="D172" s="602"/>
      <c r="E172" s="1677">
        <f>SUM(E168,E169,E170,E171)</f>
        <v>0</v>
      </c>
      <c r="F172" s="602"/>
      <c r="G172" s="602"/>
      <c r="H172" s="1677">
        <f>SUM(H168,H169,H170,H171)</f>
        <v>3284514</v>
      </c>
      <c r="I172" s="623"/>
      <c r="J172" s="602"/>
      <c r="K172" s="1677">
        <f>SUM(K168,K169,K170,K171)</f>
        <v>3284514</v>
      </c>
      <c r="L172" s="1677">
        <f>SUM(L168,L169,L170,L171)</f>
        <v>3147031</v>
      </c>
    </row>
    <row r="173" spans="1:14" ht="15.75" customHeight="1" thickTop="1" thickBot="1" x14ac:dyDescent="0.25">
      <c r="A173" s="1621" t="s">
        <v>87</v>
      </c>
      <c r="B173" s="1613" t="s">
        <v>916</v>
      </c>
      <c r="C173" s="602"/>
      <c r="D173" s="602"/>
      <c r="E173" s="609"/>
      <c r="F173" s="602"/>
      <c r="G173" s="602"/>
      <c r="H173" s="612"/>
      <c r="I173" s="623"/>
      <c r="J173" s="602"/>
      <c r="K173" s="609"/>
      <c r="L173" s="467">
        <f>SUMIFS(Data!$G:$G,Data!$A:$A,"3-"&amp;LEFT($B173,3)&amp;"*",Data!$G:$G,"&gt;0")</f>
        <v>0</v>
      </c>
    </row>
    <row r="174" spans="1:14" ht="12.75" customHeight="1" thickTop="1" thickBot="1" x14ac:dyDescent="0.25">
      <c r="A174" s="1689" t="s">
        <v>92</v>
      </c>
      <c r="B174" s="1690"/>
      <c r="C174" s="602"/>
      <c r="D174" s="602"/>
      <c r="E174" s="1677">
        <f>SUM(E155,E172,E173)</f>
        <v>0</v>
      </c>
      <c r="F174" s="602"/>
      <c r="G174" s="602"/>
      <c r="H174" s="1677">
        <f>SUM(H160,H172,H173)</f>
        <v>3284514</v>
      </c>
      <c r="I174" s="623"/>
      <c r="J174" s="602"/>
      <c r="K174" s="1677">
        <f>SUM(K160,K172,K173)</f>
        <v>3284514</v>
      </c>
      <c r="L174" s="1677">
        <f>SUM(L160,L172,L173)</f>
        <v>3147031</v>
      </c>
    </row>
    <row r="175" spans="1:14" ht="13.5" thickTop="1" x14ac:dyDescent="0.2">
      <c r="A175" s="2234" t="s">
        <v>1053</v>
      </c>
      <c r="B175" s="2235"/>
      <c r="C175" s="602"/>
      <c r="D175" s="602"/>
      <c r="E175" s="602"/>
      <c r="F175" s="602"/>
      <c r="G175" s="602"/>
      <c r="H175" s="604"/>
      <c r="I175" s="602"/>
      <c r="J175" s="602"/>
      <c r="K175" s="1684">
        <f>'Revenues 9-14'!E275-'Expenditures 15-22'!K174</f>
        <v>-150096</v>
      </c>
      <c r="L175" s="604"/>
    </row>
    <row r="176" spans="1:14" s="650" customFormat="1" ht="9" customHeight="1" x14ac:dyDescent="0.2">
      <c r="A176" s="647"/>
      <c r="B176" s="657"/>
      <c r="C176" s="634"/>
      <c r="D176" s="634"/>
      <c r="E176" s="634"/>
      <c r="F176" s="634"/>
      <c r="G176" s="634"/>
      <c r="H176" s="634"/>
      <c r="I176" s="634"/>
      <c r="J176" s="634"/>
      <c r="K176" s="634"/>
      <c r="L176" s="634"/>
      <c r="M176" s="649"/>
      <c r="N176" s="649"/>
    </row>
    <row r="177" spans="1:14" s="343" customFormat="1" ht="16.7" customHeight="1" x14ac:dyDescent="0.2">
      <c r="A177" s="1556" t="s">
        <v>994</v>
      </c>
      <c r="B177" s="1557"/>
      <c r="C177" s="1553"/>
      <c r="D177" s="1554"/>
      <c r="E177" s="1554"/>
      <c r="F177" s="1554"/>
      <c r="G177" s="1554"/>
      <c r="H177" s="1554"/>
      <c r="I177" s="1554"/>
      <c r="J177" s="1554"/>
      <c r="K177" s="1554"/>
      <c r="L177" s="1555"/>
      <c r="M177" s="595"/>
      <c r="N177" s="595"/>
    </row>
    <row r="178" spans="1:14" s="658" customFormat="1" ht="15.75" customHeight="1" x14ac:dyDescent="0.2">
      <c r="A178" s="1622" t="s">
        <v>995</v>
      </c>
      <c r="B178" s="1623"/>
      <c r="C178" s="602"/>
      <c r="D178" s="602"/>
      <c r="E178" s="602"/>
      <c r="F178" s="602"/>
      <c r="G178" s="602"/>
      <c r="H178" s="602"/>
      <c r="I178" s="602"/>
      <c r="J178" s="602"/>
      <c r="K178" s="602"/>
      <c r="L178" s="602"/>
      <c r="M178" s="649"/>
      <c r="N178" s="649"/>
    </row>
    <row r="179" spans="1:14" s="658" customFormat="1" ht="15.75" customHeight="1" x14ac:dyDescent="0.2">
      <c r="A179" s="659" t="s">
        <v>612</v>
      </c>
      <c r="B179" s="608"/>
      <c r="C179" s="609"/>
      <c r="D179" s="609"/>
      <c r="E179" s="609"/>
      <c r="F179" s="602"/>
      <c r="G179" s="602"/>
      <c r="H179" s="609"/>
      <c r="I179" s="602"/>
      <c r="J179" s="602"/>
      <c r="K179" s="609"/>
      <c r="L179" s="609"/>
      <c r="M179" s="649"/>
      <c r="N179" s="649"/>
    </row>
    <row r="180" spans="1:14" ht="12.75" customHeight="1" x14ac:dyDescent="0.2">
      <c r="A180" s="1506" t="s">
        <v>167</v>
      </c>
      <c r="B180" s="600">
        <v>2190</v>
      </c>
      <c r="C180" s="466">
        <f>SUMIF(Data!$A:$A,"4-"&amp;LEFT($B180,3)&amp;"*-"&amp;MID(E$1,2,1)&amp;"*",Data!$F:$F)</f>
        <v>0</v>
      </c>
      <c r="D180" s="466">
        <f>SUMIF(Data!$A:$A,"4-"&amp;LEFT($B180,3)&amp;"*-"&amp;MID(F$1,2,1)&amp;"*",Data!$F:$F)</f>
        <v>0</v>
      </c>
      <c r="E180" s="466">
        <f>SUMIF(Data!$A:$A,"4-"&amp;LEFT($B180,3)&amp;"*-"&amp;MID(G$1,2,1)&amp;"*",Data!$F:$F)</f>
        <v>0</v>
      </c>
      <c r="F180" s="466">
        <f>SUMIF(Data!$A:$A,"4-"&amp;LEFT($B180,3)&amp;"*-"&amp;MID(H$1,2,1)&amp;"*",Data!$F:$F)</f>
        <v>0</v>
      </c>
      <c r="G180" s="466">
        <f>SUMIF(Data!$A:$A,"4-"&amp;LEFT($B180,3)&amp;"*-"&amp;MID(I$1,2,1)&amp;"*",Data!$F:$F)</f>
        <v>0</v>
      </c>
      <c r="H180" s="466">
        <f>SUMIF(Data!$A:$A,"4-"&amp;LEFT($B180,3)&amp;"*-"&amp;MID(J$1,2,1)&amp;"*",Data!$F:$F)</f>
        <v>0</v>
      </c>
      <c r="I180" s="466">
        <f>SUMIF(Data!$A:$A,"4-"&amp;LEFT($B180,3)&amp;"*-"&amp;MID(K$1,2,1)&amp;"*",Data!$F:$F)</f>
        <v>0</v>
      </c>
      <c r="J180" s="466">
        <f>SUMIF(Data!$A:$A,"4-"&amp;LEFT($B180,3)&amp;"*-"&amp;MID(L$1,2,1)&amp;"*",Data!$F:$F)</f>
        <v>0</v>
      </c>
      <c r="K180" s="1671">
        <f>SUM(C180:J180)</f>
        <v>0</v>
      </c>
      <c r="L180" s="467">
        <f>SUMIFS(Data!$G:$G,Data!$A:$A,"4-"&amp;LEFT($B180,3)&amp;"*",Data!$G:$G,"&gt;0")</f>
        <v>0</v>
      </c>
    </row>
    <row r="181" spans="1:14" ht="15.75" customHeight="1" x14ac:dyDescent="0.2">
      <c r="A181" s="610" t="s">
        <v>633</v>
      </c>
      <c r="B181" s="660"/>
      <c r="C181" s="567"/>
      <c r="D181" s="567"/>
      <c r="E181" s="567"/>
      <c r="F181" s="567"/>
      <c r="G181" s="567"/>
      <c r="H181" s="567"/>
      <c r="I181" s="468"/>
      <c r="J181" s="468"/>
      <c r="K181" s="567"/>
      <c r="L181" s="567"/>
    </row>
    <row r="182" spans="1:14" ht="12.75" customHeight="1" x14ac:dyDescent="0.2">
      <c r="A182" s="1506" t="s">
        <v>1010</v>
      </c>
      <c r="B182" s="600">
        <v>2550</v>
      </c>
      <c r="C182" s="1945">
        <f>ROUND(SUMIF(Data!$A:$A,"4-"&amp;LEFT($B182,3)&amp;"*-"&amp;MID(C$1,2,1)&amp;"*",Data!$F:$F),0)</f>
        <v>851948</v>
      </c>
      <c r="D182" s="1945">
        <f>ROUND(SUMIF(Data!$A:$A,"4-"&amp;LEFT($B182,3)&amp;"*-"&amp;MID(D$1,2,1)&amp;"*",Data!$F:$F),0)</f>
        <v>55717</v>
      </c>
      <c r="E182" s="1945">
        <f>ROUND(SUMIF(Data!$A:$A,"4-"&amp;LEFT($B182,3)&amp;"*-"&amp;MID(E$1,2,1)&amp;"*",Data!$F:$F),0)</f>
        <v>76551</v>
      </c>
      <c r="F182" s="1945">
        <f>ROUND(SUMIF(Data!$A:$A,"4-"&amp;LEFT($B182,3)&amp;"*-"&amp;MID(F$1,2,1)&amp;"*",Data!$F:$F),0)</f>
        <v>162969</v>
      </c>
      <c r="G182" s="1945">
        <f>ROUND(SUMIF(Data!$A:$A,"4-"&amp;LEFT($B182,3)&amp;"*-"&amp;MID(G$1,2,1)&amp;"*",Data!$F:$F),0)</f>
        <v>640534</v>
      </c>
      <c r="H182" s="466">
        <f>SUMIF(Data!$A:$A,"4-"&amp;LEFT($B182,3)&amp;"*-"&amp;MID(H$1,2,1)&amp;"*",Data!$F:$F)</f>
        <v>0</v>
      </c>
      <c r="I182" s="466">
        <f>SUMIF(Data!$A:$A,"4-"&amp;LEFT($B182,3)&amp;"*-"&amp;MID(I$1,2,1)&amp;"*",Data!$F:$F)</f>
        <v>0</v>
      </c>
      <c r="J182" s="466">
        <f>SUMIF(Data!$A:$A,"4-"&amp;LEFT($B182,3)&amp;"*-"&amp;MID(J$1,2,1)&amp;"*",Data!$F:$F)</f>
        <v>0</v>
      </c>
      <c r="K182" s="1671">
        <f>SUM(C182:J182)</f>
        <v>1787719</v>
      </c>
      <c r="L182" s="467">
        <f>SUMIFS(Data!$G:$G,Data!$A:$A,"4-"&amp;LEFT($B182,3)&amp;"*",Data!$G:$G,"&gt;0")</f>
        <v>2024062</v>
      </c>
    </row>
    <row r="183" spans="1:14" ht="12.75" customHeight="1" thickBot="1" x14ac:dyDescent="0.25">
      <c r="A183" s="1511" t="s">
        <v>1037</v>
      </c>
      <c r="B183" s="661">
        <v>2900</v>
      </c>
      <c r="C183" s="466">
        <f>SUMIF(Data!$A:$A,"4-"&amp;LEFT($B183,3)&amp;"*-"&amp;MID(C$1,2,1)&amp;"*",Data!$F:$F)</f>
        <v>0</v>
      </c>
      <c r="D183" s="466">
        <f>SUMIF(Data!$A:$A,"4-"&amp;LEFT($B183,3)&amp;"*-"&amp;MID(D$1,2,1)&amp;"*",Data!$F:$F)</f>
        <v>0</v>
      </c>
      <c r="E183" s="466">
        <f>SUMIF(Data!$A:$A,"4-"&amp;LEFT($B183,3)&amp;"*-"&amp;MID(E$1,2,1)&amp;"*",Data!$F:$F)</f>
        <v>0</v>
      </c>
      <c r="F183" s="466">
        <f>SUMIF(Data!$A:$A,"4-"&amp;LEFT($B183,3)&amp;"*-"&amp;MID(F$1,2,1)&amp;"*",Data!$F:$F)</f>
        <v>0</v>
      </c>
      <c r="G183" s="466">
        <f>SUMIF(Data!$A:$A,"4-"&amp;LEFT($B183,3)&amp;"*-"&amp;MID(G$1,2,1)&amp;"*",Data!$F:$F)</f>
        <v>0</v>
      </c>
      <c r="H183" s="466">
        <f>SUMIF(Data!$A:$A,"4-"&amp;LEFT($B183,3)&amp;"*-"&amp;MID(H$1,2,1)&amp;"*",Data!$F:$F)</f>
        <v>0</v>
      </c>
      <c r="I183" s="466">
        <f>SUMIF(Data!$A:$A,"4-"&amp;LEFT($B183,3)&amp;"*-"&amp;MID(I$1,2,1)&amp;"*",Data!$F:$F)</f>
        <v>0</v>
      </c>
      <c r="J183" s="466">
        <f>SUMIF(Data!$A:$A,"4-"&amp;LEFT($B183,3)&amp;"*-"&amp;MID(J$1,2,1)&amp;"*",Data!$F:$F)</f>
        <v>0</v>
      </c>
      <c r="K183" s="1677">
        <f>SUM(C183:J183)</f>
        <v>0</v>
      </c>
      <c r="L183" s="467">
        <f>SUMIFS(Data!$G:$G,Data!$A:$A,"4-"&amp;LEFT($B183,3)&amp;"*",Data!$G:$G,"&gt;0")</f>
        <v>0</v>
      </c>
    </row>
    <row r="184" spans="1:14" ht="12.75" customHeight="1" thickTop="1" thickBot="1" x14ac:dyDescent="0.25">
      <c r="A184" s="1691" t="s">
        <v>865</v>
      </c>
      <c r="B184" s="1669" t="s">
        <v>590</v>
      </c>
      <c r="C184" s="1677">
        <f>SUM(C180,C182,C183)</f>
        <v>851948</v>
      </c>
      <c r="D184" s="1677">
        <f t="shared" ref="D184:J184" si="17">SUM(D180,D182,D183)</f>
        <v>55717</v>
      </c>
      <c r="E184" s="1677">
        <f t="shared" si="17"/>
        <v>76551</v>
      </c>
      <c r="F184" s="1677">
        <f t="shared" si="17"/>
        <v>162969</v>
      </c>
      <c r="G184" s="1677">
        <f t="shared" si="17"/>
        <v>640534</v>
      </c>
      <c r="H184" s="1677">
        <f t="shared" si="17"/>
        <v>0</v>
      </c>
      <c r="I184" s="1677">
        <f t="shared" si="17"/>
        <v>0</v>
      </c>
      <c r="J184" s="1677">
        <f t="shared" si="17"/>
        <v>0</v>
      </c>
      <c r="K184" s="1677">
        <f>SUM(K180,K182,K183)</f>
        <v>1787719</v>
      </c>
      <c r="L184" s="1677">
        <f>SUM(L180, L182:L183)</f>
        <v>2024062</v>
      </c>
    </row>
    <row r="185" spans="1:14" ht="15.75" customHeight="1" thickTop="1" thickBot="1" x14ac:dyDescent="0.25">
      <c r="A185" s="1624" t="s">
        <v>996</v>
      </c>
      <c r="B185" s="1613">
        <v>3000</v>
      </c>
      <c r="C185" s="466">
        <f>SUMIF(Data!$A:$A,"4-"&amp;LEFT($B185,3)&amp;"*-"&amp;MID(C$1,2,1)&amp;"*",Data!$F:$F)</f>
        <v>0</v>
      </c>
      <c r="D185" s="466">
        <f>SUMIF(Data!$A:$A,"4-"&amp;LEFT($B185,3)&amp;"*-"&amp;MID(D$1,2,1)&amp;"*",Data!$F:$F)</f>
        <v>0</v>
      </c>
      <c r="E185" s="466">
        <f>SUMIF(Data!$A:$A,"4-"&amp;LEFT($B185,3)&amp;"*-"&amp;MID(E$1,2,1)&amp;"*",Data!$F:$F)</f>
        <v>0</v>
      </c>
      <c r="F185" s="466">
        <f>SUMIF(Data!$A:$A,"4-"&amp;LEFT($B185,3)&amp;"*-"&amp;MID(F$1,2,1)&amp;"*",Data!$F:$F)</f>
        <v>0</v>
      </c>
      <c r="G185" s="466">
        <f>SUMIF(Data!$A:$A,"4-"&amp;LEFT($B185,3)&amp;"*-"&amp;MID(G$1,2,1)&amp;"*",Data!$F:$F)</f>
        <v>0</v>
      </c>
      <c r="H185" s="466">
        <f>SUMIF(Data!$A:$A,"4-"&amp;LEFT($B185,3)&amp;"*-"&amp;MID(H$1,2,1)&amp;"*",Data!$F:$F)</f>
        <v>0</v>
      </c>
      <c r="I185" s="466">
        <f>SUMIF(Data!$A:$A,"4-"&amp;LEFT($B185,3)&amp;"*-"&amp;MID(I$1,2,1)&amp;"*",Data!$F:$F)</f>
        <v>0</v>
      </c>
      <c r="J185" s="466">
        <f>SUMIF(Data!$A:$A,"4-"&amp;LEFT($B185,3)&amp;"*-"&amp;MID(J$1,2,1)&amp;"*",Data!$F:$F)</f>
        <v>0</v>
      </c>
      <c r="K185" s="1670">
        <f>SUM(C185:J185)</f>
        <v>0</v>
      </c>
      <c r="L185" s="467">
        <f>SUMIFS(Data!$G:$G,Data!$A:$A,"4-"&amp;LEFT($B185,3)&amp;"*",Data!$G:$G,"&gt;0")</f>
        <v>0</v>
      </c>
    </row>
    <row r="186" spans="1:14" s="658" customFormat="1" ht="15.75" customHeight="1" thickTop="1" x14ac:dyDescent="0.2">
      <c r="A186" s="1608" t="s">
        <v>93</v>
      </c>
      <c r="B186" s="1611" t="s">
        <v>915</v>
      </c>
      <c r="C186" s="602"/>
      <c r="D186" s="602"/>
      <c r="E186" s="602"/>
      <c r="F186" s="602"/>
      <c r="G186" s="602"/>
      <c r="H186" s="602"/>
      <c r="I186" s="602"/>
      <c r="J186" s="602"/>
      <c r="K186" s="602"/>
      <c r="L186" s="602"/>
      <c r="M186" s="649"/>
      <c r="N186" s="649"/>
    </row>
    <row r="187" spans="1:14" s="658" customFormat="1" ht="15.75" customHeight="1" x14ac:dyDescent="0.2">
      <c r="A187" s="607" t="s">
        <v>1193</v>
      </c>
      <c r="B187" s="608"/>
      <c r="C187" s="602"/>
      <c r="D187" s="602"/>
      <c r="E187" s="602"/>
      <c r="F187" s="602"/>
      <c r="G187" s="602"/>
      <c r="H187" s="602"/>
      <c r="I187" s="602"/>
      <c r="J187" s="602"/>
      <c r="K187" s="602"/>
      <c r="L187" s="602"/>
      <c r="M187" s="649"/>
      <c r="N187" s="649"/>
    </row>
    <row r="188" spans="1:14" x14ac:dyDescent="0.2">
      <c r="A188" s="1506" t="s">
        <v>517</v>
      </c>
      <c r="B188" s="600">
        <v>4110</v>
      </c>
      <c r="C188" s="602"/>
      <c r="D188" s="602"/>
      <c r="E188" s="466">
        <f>SUMIF(Data!$A:$A,"4-"&amp;LEFT($B188,3)&amp;"*-"&amp;MID(E$1,2,1)&amp;"*",Data!$F:$F)</f>
        <v>0</v>
      </c>
      <c r="F188" s="602"/>
      <c r="G188" s="602"/>
      <c r="H188" s="466">
        <f>SUMIF(Data!$A:$A,"4-"&amp;LEFT($B188,3)&amp;"*-"&amp;MID(H$1,2,1)&amp;"*",Data!$F:$F)</f>
        <v>0</v>
      </c>
      <c r="I188" s="477"/>
      <c r="J188" s="602"/>
      <c r="K188" s="1671">
        <f t="shared" ref="K188:K193" si="18">SUM(E188,H188)</f>
        <v>0</v>
      </c>
      <c r="L188" s="467">
        <f>SUMIFS(Data!$G:$G,Data!$A:$A,"4-"&amp;LEFT($B188,3)&amp;"*",Data!$G:$G,"&gt;0")</f>
        <v>0</v>
      </c>
    </row>
    <row r="189" spans="1:14" x14ac:dyDescent="0.2">
      <c r="A189" s="1506" t="s">
        <v>322</v>
      </c>
      <c r="B189" s="600">
        <v>4120</v>
      </c>
      <c r="C189" s="602"/>
      <c r="D189" s="602"/>
      <c r="E189" s="466">
        <f>SUMIF(Data!$A:$A,"4-"&amp;LEFT($B189,3)&amp;"*-"&amp;MID(E$1,2,1)&amp;"*",Data!$F:$F)</f>
        <v>0</v>
      </c>
      <c r="F189" s="602"/>
      <c r="G189" s="602"/>
      <c r="H189" s="466">
        <f>SUMIF(Data!$A:$A,"4-"&amp;LEFT($B189,3)&amp;"*-"&amp;MID(H$1,2,1)&amp;"*",Data!$F:$F)</f>
        <v>0</v>
      </c>
      <c r="I189" s="477"/>
      <c r="J189" s="602"/>
      <c r="K189" s="1671">
        <f t="shared" si="18"/>
        <v>0</v>
      </c>
      <c r="L189" s="467">
        <f>SUMIFS(Data!$G:$G,Data!$A:$A,"4-"&amp;LEFT($B189,3)&amp;"*",Data!$G:$G,"&gt;0")</f>
        <v>0</v>
      </c>
    </row>
    <row r="190" spans="1:14" x14ac:dyDescent="0.2">
      <c r="A190" s="1506" t="s">
        <v>323</v>
      </c>
      <c r="B190" s="614">
        <v>4130</v>
      </c>
      <c r="C190" s="602"/>
      <c r="D190" s="602"/>
      <c r="E190" s="466">
        <f>SUMIF(Data!$A:$A,"4-"&amp;LEFT($B190,3)&amp;"*-"&amp;MID(E$1,2,1)&amp;"*",Data!$F:$F)</f>
        <v>0</v>
      </c>
      <c r="F190" s="602"/>
      <c r="G190" s="602"/>
      <c r="H190" s="466">
        <f>SUMIF(Data!$A:$A,"4-"&amp;LEFT($B190,3)&amp;"*-"&amp;MID(H$1,2,1)&amp;"*",Data!$F:$F)</f>
        <v>0</v>
      </c>
      <c r="I190" s="477"/>
      <c r="J190" s="602"/>
      <c r="K190" s="1671">
        <f t="shared" si="18"/>
        <v>0</v>
      </c>
      <c r="L190" s="467">
        <f>SUMIFS(Data!$G:$G,Data!$A:$A,"4-"&amp;LEFT($B190,3)&amp;"*",Data!$G:$G,"&gt;0")</f>
        <v>0</v>
      </c>
    </row>
    <row r="191" spans="1:14" x14ac:dyDescent="0.2">
      <c r="A191" s="1506" t="s">
        <v>721</v>
      </c>
      <c r="B191" s="600">
        <v>4140</v>
      </c>
      <c r="C191" s="602"/>
      <c r="D191" s="602"/>
      <c r="E191" s="466">
        <f>SUMIF(Data!$A:$A,"4-"&amp;LEFT($B191,3)&amp;"*-"&amp;MID(E$1,2,1)&amp;"*",Data!$F:$F)</f>
        <v>0</v>
      </c>
      <c r="F191" s="602"/>
      <c r="G191" s="602"/>
      <c r="H191" s="466">
        <f>SUMIF(Data!$A:$A,"4-"&amp;LEFT($B191,3)&amp;"*-"&amp;MID(H$1,2,1)&amp;"*",Data!$F:$F)</f>
        <v>0</v>
      </c>
      <c r="I191" s="477"/>
      <c r="J191" s="602"/>
      <c r="K191" s="1671">
        <f t="shared" si="18"/>
        <v>0</v>
      </c>
      <c r="L191" s="467">
        <f>SUMIFS(Data!$G:$G,Data!$A:$A,"4-"&amp;LEFT($B191,3)&amp;"*",Data!$G:$G,"&gt;0")</f>
        <v>0</v>
      </c>
    </row>
    <row r="192" spans="1:14" x14ac:dyDescent="0.2">
      <c r="A192" s="1506" t="s">
        <v>88</v>
      </c>
      <c r="B192" s="600">
        <v>4170</v>
      </c>
      <c r="C192" s="602"/>
      <c r="D192" s="602"/>
      <c r="E192" s="466">
        <f>SUMIF(Data!$A:$A,"4-"&amp;LEFT($B192,3)&amp;"*-"&amp;MID(E$1,2,1)&amp;"*",Data!$F:$F)</f>
        <v>0</v>
      </c>
      <c r="F192" s="602"/>
      <c r="G192" s="602"/>
      <c r="H192" s="466">
        <f>SUMIF(Data!$A:$A,"4-"&amp;LEFT($B192,3)&amp;"*-"&amp;MID(H$1,2,1)&amp;"*",Data!$F:$F)</f>
        <v>0</v>
      </c>
      <c r="I192" s="477"/>
      <c r="J192" s="602"/>
      <c r="K192" s="1671">
        <f t="shared" si="18"/>
        <v>0</v>
      </c>
      <c r="L192" s="467">
        <f>SUMIFS(Data!$G:$G,Data!$A:$A,"4-"&amp;LEFT($B192,3)&amp;"*",Data!$G:$G,"&gt;0")</f>
        <v>0</v>
      </c>
    </row>
    <row r="193" spans="1:14" x14ac:dyDescent="0.2">
      <c r="A193" s="1510" t="s">
        <v>722</v>
      </c>
      <c r="B193" s="614">
        <v>4190</v>
      </c>
      <c r="C193" s="602"/>
      <c r="D193" s="602"/>
      <c r="E193" s="466">
        <f>SUMIF(Data!$A:$A,"4-"&amp;LEFT($B193,3)&amp;"*-"&amp;MID(E$1,2,1)&amp;"*",Data!$F:$F)</f>
        <v>0</v>
      </c>
      <c r="F193" s="602"/>
      <c r="G193" s="602"/>
      <c r="H193" s="466">
        <f>SUMIF(Data!$A:$A,"4-"&amp;LEFT($B193,3)&amp;"*-"&amp;MID(H$1,2,1)&amp;"*",Data!$F:$F)</f>
        <v>0</v>
      </c>
      <c r="I193" s="477"/>
      <c r="J193" s="602"/>
      <c r="K193" s="1671">
        <f t="shared" si="18"/>
        <v>0</v>
      </c>
      <c r="L193" s="467">
        <f>SUMIFS(Data!$G:$G,Data!$A:$A,"4-"&amp;LEFT($B193,3)&amp;"*",Data!$G:$G,"&gt;0")</f>
        <v>0</v>
      </c>
    </row>
    <row r="194" spans="1:14" ht="12.75" customHeight="1" thickBot="1" x14ac:dyDescent="0.25">
      <c r="A194" s="1668" t="s">
        <v>1202</v>
      </c>
      <c r="B194" s="1669" t="s">
        <v>580</v>
      </c>
      <c r="C194" s="602"/>
      <c r="D194" s="602"/>
      <c r="E194" s="1670">
        <f>SUM(E188:E193)</f>
        <v>0</v>
      </c>
      <c r="F194" s="602"/>
      <c r="G194" s="602"/>
      <c r="H194" s="1670">
        <f>SUM(H188:H193)</f>
        <v>0</v>
      </c>
      <c r="I194" s="477"/>
      <c r="J194" s="602"/>
      <c r="K194" s="1670">
        <f>SUM(K188:K193)</f>
        <v>0</v>
      </c>
      <c r="L194" s="1670">
        <f>SUM(L188:L193)</f>
        <v>0</v>
      </c>
    </row>
    <row r="195" spans="1:14" ht="15.75" customHeight="1" thickTop="1" x14ac:dyDescent="0.2">
      <c r="A195" s="653" t="s">
        <v>94</v>
      </c>
      <c r="B195" s="662" t="s">
        <v>988</v>
      </c>
      <c r="C195" s="602"/>
      <c r="D195" s="602"/>
      <c r="E195" s="466">
        <f>SUMIF(Data!$A:$A,"4-"&amp;LEFT($B195,3)&amp;"*-"&amp;MID(E$1,2,1)&amp;"*",Data!$F:$F)</f>
        <v>0</v>
      </c>
      <c r="F195" s="602"/>
      <c r="G195" s="602"/>
      <c r="H195" s="466">
        <f>SUMIF(Data!$A:$A,"4-"&amp;LEFT($B195,3)&amp;"*-"&amp;MID(H$1,2,1)&amp;"*",Data!$F:$F)</f>
        <v>0</v>
      </c>
      <c r="I195" s="477"/>
      <c r="J195" s="602"/>
      <c r="K195" s="1685">
        <f>SUM(E195,H195)</f>
        <v>0</v>
      </c>
      <c r="L195" s="467">
        <f>SUMIFS(Data!$G:$G,Data!$A:$A,"4-"&amp;LEFT($B195,3)&amp;"*",Data!$G:$G,"&gt;0")</f>
        <v>0</v>
      </c>
    </row>
    <row r="196" spans="1:14" ht="12.75" customHeight="1" thickBot="1" x14ac:dyDescent="0.25">
      <c r="A196" s="1668" t="s">
        <v>1567</v>
      </c>
      <c r="B196" s="1669" t="s">
        <v>915</v>
      </c>
      <c r="C196" s="602"/>
      <c r="D196" s="602"/>
      <c r="E196" s="1677">
        <f>SUM(E194,E195)</f>
        <v>0</v>
      </c>
      <c r="F196" s="602"/>
      <c r="G196" s="602"/>
      <c r="H196" s="1677">
        <f>SUM(H194,H195)</f>
        <v>0</v>
      </c>
      <c r="I196" s="477"/>
      <c r="J196" s="602"/>
      <c r="K196" s="1677">
        <f>SUM(K194,K195)</f>
        <v>0</v>
      </c>
      <c r="L196" s="1677">
        <f>SUM(L194,L195)</f>
        <v>0</v>
      </c>
    </row>
    <row r="197" spans="1:14" s="658" customFormat="1" ht="15.75" customHeight="1" thickTop="1" x14ac:dyDescent="0.2">
      <c r="A197" s="1614" t="s">
        <v>997</v>
      </c>
      <c r="B197" s="1611" t="s">
        <v>513</v>
      </c>
      <c r="C197" s="602"/>
      <c r="D197" s="602"/>
      <c r="E197" s="602"/>
      <c r="F197" s="602"/>
      <c r="G197" s="602"/>
      <c r="H197" s="602"/>
      <c r="I197" s="602"/>
      <c r="J197" s="602"/>
      <c r="K197" s="602"/>
      <c r="L197" s="602"/>
      <c r="M197" s="649"/>
      <c r="N197" s="649"/>
    </row>
    <row r="198" spans="1:14" s="658" customFormat="1" ht="15.75" customHeight="1" x14ac:dyDescent="0.2">
      <c r="A198" s="637" t="s">
        <v>95</v>
      </c>
      <c r="B198" s="608"/>
      <c r="C198" s="602"/>
      <c r="D198" s="602"/>
      <c r="E198" s="602"/>
      <c r="F198" s="602"/>
      <c r="G198" s="602"/>
      <c r="H198" s="602"/>
      <c r="I198" s="602"/>
      <c r="J198" s="602"/>
      <c r="K198" s="602"/>
      <c r="L198" s="602"/>
      <c r="M198" s="649"/>
      <c r="N198" s="649"/>
    </row>
    <row r="199" spans="1:14" x14ac:dyDescent="0.2">
      <c r="A199" s="1506" t="s">
        <v>89</v>
      </c>
      <c r="B199" s="600">
        <v>5110</v>
      </c>
      <c r="C199" s="602"/>
      <c r="D199" s="602"/>
      <c r="E199" s="602"/>
      <c r="F199" s="602"/>
      <c r="G199" s="602"/>
      <c r="H199" s="466">
        <f>SUMIF(Data!$A:$A,"4-"&amp;LEFT($B199,3)&amp;"*-"&amp;MID(H$1,2,1)&amp;"*",Data!$F:$F)</f>
        <v>0</v>
      </c>
      <c r="I199" s="602"/>
      <c r="J199" s="602"/>
      <c r="K199" s="1671">
        <f>SUM(H199)</f>
        <v>0</v>
      </c>
      <c r="L199" s="467">
        <f>SUMIFS(Data!$G:$G,Data!$A:$A,"4-"&amp;LEFT($B199,3)&amp;"*",Data!$G:$G,"&gt;0")</f>
        <v>0</v>
      </c>
    </row>
    <row r="200" spans="1:14" x14ac:dyDescent="0.2">
      <c r="A200" s="1506" t="s">
        <v>90</v>
      </c>
      <c r="B200" s="600">
        <v>5120</v>
      </c>
      <c r="C200" s="602"/>
      <c r="D200" s="602"/>
      <c r="E200" s="602"/>
      <c r="F200" s="602"/>
      <c r="G200" s="602"/>
      <c r="H200" s="466">
        <f>SUMIF(Data!$A:$A,"4-"&amp;LEFT($B200,3)&amp;"*-"&amp;MID(H$1,2,1)&amp;"*",Data!$F:$F)</f>
        <v>0</v>
      </c>
      <c r="I200" s="602"/>
      <c r="J200" s="602"/>
      <c r="K200" s="1671">
        <f>SUM(H200)</f>
        <v>0</v>
      </c>
      <c r="L200" s="467">
        <f>SUMIFS(Data!$G:$G,Data!$A:$A,"4-"&amp;LEFT($B200,3)&amp;"*",Data!$G:$G,"&gt;0")</f>
        <v>0</v>
      </c>
    </row>
    <row r="201" spans="1:14" ht="12.75" customHeight="1" x14ac:dyDescent="0.2">
      <c r="A201" s="1506" t="s">
        <v>1232</v>
      </c>
      <c r="B201" s="614" t="s">
        <v>638</v>
      </c>
      <c r="C201" s="602"/>
      <c r="D201" s="602"/>
      <c r="E201" s="602"/>
      <c r="F201" s="602"/>
      <c r="G201" s="602"/>
      <c r="H201" s="466">
        <f>SUMIF(Data!$A:$A,"4-"&amp;LEFT($B201,3)&amp;"*-"&amp;MID(H$1,2,1)&amp;"*",Data!$F:$F)</f>
        <v>0</v>
      </c>
      <c r="I201" s="602"/>
      <c r="J201" s="602"/>
      <c r="K201" s="1671">
        <f>SUM(H201)</f>
        <v>0</v>
      </c>
      <c r="L201" s="467">
        <f>SUMIFS(Data!$G:$G,Data!$A:$A,"4-"&amp;LEFT($B201,3)&amp;"*",Data!$G:$G,"&gt;0")</f>
        <v>0</v>
      </c>
    </row>
    <row r="202" spans="1:14" x14ac:dyDescent="0.2">
      <c r="A202" s="1506" t="s">
        <v>91</v>
      </c>
      <c r="B202" s="600" t="s">
        <v>610</v>
      </c>
      <c r="C202" s="602"/>
      <c r="D202" s="602"/>
      <c r="E202" s="602"/>
      <c r="F202" s="602"/>
      <c r="G202" s="602"/>
      <c r="H202" s="466">
        <f>SUMIF(Data!$A:$A,"4-"&amp;LEFT($B202,3)&amp;"*-"&amp;MID(H$1,2,1)&amp;"*",Data!$F:$F)</f>
        <v>0</v>
      </c>
      <c r="I202" s="602"/>
      <c r="J202" s="602"/>
      <c r="K202" s="1671">
        <f>SUM(H202)</f>
        <v>0</v>
      </c>
      <c r="L202" s="467">
        <f>SUMIFS(Data!$G:$G,Data!$A:$A,"4-"&amp;LEFT($B202,3)&amp;"*",Data!$G:$G,"&gt;0")</f>
        <v>0</v>
      </c>
    </row>
    <row r="203" spans="1:14" x14ac:dyDescent="0.2">
      <c r="A203" s="1518" t="s">
        <v>640</v>
      </c>
      <c r="B203" s="600" t="s">
        <v>639</v>
      </c>
      <c r="C203" s="602"/>
      <c r="D203" s="602"/>
      <c r="E203" s="602"/>
      <c r="F203" s="602"/>
      <c r="G203" s="602"/>
      <c r="H203" s="466">
        <f>SUMIF(Data!$A:$A,"4-"&amp;LEFT($B203,3)&amp;"*-"&amp;MID(H$1,2,1)&amp;"*",Data!$F:$F)</f>
        <v>0</v>
      </c>
      <c r="I203" s="602"/>
      <c r="J203" s="602"/>
      <c r="K203" s="1671">
        <f>SUM(H203)</f>
        <v>0</v>
      </c>
      <c r="L203" s="467">
        <f>SUMIFS(Data!$G:$G,Data!$A:$A,"4-"&amp;LEFT($B203,3)&amp;"*",Data!$G:$G,"&gt;0")</f>
        <v>0</v>
      </c>
    </row>
    <row r="204" spans="1:14" ht="13.5" thickBot="1" x14ac:dyDescent="0.25">
      <c r="A204" s="1668" t="s">
        <v>294</v>
      </c>
      <c r="B204" s="1669" t="s">
        <v>742</v>
      </c>
      <c r="C204" s="602"/>
      <c r="D204" s="602"/>
      <c r="E204" s="602"/>
      <c r="F204" s="602"/>
      <c r="G204" s="602"/>
      <c r="H204" s="1670">
        <f>SUM(H199:H203)</f>
        <v>0</v>
      </c>
      <c r="I204" s="602"/>
      <c r="J204" s="602"/>
      <c r="K204" s="1670">
        <f>SUM(K199:K203)</f>
        <v>0</v>
      </c>
      <c r="L204" s="1670">
        <f>SUM(L199:L203)</f>
        <v>0</v>
      </c>
    </row>
    <row r="205" spans="1:14" ht="15.75" customHeight="1" thickTop="1" x14ac:dyDescent="0.2">
      <c r="A205" s="663" t="s">
        <v>85</v>
      </c>
      <c r="B205" s="664" t="s">
        <v>38</v>
      </c>
      <c r="C205" s="602"/>
      <c r="D205" s="602"/>
      <c r="E205" s="602"/>
      <c r="F205" s="602"/>
      <c r="G205" s="602"/>
      <c r="H205" s="466">
        <v>19552</v>
      </c>
      <c r="I205" s="602"/>
      <c r="J205" s="602"/>
      <c r="K205" s="1685">
        <f>SUM(H205)</f>
        <v>19552</v>
      </c>
      <c r="L205" s="467">
        <f>SUMIFS(Data!$G:$G,Data!$A:$A,"4-"&amp;LEFT($B205,3)&amp;"*",Data!$G:$G,"&gt;0")</f>
        <v>0</v>
      </c>
    </row>
    <row r="206" spans="1:14" ht="30" customHeight="1" x14ac:dyDescent="0.2">
      <c r="A206" s="665" t="s">
        <v>1770</v>
      </c>
      <c r="B206" s="656" t="s">
        <v>31</v>
      </c>
      <c r="C206" s="602"/>
      <c r="D206" s="602"/>
      <c r="E206" s="602"/>
      <c r="F206" s="602"/>
      <c r="G206" s="602"/>
      <c r="H206" s="466">
        <v>130714</v>
      </c>
      <c r="I206" s="602"/>
      <c r="J206" s="602"/>
      <c r="K206" s="1671">
        <f>SUM(H206)</f>
        <v>130714</v>
      </c>
      <c r="L206" s="467">
        <f>SUMIFS(Data!$G:$G,Data!$A:$A,"4-"&amp;LEFT($B206,3)&amp;"*",Data!$G:$G,"&gt;0")</f>
        <v>0</v>
      </c>
    </row>
    <row r="207" spans="1:14" ht="15.75" customHeight="1" x14ac:dyDescent="0.2">
      <c r="A207" s="607" t="s">
        <v>790</v>
      </c>
      <c r="B207" s="656" t="s">
        <v>86</v>
      </c>
      <c r="C207" s="602"/>
      <c r="D207" s="602"/>
      <c r="E207" s="602"/>
      <c r="F207" s="602"/>
      <c r="G207" s="602"/>
      <c r="H207" s="466">
        <f>SUMIF(Data!$A:$A,"4-"&amp;LEFT($B207,3)&amp;"*-"&amp;MID(H$1,2,1)&amp;"*",Data!$F:$F)</f>
        <v>0</v>
      </c>
      <c r="I207" s="602"/>
      <c r="J207" s="602"/>
      <c r="K207" s="1671">
        <f>H207</f>
        <v>0</v>
      </c>
      <c r="L207" s="467">
        <f>SUMIFS(Data!$G:$G,Data!$A:$A,"4-"&amp;LEFT($B207,3)&amp;"*",Data!$G:$G,"&gt;0")</f>
        <v>0</v>
      </c>
    </row>
    <row r="208" spans="1:14" ht="12.75" customHeight="1" thickBot="1" x14ac:dyDescent="0.25">
      <c r="A208" s="1686" t="s">
        <v>659</v>
      </c>
      <c r="B208" s="1687" t="s">
        <v>513</v>
      </c>
      <c r="C208" s="602"/>
      <c r="D208" s="602"/>
      <c r="E208" s="602"/>
      <c r="F208" s="602"/>
      <c r="G208" s="602"/>
      <c r="H208" s="1677">
        <f>SUM(H204,H205,H206,H207)</f>
        <v>150266</v>
      </c>
      <c r="I208" s="602"/>
      <c r="J208" s="602"/>
      <c r="K208" s="1677">
        <f>SUM(K204,K205,K206,K207)</f>
        <v>150266</v>
      </c>
      <c r="L208" s="1677">
        <f>SUM(L204,L205,L206,L207)</f>
        <v>0</v>
      </c>
    </row>
    <row r="209" spans="1:14" ht="15.75" customHeight="1" thickTop="1" x14ac:dyDescent="0.2">
      <c r="A209" s="1608" t="s">
        <v>927</v>
      </c>
      <c r="B209" s="1615" t="s">
        <v>916</v>
      </c>
      <c r="C209" s="609"/>
      <c r="D209" s="609"/>
      <c r="E209" s="609"/>
      <c r="F209" s="609"/>
      <c r="G209" s="609"/>
      <c r="H209" s="609"/>
      <c r="I209" s="602"/>
      <c r="J209" s="602"/>
      <c r="K209" s="609"/>
      <c r="L209" s="467">
        <f>SUMIFS(Data!$G:$G,Data!$A:$A,"4-"&amp;LEFT($B209,3)&amp;"*",Data!$G:$G,"&gt;0")</f>
        <v>0</v>
      </c>
    </row>
    <row r="210" spans="1:14" ht="12.75" customHeight="1" thickBot="1" x14ac:dyDescent="0.25">
      <c r="A210" s="1692" t="s">
        <v>295</v>
      </c>
      <c r="B210" s="1693"/>
      <c r="C210" s="1670">
        <f>SUM(C184,C185)</f>
        <v>851948</v>
      </c>
      <c r="D210" s="1670">
        <f>SUM(D184,D185)</f>
        <v>55717</v>
      </c>
      <c r="E210" s="1670">
        <f>SUM(E184,E185,E196)</f>
        <v>76551</v>
      </c>
      <c r="F210" s="1670">
        <f>SUM(F184,F185)</f>
        <v>162969</v>
      </c>
      <c r="G210" s="1670">
        <f>SUM(G184,G185)</f>
        <v>640534</v>
      </c>
      <c r="H210" s="1670">
        <f>SUM(H184,H185,H196,H208,H209)</f>
        <v>150266</v>
      </c>
      <c r="I210" s="1670">
        <f>SUM(I184,I185)</f>
        <v>0</v>
      </c>
      <c r="J210" s="1670">
        <f>SUM(J184,J185)</f>
        <v>0</v>
      </c>
      <c r="K210" s="1671">
        <f>SUM(K184,K185,K196,K208,K209)</f>
        <v>1937985</v>
      </c>
      <c r="L210" s="1670">
        <f>SUM(L184,L185,L196,L208,L209)</f>
        <v>2024062</v>
      </c>
    </row>
    <row r="211" spans="1:14" ht="13.5" thickTop="1" x14ac:dyDescent="0.2">
      <c r="A211" s="2234" t="s">
        <v>1053</v>
      </c>
      <c r="B211" s="2235"/>
      <c r="C211" s="604"/>
      <c r="D211" s="604"/>
      <c r="E211" s="604"/>
      <c r="F211" s="604"/>
      <c r="G211" s="604"/>
      <c r="H211" s="604"/>
      <c r="I211" s="602"/>
      <c r="J211" s="602"/>
      <c r="K211" s="1684">
        <f>'Revenues 9-14'!F275-'Expenditures 15-22'!K210</f>
        <v>-461095</v>
      </c>
      <c r="L211" s="604"/>
    </row>
    <row r="212" spans="1:14" s="650" customFormat="1" ht="9" customHeight="1" x14ac:dyDescent="0.2">
      <c r="A212" s="647"/>
      <c r="B212" s="657"/>
      <c r="C212" s="634"/>
      <c r="D212" s="634"/>
      <c r="E212" s="634"/>
      <c r="F212" s="634"/>
      <c r="G212" s="634"/>
      <c r="H212" s="634"/>
      <c r="I212" s="634"/>
      <c r="J212" s="634"/>
      <c r="K212" s="634"/>
      <c r="L212" s="634"/>
      <c r="M212" s="649"/>
      <c r="N212" s="649"/>
    </row>
    <row r="213" spans="1:14" s="343" customFormat="1" ht="16.7" customHeight="1" x14ac:dyDescent="0.2">
      <c r="A213" s="2229" t="s">
        <v>1022</v>
      </c>
      <c r="B213" s="2230"/>
      <c r="C213" s="1553"/>
      <c r="D213" s="1554"/>
      <c r="E213" s="1554"/>
      <c r="F213" s="1554"/>
      <c r="G213" s="1554"/>
      <c r="H213" s="1554"/>
      <c r="I213" s="1554"/>
      <c r="J213" s="1554"/>
      <c r="K213" s="1554"/>
      <c r="L213" s="1555"/>
      <c r="M213" s="595"/>
      <c r="N213" s="595"/>
    </row>
    <row r="214" spans="1:14" s="658" customFormat="1" ht="15.75" customHeight="1" x14ac:dyDescent="0.2">
      <c r="A214" s="1625" t="s">
        <v>928</v>
      </c>
      <c r="B214" s="1617" t="s">
        <v>591</v>
      </c>
      <c r="C214" s="602"/>
      <c r="D214" s="609"/>
      <c r="E214" s="602"/>
      <c r="F214" s="602"/>
      <c r="G214" s="602"/>
      <c r="H214" s="602"/>
      <c r="I214" s="602"/>
      <c r="J214" s="602"/>
      <c r="K214" s="609"/>
      <c r="L214" s="609"/>
      <c r="M214" s="649"/>
      <c r="N214" s="649"/>
    </row>
    <row r="215" spans="1:14" x14ac:dyDescent="0.2">
      <c r="A215" s="1506" t="s">
        <v>1018</v>
      </c>
      <c r="B215" s="600">
        <v>1100</v>
      </c>
      <c r="C215" s="602"/>
      <c r="D215" s="1945">
        <f>ROUND(SUMIF(Data!$A:$A,"5-"&amp;LEFT($B215,3)&amp;"*-"&amp;MID(D$1,2,1)&amp;"*",Data!$F:$F),0)</f>
        <v>89974</v>
      </c>
      <c r="E215" s="602"/>
      <c r="F215" s="602"/>
      <c r="G215" s="602"/>
      <c r="H215" s="602"/>
      <c r="I215" s="602"/>
      <c r="J215" s="602"/>
      <c r="K215" s="1671">
        <f>D215</f>
        <v>89974</v>
      </c>
      <c r="L215" s="467">
        <v>89889</v>
      </c>
    </row>
    <row r="216" spans="1:14" x14ac:dyDescent="0.2">
      <c r="A216" s="1506" t="s">
        <v>165</v>
      </c>
      <c r="B216" s="600" t="s">
        <v>1024</v>
      </c>
      <c r="C216" s="602"/>
      <c r="D216" s="1945">
        <f>ROUND(SUMIF(Data!$A:$A,"5-"&amp;LEFT($B216,3)&amp;"*-"&amp;MID(D$1,2,1)&amp;"*",Data!$F:$F),0)</f>
        <v>0</v>
      </c>
      <c r="E216" s="602"/>
      <c r="F216" s="602"/>
      <c r="G216" s="602"/>
      <c r="H216" s="602"/>
      <c r="I216" s="602"/>
      <c r="J216" s="602"/>
      <c r="K216" s="1671">
        <f t="shared" ref="K216:K228" si="19">D216</f>
        <v>0</v>
      </c>
      <c r="L216" s="466"/>
    </row>
    <row r="217" spans="1:14" x14ac:dyDescent="0.2">
      <c r="A217" s="1506" t="s">
        <v>166</v>
      </c>
      <c r="B217" s="600">
        <v>1200</v>
      </c>
      <c r="C217" s="602"/>
      <c r="D217" s="1945">
        <f>ROUND(SUMIF(Data!$A:$A,"5-"&amp;LEFT($B217,3)&amp;"*-"&amp;MID(D$1,2,1)&amp;"*",Data!$F:$F),0)</f>
        <v>131922</v>
      </c>
      <c r="E217" s="602"/>
      <c r="F217" s="602"/>
      <c r="G217" s="602"/>
      <c r="H217" s="602"/>
      <c r="I217" s="602"/>
      <c r="J217" s="602"/>
      <c r="K217" s="1671">
        <f t="shared" si="19"/>
        <v>131922</v>
      </c>
      <c r="L217" s="467">
        <v>180116</v>
      </c>
    </row>
    <row r="218" spans="1:14" x14ac:dyDescent="0.2">
      <c r="A218" s="1506" t="s">
        <v>296</v>
      </c>
      <c r="B218" s="600" t="s">
        <v>1025</v>
      </c>
      <c r="C218" s="602"/>
      <c r="D218" s="1945">
        <f>ROUND(SUMIF(Data!$A:$A,"5-"&amp;LEFT($B218,3)&amp;"*-"&amp;MID(D$1,2,1)&amp;"*",Data!$F:$F),0)</f>
        <v>53873</v>
      </c>
      <c r="E218" s="602"/>
      <c r="F218" s="602"/>
      <c r="G218" s="602"/>
      <c r="H218" s="602"/>
      <c r="I218" s="602"/>
      <c r="J218" s="602"/>
      <c r="K218" s="1671">
        <f t="shared" si="19"/>
        <v>53873</v>
      </c>
      <c r="L218" s="467">
        <v>4001</v>
      </c>
    </row>
    <row r="219" spans="1:14" x14ac:dyDescent="0.2">
      <c r="A219" s="1506" t="s">
        <v>297</v>
      </c>
      <c r="B219" s="600">
        <v>1250</v>
      </c>
      <c r="C219" s="602"/>
      <c r="D219" s="1945">
        <f>ROUND(SUMIF(Data!$A:$A,"5-"&amp;LEFT($B219,3)&amp;"*-"&amp;MID(D$1,2,1)&amp;"*",Data!$F:$F),0)</f>
        <v>7467</v>
      </c>
      <c r="E219" s="602"/>
      <c r="F219" s="602"/>
      <c r="G219" s="602"/>
      <c r="H219" s="602"/>
      <c r="I219" s="602"/>
      <c r="J219" s="602"/>
      <c r="K219" s="1671">
        <f t="shared" si="19"/>
        <v>7467</v>
      </c>
      <c r="L219" s="467">
        <f>SUMIFS(Data!$G:$G,Data!$A:$A,"5-"&amp;LEFT($B219,3)&amp;"*",Data!$G:$G,"&gt;0")</f>
        <v>7455</v>
      </c>
    </row>
    <row r="220" spans="1:14" x14ac:dyDescent="0.2">
      <c r="A220" s="1506" t="s">
        <v>298</v>
      </c>
      <c r="B220" s="600" t="s">
        <v>163</v>
      </c>
      <c r="C220" s="602"/>
      <c r="D220" s="1945">
        <f>ROUND(SUMIF(Data!$A:$A,"5-"&amp;LEFT($B220,3)&amp;"*-"&amp;MID(D$1,2,1)&amp;"*",Data!$F:$F),0)</f>
        <v>30267</v>
      </c>
      <c r="E220" s="602"/>
      <c r="F220" s="602"/>
      <c r="G220" s="602"/>
      <c r="H220" s="602"/>
      <c r="I220" s="602"/>
      <c r="J220" s="602"/>
      <c r="K220" s="1671">
        <f t="shared" si="19"/>
        <v>30267</v>
      </c>
      <c r="L220" s="467">
        <f>SUMIFS(Data!$G:$G,Data!$A:$A,"5-"&amp;LEFT($B220,3)&amp;"*",Data!$G:$G,"&gt;0")</f>
        <v>30207</v>
      </c>
    </row>
    <row r="221" spans="1:14" x14ac:dyDescent="0.2">
      <c r="A221" s="1506" t="s">
        <v>1019</v>
      </c>
      <c r="B221" s="600">
        <v>1300</v>
      </c>
      <c r="C221" s="602"/>
      <c r="D221" s="1945">
        <f>ROUND(SUMIF(Data!$A:$A,"5-"&amp;LEFT($B221,3)&amp;"*-"&amp;MID(D$1,2,1)&amp;"*",Data!$F:$F),0)</f>
        <v>0</v>
      </c>
      <c r="E221" s="602"/>
      <c r="F221" s="602"/>
      <c r="G221" s="602"/>
      <c r="H221" s="602"/>
      <c r="I221" s="602"/>
      <c r="J221" s="602"/>
      <c r="K221" s="1671">
        <f t="shared" si="19"/>
        <v>0</v>
      </c>
      <c r="L221" s="467">
        <f>SUMIFS(Data!$G:$G,Data!$A:$A,"5-"&amp;LEFT($B221,3)&amp;"*",Data!$G:$G,"&gt;0")</f>
        <v>0</v>
      </c>
    </row>
    <row r="222" spans="1:14" x14ac:dyDescent="0.2">
      <c r="A222" s="1506" t="s">
        <v>747</v>
      </c>
      <c r="B222" s="600">
        <v>1400</v>
      </c>
      <c r="C222" s="602"/>
      <c r="D222" s="1945">
        <f>ROUND(SUMIF(Data!$A:$A,"5-"&amp;LEFT($B222,3)&amp;"*-"&amp;MID(D$1,2,1)&amp;"*",Data!$F:$F),0)</f>
        <v>0</v>
      </c>
      <c r="E222" s="602"/>
      <c r="F222" s="602"/>
      <c r="G222" s="602"/>
      <c r="H222" s="602"/>
      <c r="I222" s="602"/>
      <c r="J222" s="602"/>
      <c r="K222" s="1671">
        <f t="shared" si="19"/>
        <v>0</v>
      </c>
      <c r="L222" s="467">
        <f>SUMIFS(Data!$G:$G,Data!$A:$A,"5-"&amp;LEFT($B222,3)&amp;"*",Data!$G:$G,"&gt;0")</f>
        <v>0</v>
      </c>
    </row>
    <row r="223" spans="1:14" x14ac:dyDescent="0.2">
      <c r="A223" s="1506" t="s">
        <v>1020</v>
      </c>
      <c r="B223" s="600">
        <v>1500</v>
      </c>
      <c r="C223" s="602"/>
      <c r="D223" s="1945">
        <f>ROUND(SUMIF(Data!$A:$A,"5-"&amp;LEFT($B223,3)&amp;"*-"&amp;MID(D$1,2,1)&amp;"*",Data!$F:$F),0)</f>
        <v>3324</v>
      </c>
      <c r="E223" s="602"/>
      <c r="F223" s="602"/>
      <c r="G223" s="602"/>
      <c r="H223" s="602"/>
      <c r="I223" s="602"/>
      <c r="J223" s="602"/>
      <c r="K223" s="1671">
        <f t="shared" si="19"/>
        <v>3324</v>
      </c>
      <c r="L223" s="467">
        <f>SUMIFS(Data!$G:$G,Data!$A:$A,"5-15"&amp;"*",Data!$G:$G,"&gt;0")</f>
        <v>3390</v>
      </c>
    </row>
    <row r="224" spans="1:14" x14ac:dyDescent="0.2">
      <c r="A224" s="1506" t="s">
        <v>1021</v>
      </c>
      <c r="B224" s="600">
        <v>1600</v>
      </c>
      <c r="C224" s="602"/>
      <c r="D224" s="1945">
        <f>ROUND(SUMIF(Data!$A:$A,"5-"&amp;LEFT($B224,3)&amp;"*-"&amp;MID(D$1,2,1)&amp;"*",Data!$F:$F),0)</f>
        <v>0</v>
      </c>
      <c r="E224" s="602"/>
      <c r="F224" s="602"/>
      <c r="G224" s="602"/>
      <c r="H224" s="602"/>
      <c r="I224" s="602"/>
      <c r="J224" s="602"/>
      <c r="K224" s="1671">
        <f t="shared" si="19"/>
        <v>0</v>
      </c>
      <c r="L224" s="467">
        <f>SUMIFS(Data!$G:$G,Data!$A:$A,"5-"&amp;LEFT($B224,3)&amp;"*",Data!$G:$G,"&gt;0")</f>
        <v>0</v>
      </c>
    </row>
    <row r="225" spans="1:12" x14ac:dyDescent="0.2">
      <c r="A225" s="1506" t="s">
        <v>1044</v>
      </c>
      <c r="B225" s="600">
        <v>1650</v>
      </c>
      <c r="C225" s="602"/>
      <c r="D225" s="1945">
        <f>ROUND(SUMIF(Data!$A:$A,"5-"&amp;LEFT($B225,3)&amp;"*-"&amp;MID(D$1,2,1)&amp;"*",Data!$F:$F),0)</f>
        <v>0</v>
      </c>
      <c r="E225" s="602"/>
      <c r="F225" s="602"/>
      <c r="G225" s="602"/>
      <c r="H225" s="602"/>
      <c r="I225" s="602"/>
      <c r="J225" s="602"/>
      <c r="K225" s="1671">
        <f t="shared" si="19"/>
        <v>0</v>
      </c>
      <c r="L225" s="467">
        <f>SUMIFS(Data!$G:$G,Data!$A:$A,"5-"&amp;LEFT($B225,3)&amp;"*",Data!$G:$G,"&gt;0")</f>
        <v>0</v>
      </c>
    </row>
    <row r="226" spans="1:12" x14ac:dyDescent="0.2">
      <c r="A226" s="1506" t="s">
        <v>748</v>
      </c>
      <c r="B226" s="600" t="s">
        <v>164</v>
      </c>
      <c r="C226" s="602"/>
      <c r="D226" s="1945">
        <f>ROUND(SUMIF(Data!$A:$A,"5-"&amp;LEFT($B226,3)&amp;"*-"&amp;MID(D$1,2,1)&amp;"*",Data!$F:$F),0)</f>
        <v>0</v>
      </c>
      <c r="E226" s="602"/>
      <c r="F226" s="602"/>
      <c r="G226" s="602"/>
      <c r="H226" s="602"/>
      <c r="I226" s="602"/>
      <c r="J226" s="602"/>
      <c r="K226" s="1671">
        <f t="shared" si="19"/>
        <v>0</v>
      </c>
      <c r="L226" s="467">
        <f>SUMIFS(Data!$G:$G,Data!$A:$A,"5-"&amp;LEFT($B226,3)&amp;"*",Data!$G:$G,"&gt;0")</f>
        <v>0</v>
      </c>
    </row>
    <row r="227" spans="1:12" x14ac:dyDescent="0.2">
      <c r="A227" s="1506" t="s">
        <v>1148</v>
      </c>
      <c r="B227" s="600">
        <v>1800</v>
      </c>
      <c r="C227" s="602"/>
      <c r="D227" s="1945">
        <f>ROUND(SUMIF(Data!$A:$A,"5-"&amp;LEFT($B227,3)&amp;"*-"&amp;MID(D$1,2,1)&amp;"*",Data!$F:$F),0)</f>
        <v>0</v>
      </c>
      <c r="E227" s="602"/>
      <c r="F227" s="602"/>
      <c r="G227" s="602"/>
      <c r="H227" s="602"/>
      <c r="I227" s="602"/>
      <c r="J227" s="602"/>
      <c r="K227" s="1671">
        <f t="shared" si="19"/>
        <v>0</v>
      </c>
      <c r="L227" s="467">
        <f>SUMIFS(Data!$G:$G,Data!$A:$A,"5-"&amp;LEFT($B227,3)&amp;"*",Data!$G:$G,"&gt;0")</f>
        <v>0</v>
      </c>
    </row>
    <row r="228" spans="1:12" x14ac:dyDescent="0.2">
      <c r="A228" s="1506" t="s">
        <v>1149</v>
      </c>
      <c r="B228" s="600">
        <v>1900</v>
      </c>
      <c r="C228" s="602"/>
      <c r="D228" s="1945">
        <f>ROUND(SUMIF(Data!$A:$A,"5-"&amp;LEFT($B228,3)&amp;"*-"&amp;MID(D$1,2,1)&amp;"*",Data!$F:$F),0)</f>
        <v>0</v>
      </c>
      <c r="E228" s="602"/>
      <c r="F228" s="602"/>
      <c r="G228" s="602"/>
      <c r="H228" s="602"/>
      <c r="I228" s="602"/>
      <c r="J228" s="602"/>
      <c r="K228" s="1671">
        <f t="shared" si="19"/>
        <v>0</v>
      </c>
      <c r="L228" s="467">
        <f>SUMIFS(Data!$G:$G,Data!$A:$A,"5-"&amp;LEFT($B228,3)&amp;"*",Data!$G:$G,"&gt;0")</f>
        <v>0</v>
      </c>
    </row>
    <row r="229" spans="1:12" ht="12.75" customHeight="1" thickBot="1" x14ac:dyDescent="0.25">
      <c r="A229" s="1668" t="s">
        <v>739</v>
      </c>
      <c r="B229" s="1675" t="s">
        <v>591</v>
      </c>
      <c r="C229" s="602"/>
      <c r="D229" s="1670">
        <f>SUM(D215:D228)</f>
        <v>316827</v>
      </c>
      <c r="E229" s="602"/>
      <c r="F229" s="602"/>
      <c r="G229" s="602"/>
      <c r="H229" s="602"/>
      <c r="I229" s="602"/>
      <c r="J229" s="602"/>
      <c r="K229" s="1670">
        <f>SUM(K215:K228)</f>
        <v>316827</v>
      </c>
      <c r="L229" s="1670">
        <f>SUM(L215:L228)</f>
        <v>315058</v>
      </c>
    </row>
    <row r="230" spans="1:12" ht="15.75" customHeight="1" thickTop="1" x14ac:dyDescent="0.2">
      <c r="A230" s="1614" t="s">
        <v>929</v>
      </c>
      <c r="B230" s="1615" t="s">
        <v>590</v>
      </c>
      <c r="C230" s="602"/>
      <c r="D230" s="602"/>
      <c r="E230" s="602"/>
      <c r="F230" s="602"/>
      <c r="G230" s="602"/>
      <c r="H230" s="602"/>
      <c r="I230" s="602"/>
      <c r="J230" s="602"/>
      <c r="K230" s="602"/>
      <c r="L230" s="602"/>
    </row>
    <row r="231" spans="1:12" ht="15.75" customHeight="1" x14ac:dyDescent="0.2">
      <c r="A231" s="637" t="s">
        <v>612</v>
      </c>
      <c r="B231" s="608"/>
      <c r="C231" s="602"/>
      <c r="D231" s="602"/>
      <c r="E231" s="602"/>
      <c r="F231" s="602"/>
      <c r="G231" s="602"/>
      <c r="H231" s="602"/>
      <c r="I231" s="602"/>
      <c r="J231" s="602"/>
      <c r="K231" s="602"/>
      <c r="L231" s="602"/>
    </row>
    <row r="232" spans="1:12" x14ac:dyDescent="0.2">
      <c r="A232" s="1506" t="s">
        <v>1150</v>
      </c>
      <c r="B232" s="600">
        <v>2110</v>
      </c>
      <c r="C232" s="602"/>
      <c r="D232" s="1945">
        <f>ROUND(SUMIF(Data!$A:$A,"5-"&amp;LEFT($B232,3)&amp;"*-"&amp;MID(D$1,2,1)&amp;"*",Data!$F:$F),0)</f>
        <v>4556</v>
      </c>
      <c r="E232" s="602"/>
      <c r="F232" s="602"/>
      <c r="G232" s="602"/>
      <c r="H232" s="602"/>
      <c r="I232" s="602"/>
      <c r="J232" s="602"/>
      <c r="K232" s="1671">
        <f t="shared" ref="K232:K237" si="20">D232</f>
        <v>4556</v>
      </c>
      <c r="L232" s="467">
        <f>SUMIFS(Data!$G:$G,Data!$A:$A,"5-"&amp;LEFT($B232,3)&amp;"*",Data!$G:$G,"&gt;0")</f>
        <v>4913</v>
      </c>
    </row>
    <row r="233" spans="1:12" x14ac:dyDescent="0.2">
      <c r="A233" s="1506" t="s">
        <v>1151</v>
      </c>
      <c r="B233" s="600">
        <v>2120</v>
      </c>
      <c r="C233" s="602"/>
      <c r="D233" s="1945">
        <f>ROUND(SUMIF(Data!$A:$A,"5-"&amp;LEFT($B233,3)&amp;"*-"&amp;MID(D$1,2,1)&amp;"*",Data!$F:$F),0)</f>
        <v>1995</v>
      </c>
      <c r="E233" s="602"/>
      <c r="F233" s="602"/>
      <c r="G233" s="602"/>
      <c r="H233" s="602"/>
      <c r="I233" s="602"/>
      <c r="J233" s="602"/>
      <c r="K233" s="1671">
        <f t="shared" si="20"/>
        <v>1995</v>
      </c>
      <c r="L233" s="467">
        <f>SUMIFS(Data!$G:$G,Data!$A:$A,"5-"&amp;LEFT($B233,3)&amp;"*",Data!$G:$G,"&gt;0")</f>
        <v>2251</v>
      </c>
    </row>
    <row r="234" spans="1:12" x14ac:dyDescent="0.2">
      <c r="A234" s="1506" t="s">
        <v>207</v>
      </c>
      <c r="B234" s="600">
        <v>2130</v>
      </c>
      <c r="C234" s="602"/>
      <c r="D234" s="1945">
        <f>ROUND(SUMIF(Data!$A:$A,"5-"&amp;LEFT($B234,3)&amp;"*-"&amp;MID(D$1,2,1)&amp;"*",Data!$F:$F),0)</f>
        <v>23583</v>
      </c>
      <c r="E234" s="602"/>
      <c r="F234" s="602"/>
      <c r="G234" s="602"/>
      <c r="H234" s="602"/>
      <c r="I234" s="602"/>
      <c r="J234" s="602"/>
      <c r="K234" s="1671">
        <f t="shared" si="20"/>
        <v>23583</v>
      </c>
      <c r="L234" s="467">
        <f>SUMIFS(Data!$G:$G,Data!$A:$A,"5-"&amp;LEFT($B234,3)&amp;"*",Data!$G:$G,"&gt;0")</f>
        <v>23271</v>
      </c>
    </row>
    <row r="235" spans="1:12" x14ac:dyDescent="0.2">
      <c r="A235" s="1506" t="s">
        <v>208</v>
      </c>
      <c r="B235" s="600">
        <v>2140</v>
      </c>
      <c r="C235" s="602"/>
      <c r="D235" s="1945">
        <f>ROUND(SUMIF(Data!$A:$A,"5-"&amp;LEFT($B235,3)&amp;"*-"&amp;MID(D$1,2,1)&amp;"*",Data!$F:$F),0)</f>
        <v>10357</v>
      </c>
      <c r="E235" s="602"/>
      <c r="F235" s="602"/>
      <c r="G235" s="602"/>
      <c r="H235" s="602"/>
      <c r="I235" s="602"/>
      <c r="J235" s="602"/>
      <c r="K235" s="1671">
        <f t="shared" si="20"/>
        <v>10357</v>
      </c>
      <c r="L235" s="467">
        <f>SUMIFS(Data!$G:$G,Data!$A:$A,"5-"&amp;LEFT($B235,3)&amp;"*",Data!$G:$G,"&gt;0")</f>
        <v>10304</v>
      </c>
    </row>
    <row r="236" spans="1:12" x14ac:dyDescent="0.2">
      <c r="A236" s="1506" t="s">
        <v>209</v>
      </c>
      <c r="B236" s="600">
        <v>2150</v>
      </c>
      <c r="C236" s="602"/>
      <c r="D236" s="1945">
        <f>ROUND(SUMIF(Data!$A:$A,"5-"&amp;LEFT($B236,3)&amp;"*-"&amp;MID(D$1,2,1)&amp;"*",Data!$F:$F),0)</f>
        <v>4818</v>
      </c>
      <c r="E236" s="602"/>
      <c r="F236" s="602"/>
      <c r="G236" s="602"/>
      <c r="H236" s="602"/>
      <c r="I236" s="602"/>
      <c r="J236" s="602"/>
      <c r="K236" s="1671">
        <f t="shared" si="20"/>
        <v>4818</v>
      </c>
      <c r="L236" s="467">
        <f>SUMIFS(Data!$G:$G,Data!$A:$A,"5-"&amp;LEFT($B236,3)&amp;"*",Data!$G:$G,"&gt;0")</f>
        <v>5410</v>
      </c>
    </row>
    <row r="237" spans="1:12" x14ac:dyDescent="0.2">
      <c r="A237" s="1506" t="s">
        <v>167</v>
      </c>
      <c r="B237" s="600">
        <v>2190</v>
      </c>
      <c r="C237" s="602"/>
      <c r="D237" s="1945">
        <f>ROUND(SUMIF(Data!$A:$A,"5-"&amp;LEFT($B237,3)&amp;"*-"&amp;MID(D$1,2,1)&amp;"*",Data!$F:$F),0)</f>
        <v>2860</v>
      </c>
      <c r="E237" s="602"/>
      <c r="F237" s="602"/>
      <c r="G237" s="602"/>
      <c r="H237" s="602"/>
      <c r="I237" s="602"/>
      <c r="J237" s="602"/>
      <c r="K237" s="1671">
        <f t="shared" si="20"/>
        <v>2860</v>
      </c>
      <c r="L237" s="467">
        <f>SUMIFS(Data!$G:$G,Data!$A:$A,"5-"&amp;LEFT($B237,3)&amp;"*",Data!$G:$G,"&gt;0")</f>
        <v>3016</v>
      </c>
    </row>
    <row r="238" spans="1:12" ht="12.75" customHeight="1" thickBot="1" x14ac:dyDescent="0.25">
      <c r="A238" s="1668" t="s">
        <v>581</v>
      </c>
      <c r="B238" s="1675" t="s">
        <v>740</v>
      </c>
      <c r="C238" s="602"/>
      <c r="D238" s="1670">
        <f>SUM(D232:D237)</f>
        <v>48169</v>
      </c>
      <c r="E238" s="602"/>
      <c r="F238" s="602"/>
      <c r="G238" s="602"/>
      <c r="H238" s="602"/>
      <c r="I238" s="602"/>
      <c r="J238" s="602"/>
      <c r="K238" s="1670">
        <f>SUM(K232:K237)</f>
        <v>48169</v>
      </c>
      <c r="L238" s="1670">
        <f>SUM(L232:L237)</f>
        <v>49165</v>
      </c>
    </row>
    <row r="239" spans="1:12" ht="15.75" customHeight="1" thickTop="1" x14ac:dyDescent="0.2">
      <c r="A239" s="610" t="s">
        <v>613</v>
      </c>
      <c r="B239" s="617"/>
      <c r="C239" s="602"/>
      <c r="D239" s="612"/>
      <c r="E239" s="602"/>
      <c r="F239" s="602"/>
      <c r="G239" s="602"/>
      <c r="H239" s="602"/>
      <c r="I239" s="602"/>
      <c r="J239" s="602"/>
      <c r="K239" s="612"/>
      <c r="L239" s="612"/>
    </row>
    <row r="240" spans="1:12" x14ac:dyDescent="0.2">
      <c r="A240" s="1506" t="s">
        <v>868</v>
      </c>
      <c r="B240" s="600">
        <v>2210</v>
      </c>
      <c r="C240" s="602"/>
      <c r="D240" s="1945">
        <f>ROUND(SUMIF(Data!$A:$A,"5-"&amp;LEFT($B240,3)&amp;"*-"&amp;MID(D$1,2,1)&amp;"*",Data!$F:$F),0)</f>
        <v>93</v>
      </c>
      <c r="E240" s="602"/>
      <c r="F240" s="602"/>
      <c r="G240" s="602"/>
      <c r="H240" s="602"/>
      <c r="I240" s="602"/>
      <c r="J240" s="602"/>
      <c r="K240" s="1672">
        <f>D240</f>
        <v>93</v>
      </c>
      <c r="L240" s="467">
        <f>SUMIFS(Data!$G:$G,Data!$A:$A,"5-"&amp;LEFT($B240,3)&amp;"*",Data!$G:$G,"&gt;0")</f>
        <v>174</v>
      </c>
    </row>
    <row r="241" spans="1:12" x14ac:dyDescent="0.2">
      <c r="A241" s="1506" t="s">
        <v>869</v>
      </c>
      <c r="B241" s="600">
        <v>2220</v>
      </c>
      <c r="C241" s="602"/>
      <c r="D241" s="1945">
        <f>ROUND(SUMIF(Data!$A:$A,"5-"&amp;LEFT($B241,3)&amp;"*-"&amp;MID(D$1,2,1)&amp;"*",Data!$F:$F),0)</f>
        <v>51901</v>
      </c>
      <c r="E241" s="602"/>
      <c r="F241" s="602"/>
      <c r="G241" s="602"/>
      <c r="H241" s="602"/>
      <c r="I241" s="602"/>
      <c r="J241" s="602"/>
      <c r="K241" s="1672">
        <f>D241</f>
        <v>51901</v>
      </c>
      <c r="L241" s="467">
        <f>SUMIFS(Data!$G:$G,Data!$A:$A,"5-"&amp;LEFT($B241,3)&amp;"*",Data!$G:$G,"&gt;0")</f>
        <v>52026</v>
      </c>
    </row>
    <row r="242" spans="1:12" x14ac:dyDescent="0.2">
      <c r="A242" s="1506" t="s">
        <v>870</v>
      </c>
      <c r="B242" s="600">
        <v>2230</v>
      </c>
      <c r="C242" s="602"/>
      <c r="D242" s="1945">
        <f>ROUND(SUMIF(Data!$A:$A,"5-"&amp;LEFT($B242,3)&amp;"*-"&amp;MID(D$1,2,1)&amp;"*",Data!$F:$F),0)</f>
        <v>0</v>
      </c>
      <c r="E242" s="602"/>
      <c r="F242" s="602"/>
      <c r="G242" s="602"/>
      <c r="H242" s="602"/>
      <c r="I242" s="602"/>
      <c r="J242" s="602"/>
      <c r="K242" s="1672">
        <f>D242</f>
        <v>0</v>
      </c>
      <c r="L242" s="467">
        <f>SUMIFS(Data!$G:$G,Data!$A:$A,"5-"&amp;LEFT($B242,3)&amp;"*",Data!$G:$G,"&gt;0")</f>
        <v>0</v>
      </c>
    </row>
    <row r="243" spans="1:12" ht="12.75" customHeight="1" thickBot="1" x14ac:dyDescent="0.25">
      <c r="A243" s="1694" t="s">
        <v>582</v>
      </c>
      <c r="B243" s="1695">
        <v>2200</v>
      </c>
      <c r="C243" s="602"/>
      <c r="D243" s="1670">
        <f>SUM(D240:D242)</f>
        <v>51994</v>
      </c>
      <c r="E243" s="602"/>
      <c r="F243" s="602"/>
      <c r="G243" s="602"/>
      <c r="H243" s="602"/>
      <c r="I243" s="602"/>
      <c r="J243" s="602"/>
      <c r="K243" s="1670">
        <f>SUM(K240:K242)</f>
        <v>51994</v>
      </c>
      <c r="L243" s="1670">
        <f>SUM(L240:L242)</f>
        <v>52200</v>
      </c>
    </row>
    <row r="244" spans="1:12" ht="15.75" customHeight="1" thickTop="1" x14ac:dyDescent="0.2">
      <c r="A244" s="610" t="s">
        <v>631</v>
      </c>
      <c r="B244" s="666"/>
      <c r="C244" s="602"/>
      <c r="D244" s="612"/>
      <c r="E244" s="602"/>
      <c r="F244" s="602"/>
      <c r="G244" s="602"/>
      <c r="H244" s="602"/>
      <c r="I244" s="602"/>
      <c r="J244" s="602"/>
      <c r="K244" s="612"/>
      <c r="L244" s="612"/>
    </row>
    <row r="245" spans="1:12" x14ac:dyDescent="0.2">
      <c r="A245" s="1506" t="s">
        <v>871</v>
      </c>
      <c r="B245" s="600">
        <v>2310</v>
      </c>
      <c r="C245" s="602"/>
      <c r="D245" s="1945">
        <f>ROUND(SUMIF(Data!$A:$A,"5-"&amp;LEFT($B245,3)&amp;"*-"&amp;MID(D$1,2,1)&amp;"*",Data!$F:$F),0)</f>
        <v>318</v>
      </c>
      <c r="E245" s="602"/>
      <c r="F245" s="602"/>
      <c r="G245" s="602"/>
      <c r="H245" s="602"/>
      <c r="I245" s="602"/>
      <c r="J245" s="602"/>
      <c r="K245" s="1672">
        <f>D245</f>
        <v>318</v>
      </c>
      <c r="L245" s="467">
        <f>SUMIFS(Data!$G:$G,Data!$A:$A,"5-"&amp;LEFT($B245,3)&amp;"*",Data!$G:$G,"&gt;0")</f>
        <v>319</v>
      </c>
    </row>
    <row r="246" spans="1:12" x14ac:dyDescent="0.2">
      <c r="A246" s="1506" t="s">
        <v>872</v>
      </c>
      <c r="B246" s="600">
        <v>2320</v>
      </c>
      <c r="C246" s="602"/>
      <c r="D246" s="1945">
        <f>ROUND(SUMIF(Data!$A:$A,"5-"&amp;LEFT($B246,3)&amp;"*-"&amp;MID(D$1,2,1)&amp;"*",Data!$F:$F),0)</f>
        <v>19053</v>
      </c>
      <c r="E246" s="602"/>
      <c r="F246" s="602"/>
      <c r="G246" s="602"/>
      <c r="H246" s="602"/>
      <c r="I246" s="602"/>
      <c r="J246" s="602"/>
      <c r="K246" s="1672">
        <f t="shared" ref="K246:K256" si="21">D246</f>
        <v>19053</v>
      </c>
      <c r="L246" s="467">
        <f>SUMIFS(Data!$G:$G,Data!$A:$A,"5-"&amp;LEFT($B246,3)&amp;"*",Data!$G:$G,"&gt;0")</f>
        <v>18725</v>
      </c>
    </row>
    <row r="247" spans="1:12" x14ac:dyDescent="0.2">
      <c r="A247" s="1506" t="s">
        <v>873</v>
      </c>
      <c r="B247" s="600">
        <v>2330</v>
      </c>
      <c r="C247" s="602"/>
      <c r="D247" s="1945">
        <f>ROUND(SUMIF(Data!$A:$A,"5-"&amp;LEFT($B247,3)&amp;"*-"&amp;MID(D$1,2,1)&amp;"*",Data!$F:$F),0)</f>
        <v>0</v>
      </c>
      <c r="E247" s="602"/>
      <c r="F247" s="602"/>
      <c r="G247" s="602"/>
      <c r="H247" s="602"/>
      <c r="I247" s="602"/>
      <c r="J247" s="602"/>
      <c r="K247" s="1672">
        <f t="shared" si="21"/>
        <v>0</v>
      </c>
      <c r="L247" s="467">
        <f>SUMIFS(Data!$G:$G,Data!$A:$A,"5-"&amp;LEFT($B247,3)&amp;"*",Data!$G:$G,"&gt;0")</f>
        <v>0</v>
      </c>
    </row>
    <row r="248" spans="1:12" x14ac:dyDescent="0.2">
      <c r="A248" s="1507" t="s">
        <v>317</v>
      </c>
      <c r="B248" s="588" t="s">
        <v>299</v>
      </c>
      <c r="C248" s="602"/>
      <c r="D248" s="1945">
        <f>ROUND(SUMIF(Data!$A:$A,"5-"&amp;LEFT($B248,3)&amp;"*-"&amp;MID(D$1,2,1)&amp;"*",Data!$F:$F),0)</f>
        <v>0</v>
      </c>
      <c r="E248" s="602"/>
      <c r="F248" s="602"/>
      <c r="G248" s="602"/>
      <c r="H248" s="602"/>
      <c r="I248" s="602"/>
      <c r="J248" s="602"/>
      <c r="K248" s="1672">
        <f t="shared" si="21"/>
        <v>0</v>
      </c>
      <c r="L248" s="467">
        <f>SUMIFS(Data!$G:$G,Data!$A:$A,"5-"&amp;LEFT($B248,3)&amp;"*",Data!$G:$G,"&gt;0")</f>
        <v>0</v>
      </c>
    </row>
    <row r="249" spans="1:12" x14ac:dyDescent="0.2">
      <c r="A249" s="1508" t="s">
        <v>1904</v>
      </c>
      <c r="B249" s="667" t="s">
        <v>300</v>
      </c>
      <c r="C249" s="602"/>
      <c r="D249" s="1945">
        <f>ROUND(SUMIF(Data!$A:$A,"5-"&amp;LEFT($B249,3)&amp;"*-"&amp;MID(D$1,2,1)&amp;"*",Data!$F:$F),0)</f>
        <v>0</v>
      </c>
      <c r="E249" s="602"/>
      <c r="F249" s="602"/>
      <c r="G249" s="602"/>
      <c r="H249" s="602"/>
      <c r="I249" s="602"/>
      <c r="J249" s="602"/>
      <c r="K249" s="1672">
        <f t="shared" si="21"/>
        <v>0</v>
      </c>
      <c r="L249" s="467">
        <f>SUMIFS(Data!$G:$G,Data!$A:$A,"5-"&amp;LEFT($B249,3)&amp;"*",Data!$G:$G,"&gt;0")</f>
        <v>0</v>
      </c>
    </row>
    <row r="250" spans="1:12" x14ac:dyDescent="0.2">
      <c r="A250" s="1507" t="s">
        <v>1905</v>
      </c>
      <c r="B250" s="588" t="s">
        <v>301</v>
      </c>
      <c r="C250" s="602"/>
      <c r="D250" s="1945">
        <f>ROUND(SUMIF(Data!$A:$A,"5-"&amp;LEFT($B250,3)&amp;"*-"&amp;MID(D$1,2,1)&amp;"*",Data!$F:$F),0)</f>
        <v>0</v>
      </c>
      <c r="E250" s="602"/>
      <c r="F250" s="602"/>
      <c r="G250" s="602"/>
      <c r="H250" s="602"/>
      <c r="I250" s="602"/>
      <c r="J250" s="602"/>
      <c r="K250" s="1672">
        <f t="shared" si="21"/>
        <v>0</v>
      </c>
      <c r="L250" s="467">
        <f>SUMIFS(Data!$G:$G,Data!$A:$A,"5-"&amp;LEFT($B250,3)&amp;"*",Data!$G:$G,"&gt;0")</f>
        <v>0</v>
      </c>
    </row>
    <row r="251" spans="1:12" x14ac:dyDescent="0.2">
      <c r="A251" s="1507" t="s">
        <v>256</v>
      </c>
      <c r="B251" s="588" t="s">
        <v>302</v>
      </c>
      <c r="C251" s="602"/>
      <c r="D251" s="1945">
        <f>ROUND(SUMIF(Data!$A:$A,"5-"&amp;LEFT($B251,3)&amp;"*-"&amp;MID(D$1,2,1)&amp;"*",Data!$F:$F),0)</f>
        <v>0</v>
      </c>
      <c r="E251" s="602"/>
      <c r="F251" s="602"/>
      <c r="G251" s="602"/>
      <c r="H251" s="602"/>
      <c r="I251" s="602"/>
      <c r="J251" s="602"/>
      <c r="K251" s="1672">
        <f t="shared" si="21"/>
        <v>0</v>
      </c>
      <c r="L251" s="467">
        <f>SUMIFS(Data!$G:$G,Data!$A:$A,"5-"&amp;LEFT($B251,3)&amp;"*",Data!$G:$G,"&gt;0")</f>
        <v>0</v>
      </c>
    </row>
    <row r="252" spans="1:12" x14ac:dyDescent="0.2">
      <c r="A252" s="1507" t="s">
        <v>726</v>
      </c>
      <c r="B252" s="588" t="s">
        <v>303</v>
      </c>
      <c r="C252" s="602"/>
      <c r="D252" s="1945">
        <f>ROUND(SUMIF(Data!$A:$A,"5-"&amp;LEFT($B252,3)&amp;"*-"&amp;MID(D$1,2,1)&amp;"*",Data!$F:$F),0)</f>
        <v>0</v>
      </c>
      <c r="E252" s="602"/>
      <c r="F252" s="602"/>
      <c r="G252" s="602"/>
      <c r="H252" s="602"/>
      <c r="I252" s="602"/>
      <c r="J252" s="602"/>
      <c r="K252" s="1672">
        <f t="shared" si="21"/>
        <v>0</v>
      </c>
      <c r="L252" s="467">
        <f>SUMIFS(Data!$G:$G,Data!$A:$A,"5-"&amp;LEFT($B252,3)&amp;"*",Data!$G:$G,"&gt;0")</f>
        <v>0</v>
      </c>
    </row>
    <row r="253" spans="1:12" x14ac:dyDescent="0.2">
      <c r="A253" s="1507" t="s">
        <v>257</v>
      </c>
      <c r="B253" s="588" t="s">
        <v>304</v>
      </c>
      <c r="C253" s="602"/>
      <c r="D253" s="1945">
        <f>ROUND(SUMIF(Data!$A:$A,"5-"&amp;LEFT($B253,3)&amp;"*-"&amp;MID(D$1,2,1)&amp;"*",Data!$F:$F),0)</f>
        <v>0</v>
      </c>
      <c r="E253" s="602"/>
      <c r="F253" s="602"/>
      <c r="G253" s="602"/>
      <c r="H253" s="602"/>
      <c r="I253" s="602"/>
      <c r="J253" s="602"/>
      <c r="K253" s="1672">
        <f t="shared" si="21"/>
        <v>0</v>
      </c>
      <c r="L253" s="467">
        <f>SUMIFS(Data!$G:$G,Data!$A:$A,"5-"&amp;LEFT($B253,3)&amp;"*",Data!$G:$G,"&gt;0")</f>
        <v>0</v>
      </c>
    </row>
    <row r="254" spans="1:12" ht="22.5" x14ac:dyDescent="0.2">
      <c r="A254" s="1507" t="s">
        <v>1087</v>
      </c>
      <c r="B254" s="667" t="s">
        <v>305</v>
      </c>
      <c r="C254" s="602"/>
      <c r="D254" s="1945">
        <f>ROUND(SUMIF(Data!$A:$A,"5-"&amp;LEFT($B254,3)&amp;"*-"&amp;MID(D$1,2,1)&amp;"*",Data!$F:$F),0)</f>
        <v>0</v>
      </c>
      <c r="E254" s="602"/>
      <c r="F254" s="602"/>
      <c r="G254" s="602"/>
      <c r="H254" s="602"/>
      <c r="I254" s="602"/>
      <c r="J254" s="602"/>
      <c r="K254" s="1672">
        <f t="shared" si="21"/>
        <v>0</v>
      </c>
      <c r="L254" s="467">
        <f>SUMIFS(Data!$G:$G,Data!$A:$A,"5-"&amp;LEFT($B254,3)&amp;"*",Data!$G:$G,"&gt;0")</f>
        <v>0</v>
      </c>
    </row>
    <row r="255" spans="1:12" x14ac:dyDescent="0.2">
      <c r="A255" s="1507" t="s">
        <v>1088</v>
      </c>
      <c r="B255" s="588" t="s">
        <v>306</v>
      </c>
      <c r="C255" s="602"/>
      <c r="D255" s="1945">
        <f>ROUND(SUMIF(Data!$A:$A,"5-"&amp;LEFT($B255,3)&amp;"*-"&amp;MID(D$1,2,1)&amp;"*",Data!$F:$F),0)</f>
        <v>0</v>
      </c>
      <c r="E255" s="602"/>
      <c r="F255" s="602"/>
      <c r="G255" s="602"/>
      <c r="H255" s="602"/>
      <c r="I255" s="602"/>
      <c r="J255" s="602"/>
      <c r="K255" s="1672">
        <f t="shared" si="21"/>
        <v>0</v>
      </c>
      <c r="L255" s="467">
        <f>SUMIFS(Data!$G:$G,Data!$A:$A,"5-"&amp;LEFT($B255,3)&amp;"*",Data!$G:$G,"&gt;0")</f>
        <v>0</v>
      </c>
    </row>
    <row r="256" spans="1:12" x14ac:dyDescent="0.2">
      <c r="A256" s="1507" t="s">
        <v>1028</v>
      </c>
      <c r="B256" s="600" t="s">
        <v>307</v>
      </c>
      <c r="C256" s="602"/>
      <c r="D256" s="1945">
        <f>ROUND(SUMIF(Data!$A:$A,"5-"&amp;LEFT($B256,3)&amp;"*-"&amp;MID(D$1,2,1)&amp;"*",Data!$F:$F),0)</f>
        <v>0</v>
      </c>
      <c r="E256" s="602"/>
      <c r="F256" s="602"/>
      <c r="G256" s="602"/>
      <c r="H256" s="602"/>
      <c r="I256" s="602"/>
      <c r="J256" s="602"/>
      <c r="K256" s="1672">
        <f t="shared" si="21"/>
        <v>0</v>
      </c>
      <c r="L256" s="467">
        <f>SUMIFS(Data!$G:$G,Data!$A:$A,"5-"&amp;LEFT($B256,3)&amp;"*",Data!$G:$G,"&gt;0")</f>
        <v>0</v>
      </c>
    </row>
    <row r="257" spans="1:14" ht="12.75" customHeight="1" thickBot="1" x14ac:dyDescent="0.25">
      <c r="A257" s="1668" t="s">
        <v>741</v>
      </c>
      <c r="B257" s="1696">
        <v>2300</v>
      </c>
      <c r="C257" s="602"/>
      <c r="D257" s="1670">
        <f>SUM(D245:D256)</f>
        <v>19371</v>
      </c>
      <c r="E257" s="602"/>
      <c r="F257" s="602"/>
      <c r="G257" s="602"/>
      <c r="H257" s="602"/>
      <c r="I257" s="602"/>
      <c r="J257" s="602"/>
      <c r="K257" s="1670">
        <f>SUM(K245:K256)</f>
        <v>19371</v>
      </c>
      <c r="L257" s="1670">
        <f>SUM(L245:L256)</f>
        <v>19044</v>
      </c>
    </row>
    <row r="258" spans="1:14" ht="15.75" customHeight="1" thickTop="1" x14ac:dyDescent="0.2">
      <c r="A258" s="610" t="s">
        <v>632</v>
      </c>
      <c r="B258" s="668"/>
      <c r="C258" s="602"/>
      <c r="D258" s="612"/>
      <c r="E258" s="602"/>
      <c r="F258" s="602"/>
      <c r="G258" s="602"/>
      <c r="H258" s="602"/>
      <c r="I258" s="602"/>
      <c r="J258" s="602"/>
      <c r="K258" s="612"/>
      <c r="L258" s="612"/>
    </row>
    <row r="259" spans="1:14" x14ac:dyDescent="0.2">
      <c r="A259" s="1506" t="s">
        <v>1127</v>
      </c>
      <c r="B259" s="669">
        <v>2410</v>
      </c>
      <c r="C259" s="602"/>
      <c r="D259" s="1945">
        <f>ROUND(SUMIF(Data!$A:$A,"5-"&amp;LEFT($B259,3)&amp;"*-"&amp;MID(D$1,2,1)&amp;"*",Data!$F:$F),0)</f>
        <v>64257</v>
      </c>
      <c r="E259" s="602"/>
      <c r="F259" s="602"/>
      <c r="G259" s="602"/>
      <c r="H259" s="602"/>
      <c r="I259" s="602"/>
      <c r="J259" s="602"/>
      <c r="K259" s="1672">
        <f>D259</f>
        <v>64257</v>
      </c>
      <c r="L259" s="467">
        <f>SUMIFS(Data!$G:$G,Data!$A:$A,"5-"&amp;LEFT($B259,3)&amp;"*",Data!$G:$G,"&gt;0")</f>
        <v>64262</v>
      </c>
    </row>
    <row r="260" spans="1:14" s="583" customFormat="1" x14ac:dyDescent="0.2">
      <c r="A260" s="1524" t="s">
        <v>1903</v>
      </c>
      <c r="B260" s="614">
        <v>2490</v>
      </c>
      <c r="C260" s="602"/>
      <c r="D260" s="1945">
        <f>ROUND(SUMIF(Data!$A:$A,"5-"&amp;LEFT($B260,3)&amp;"*-"&amp;MID(D$1,2,1)&amp;"*",Data!$F:$F),0)</f>
        <v>0</v>
      </c>
      <c r="E260" s="602"/>
      <c r="F260" s="602"/>
      <c r="G260" s="602"/>
      <c r="H260" s="602"/>
      <c r="I260" s="602"/>
      <c r="J260" s="602"/>
      <c r="K260" s="1672">
        <f>D260</f>
        <v>0</v>
      </c>
      <c r="L260" s="467">
        <f>SUMIFS(Data!$G:$G,Data!$A:$A,"5-"&amp;LEFT($B260,3)&amp;"*",Data!$G:$G,"&gt;0")</f>
        <v>0</v>
      </c>
      <c r="M260" s="210"/>
      <c r="N260" s="210"/>
    </row>
    <row r="261" spans="1:14" ht="12.75" customHeight="1" thickBot="1" x14ac:dyDescent="0.25">
      <c r="A261" s="1692" t="s">
        <v>281</v>
      </c>
      <c r="B261" s="1697" t="s">
        <v>34</v>
      </c>
      <c r="C261" s="602"/>
      <c r="D261" s="1670">
        <f>SUM(D259:D260)</f>
        <v>64257</v>
      </c>
      <c r="E261" s="602"/>
      <c r="F261" s="602"/>
      <c r="G261" s="602"/>
      <c r="H261" s="602"/>
      <c r="I261" s="602"/>
      <c r="J261" s="602"/>
      <c r="K261" s="1670">
        <f>SUM(K259:K260)</f>
        <v>64257</v>
      </c>
      <c r="L261" s="1670">
        <f>SUM(L259:L260)</f>
        <v>64262</v>
      </c>
    </row>
    <row r="262" spans="1:14" ht="15.75" customHeight="1" thickTop="1" x14ac:dyDescent="0.2">
      <c r="A262" s="610" t="s">
        <v>633</v>
      </c>
      <c r="B262" s="668"/>
      <c r="C262" s="602"/>
      <c r="D262" s="602"/>
      <c r="E262" s="602"/>
      <c r="F262" s="602"/>
      <c r="G262" s="602"/>
      <c r="H262" s="602"/>
      <c r="I262" s="602"/>
      <c r="J262" s="602"/>
      <c r="K262" s="612"/>
      <c r="L262" s="612"/>
    </row>
    <row r="263" spans="1:14" x14ac:dyDescent="0.2">
      <c r="A263" s="1506" t="s">
        <v>1128</v>
      </c>
      <c r="B263" s="669">
        <v>2510</v>
      </c>
      <c r="C263" s="602"/>
      <c r="D263" s="1945">
        <f>ROUND(SUMIF(Data!$A:$A,"5-"&amp;LEFT($B263,3)&amp;"*-"&amp;MID(D$1,2,1)&amp;"*",Data!$F:$F),0)</f>
        <v>0</v>
      </c>
      <c r="E263" s="602"/>
      <c r="F263" s="602"/>
      <c r="G263" s="602"/>
      <c r="H263" s="602"/>
      <c r="I263" s="602"/>
      <c r="J263" s="602"/>
      <c r="K263" s="1672">
        <f>D263</f>
        <v>0</v>
      </c>
      <c r="L263" s="467">
        <f>SUMIFS(Data!$G:$G,Data!$A:$A,"5-"&amp;LEFT($B263,3)&amp;"*",Data!$G:$G,"&gt;0")</f>
        <v>0</v>
      </c>
    </row>
    <row r="264" spans="1:14" x14ac:dyDescent="0.2">
      <c r="A264" s="1506" t="s">
        <v>483</v>
      </c>
      <c r="B264" s="669">
        <v>2520</v>
      </c>
      <c r="C264" s="602"/>
      <c r="D264" s="1945">
        <f>ROUND(SUMIF(Data!$A:$A,"5-"&amp;LEFT($B264,3)&amp;"*-"&amp;MID(D$1,2,1)&amp;"*",Data!$F:$F),0)</f>
        <v>20593</v>
      </c>
      <c r="E264" s="602"/>
      <c r="F264" s="602"/>
      <c r="G264" s="602"/>
      <c r="H264" s="602"/>
      <c r="I264" s="602"/>
      <c r="J264" s="602"/>
      <c r="K264" s="1672">
        <f t="shared" ref="K264:K269" si="22">D264</f>
        <v>20593</v>
      </c>
      <c r="L264" s="467">
        <f>SUMIFS(Data!$G:$G,Data!$A:$A,"5-"&amp;LEFT($B264,3)&amp;"*",Data!$G:$G,"&gt;0")</f>
        <v>20592</v>
      </c>
    </row>
    <row r="265" spans="1:14" x14ac:dyDescent="0.2">
      <c r="A265" s="1506" t="s">
        <v>4</v>
      </c>
      <c r="B265" s="600">
        <v>2530</v>
      </c>
      <c r="C265" s="602"/>
      <c r="D265" s="1945">
        <f>ROUND(SUMIF(Data!$A:$A,"5-"&amp;LEFT($B265,3)&amp;"*-"&amp;MID(D$1,2,1)&amp;"*",Data!$F:$F),0)</f>
        <v>0</v>
      </c>
      <c r="E265" s="602"/>
      <c r="F265" s="602"/>
      <c r="G265" s="602"/>
      <c r="H265" s="602"/>
      <c r="I265" s="602"/>
      <c r="J265" s="602"/>
      <c r="K265" s="1672">
        <f t="shared" si="22"/>
        <v>0</v>
      </c>
      <c r="L265" s="467">
        <f>SUMIFS(Data!$G:$G,Data!$A:$A,"5-"&amp;LEFT($B265,3)&amp;"*",Data!$G:$G,"&gt;0")</f>
        <v>0</v>
      </c>
    </row>
    <row r="266" spans="1:14" x14ac:dyDescent="0.2">
      <c r="A266" s="1506" t="s">
        <v>206</v>
      </c>
      <c r="B266" s="600">
        <v>2540</v>
      </c>
      <c r="C266" s="602"/>
      <c r="D266" s="1945">
        <f>ROUND(SUMIF(Data!$A:$A,"5-"&amp;LEFT($B266,3)&amp;"*-"&amp;MID(D$1,2,1)&amp;"*",Data!$F:$F),0)</f>
        <v>181285</v>
      </c>
      <c r="E266" s="602"/>
      <c r="F266" s="602"/>
      <c r="G266" s="602"/>
      <c r="H266" s="602"/>
      <c r="I266" s="602"/>
      <c r="J266" s="602"/>
      <c r="K266" s="1672">
        <f t="shared" si="22"/>
        <v>181285</v>
      </c>
      <c r="L266" s="467">
        <f>SUMIFS(Data!$G:$G,Data!$A:$A,"5-"&amp;LEFT($B266,3)&amp;"*",Data!$G:$G,"&gt;0")</f>
        <v>189332</v>
      </c>
    </row>
    <row r="267" spans="1:14" x14ac:dyDescent="0.2">
      <c r="A267" s="1506" t="s">
        <v>1010</v>
      </c>
      <c r="B267" s="600">
        <v>2550</v>
      </c>
      <c r="C267" s="602"/>
      <c r="D267" s="1945">
        <f>ROUND(SUMIF(Data!$A:$A,"5-"&amp;LEFT($B267,3)&amp;"*-"&amp;MID(D$1,2,1)&amp;"*",Data!$F:$F),0)</f>
        <v>168740</v>
      </c>
      <c r="E267" s="602"/>
      <c r="F267" s="602"/>
      <c r="G267" s="602"/>
      <c r="H267" s="602"/>
      <c r="I267" s="602"/>
      <c r="J267" s="602"/>
      <c r="K267" s="1672">
        <f t="shared" si="22"/>
        <v>168740</v>
      </c>
      <c r="L267" s="467">
        <f>SUMIFS(Data!$G:$G,Data!$A:$A,"5-"&amp;LEFT($B267,3)&amp;"*",Data!$G:$G,"&gt;0")</f>
        <v>171514</v>
      </c>
    </row>
    <row r="268" spans="1:14" x14ac:dyDescent="0.2">
      <c r="A268" s="1506" t="s">
        <v>102</v>
      </c>
      <c r="B268" s="600">
        <v>2560</v>
      </c>
      <c r="C268" s="602"/>
      <c r="D268" s="1945">
        <f>ROUND(SUMIF(Data!$A:$A,"5-"&amp;LEFT($B268,3)&amp;"*-"&amp;MID(D$1,2,1)&amp;"*",Data!$F:$F),0)</f>
        <v>31256</v>
      </c>
      <c r="E268" s="602"/>
      <c r="F268" s="602"/>
      <c r="G268" s="602"/>
      <c r="H268" s="602"/>
      <c r="I268" s="602"/>
      <c r="J268" s="602"/>
      <c r="K268" s="1672">
        <f t="shared" si="22"/>
        <v>31256</v>
      </c>
      <c r="L268" s="467">
        <f>SUMIFS(Data!$G:$G,Data!$A:$A,"5-"&amp;LEFT($B268,3)&amp;"*",Data!$G:$G,"&gt;0")</f>
        <v>31084</v>
      </c>
    </row>
    <row r="269" spans="1:14" x14ac:dyDescent="0.2">
      <c r="A269" s="1506" t="s">
        <v>103</v>
      </c>
      <c r="B269" s="600">
        <v>2570</v>
      </c>
      <c r="C269" s="602"/>
      <c r="D269" s="1945">
        <f>ROUND(SUMIF(Data!$A:$A,"5-"&amp;LEFT($B269,3)&amp;"*-"&amp;MID(D$1,2,1)&amp;"*",Data!$F:$F),0)</f>
        <v>0</v>
      </c>
      <c r="E269" s="602"/>
      <c r="F269" s="602"/>
      <c r="G269" s="602"/>
      <c r="H269" s="602"/>
      <c r="I269" s="602"/>
      <c r="J269" s="602"/>
      <c r="K269" s="1672">
        <f t="shared" si="22"/>
        <v>0</v>
      </c>
      <c r="L269" s="467">
        <f>SUMIFS(Data!$G:$G,Data!$A:$A,"5-"&amp;LEFT($B269,3)&amp;"*",Data!$G:$G,"&gt;0")</f>
        <v>0</v>
      </c>
    </row>
    <row r="270" spans="1:14" ht="12.75" customHeight="1" thickBot="1" x14ac:dyDescent="0.25">
      <c r="A270" s="1668" t="s">
        <v>743</v>
      </c>
      <c r="B270" s="1675" t="s">
        <v>35</v>
      </c>
      <c r="C270" s="602"/>
      <c r="D270" s="1670">
        <f>SUM(D263:D269)</f>
        <v>401874</v>
      </c>
      <c r="E270" s="602"/>
      <c r="F270" s="602"/>
      <c r="G270" s="602"/>
      <c r="H270" s="602"/>
      <c r="I270" s="602"/>
      <c r="J270" s="602"/>
      <c r="K270" s="1670">
        <f>SUM(K263:K269)</f>
        <v>401874</v>
      </c>
      <c r="L270" s="1670">
        <f>SUM(L263:L269)</f>
        <v>412522</v>
      </c>
    </row>
    <row r="271" spans="1:14" ht="15.75" customHeight="1" thickTop="1" x14ac:dyDescent="0.2">
      <c r="A271" s="653" t="s">
        <v>634</v>
      </c>
      <c r="B271" s="611"/>
      <c r="C271" s="602"/>
      <c r="D271" s="612"/>
      <c r="E271" s="602"/>
      <c r="F271" s="602"/>
      <c r="G271" s="602"/>
      <c r="H271" s="602"/>
      <c r="I271" s="602"/>
      <c r="J271" s="602"/>
      <c r="K271" s="612"/>
      <c r="L271" s="612"/>
    </row>
    <row r="272" spans="1:14" x14ac:dyDescent="0.2">
      <c r="A272" s="1506" t="s">
        <v>1120</v>
      </c>
      <c r="B272" s="600">
        <v>2610</v>
      </c>
      <c r="C272" s="602"/>
      <c r="D272" s="1945">
        <f>ROUND(SUMIF(Data!$A:$A,"5-"&amp;LEFT($B272,3)&amp;"*-"&amp;MID(D$1,2,1)&amp;"*",Data!$F:$F),0)</f>
        <v>0</v>
      </c>
      <c r="E272" s="602"/>
      <c r="F272" s="602"/>
      <c r="G272" s="602"/>
      <c r="H272" s="602"/>
      <c r="I272" s="602"/>
      <c r="J272" s="602"/>
      <c r="K272" s="1672">
        <f>D272</f>
        <v>0</v>
      </c>
      <c r="L272" s="467">
        <f>SUMIFS(Data!$G:$G,Data!$A:$A,"5-"&amp;LEFT($B272,3)&amp;"*",Data!$G:$G,"&gt;0")</f>
        <v>0</v>
      </c>
    </row>
    <row r="273" spans="1:12" x14ac:dyDescent="0.2">
      <c r="A273" s="1506" t="s">
        <v>628</v>
      </c>
      <c r="B273" s="614">
        <v>2620</v>
      </c>
      <c r="C273" s="602"/>
      <c r="D273" s="1945">
        <f>ROUND(SUMIF(Data!$A:$A,"5-"&amp;LEFT($B273,3)&amp;"*-"&amp;MID(D$1,2,1)&amp;"*",Data!$F:$F),0)</f>
        <v>0</v>
      </c>
      <c r="E273" s="602"/>
      <c r="F273" s="602"/>
      <c r="G273" s="602"/>
      <c r="H273" s="602"/>
      <c r="I273" s="602"/>
      <c r="J273" s="602"/>
      <c r="K273" s="1672">
        <f>D273</f>
        <v>0</v>
      </c>
      <c r="L273" s="467">
        <f>SUMIFS(Data!$G:$G,Data!$A:$A,"5-"&amp;LEFT($B273,3)&amp;"*",Data!$G:$G,"&gt;0")</f>
        <v>0</v>
      </c>
    </row>
    <row r="274" spans="1:12" ht="12" customHeight="1" x14ac:dyDescent="0.2">
      <c r="A274" s="1506" t="s">
        <v>1121</v>
      </c>
      <c r="B274" s="600">
        <v>2630</v>
      </c>
      <c r="C274" s="602"/>
      <c r="D274" s="1945">
        <f>ROUND(SUMIF(Data!$A:$A,"5-"&amp;LEFT($B274,3)&amp;"*-"&amp;MID(D$1,2,1)&amp;"*",Data!$F:$F),0)</f>
        <v>0</v>
      </c>
      <c r="E274" s="602"/>
      <c r="F274" s="602"/>
      <c r="G274" s="602"/>
      <c r="H274" s="602"/>
      <c r="I274" s="602"/>
      <c r="J274" s="602"/>
      <c r="K274" s="1672">
        <f>D274</f>
        <v>0</v>
      </c>
      <c r="L274" s="467">
        <f>SUMIFS(Data!$G:$G,Data!$A:$A,"5-"&amp;LEFT($B274,3)&amp;"*",Data!$G:$G,"&gt;0")</f>
        <v>0</v>
      </c>
    </row>
    <row r="275" spans="1:12" x14ac:dyDescent="0.2">
      <c r="A275" s="1506" t="s">
        <v>423</v>
      </c>
      <c r="B275" s="600">
        <v>2640</v>
      </c>
      <c r="C275" s="602"/>
      <c r="D275" s="1945">
        <f>ROUND(SUMIF(Data!$A:$A,"5-"&amp;LEFT($B275,3)&amp;"*-"&amp;MID(D$1,2,1)&amp;"*",Data!$F:$F),0)</f>
        <v>422</v>
      </c>
      <c r="E275" s="602"/>
      <c r="F275" s="602"/>
      <c r="G275" s="602"/>
      <c r="H275" s="602"/>
      <c r="I275" s="602"/>
      <c r="J275" s="602"/>
      <c r="K275" s="1672">
        <f>D275</f>
        <v>422</v>
      </c>
      <c r="L275" s="467">
        <f>SUMIFS(Data!$G:$G,Data!$A:$A,"5-"&amp;LEFT($B275,3)&amp;"*",Data!$G:$G,"&gt;0")</f>
        <v>190</v>
      </c>
    </row>
    <row r="276" spans="1:12" x14ac:dyDescent="0.2">
      <c r="A276" s="1506" t="s">
        <v>424</v>
      </c>
      <c r="B276" s="600">
        <v>2660</v>
      </c>
      <c r="C276" s="602"/>
      <c r="D276" s="1945">
        <f>ROUND(SUMIF(Data!$A:$A,"5-"&amp;LEFT($B276,3)&amp;"*-"&amp;MID(D$1,2,1)&amp;"*",Data!$F:$F),0)</f>
        <v>0</v>
      </c>
      <c r="E276" s="602"/>
      <c r="F276" s="602"/>
      <c r="G276" s="602"/>
      <c r="H276" s="602"/>
      <c r="I276" s="602"/>
      <c r="J276" s="602"/>
      <c r="K276" s="1672">
        <f>D276</f>
        <v>0</v>
      </c>
      <c r="L276" s="467">
        <f>SUMIFS(Data!$G:$G,Data!$A:$A,"5-"&amp;LEFT($B276,3)&amp;"*",Data!$G:$G,"&gt;0")</f>
        <v>0</v>
      </c>
    </row>
    <row r="277" spans="1:12" ht="12.75" customHeight="1" thickBot="1" x14ac:dyDescent="0.25">
      <c r="A277" s="1691" t="s">
        <v>37</v>
      </c>
      <c r="B277" s="1669" t="s">
        <v>36</v>
      </c>
      <c r="C277" s="602"/>
      <c r="D277" s="1670">
        <f>SUM(D272:D276)</f>
        <v>422</v>
      </c>
      <c r="E277" s="602"/>
      <c r="F277" s="602"/>
      <c r="G277" s="602"/>
      <c r="H277" s="602"/>
      <c r="I277" s="602"/>
      <c r="J277" s="602"/>
      <c r="K277" s="1670">
        <f>SUM(K272:K276)</f>
        <v>422</v>
      </c>
      <c r="L277" s="1670">
        <f>SUM(L272:L276)</f>
        <v>190</v>
      </c>
    </row>
    <row r="278" spans="1:12" ht="13.5" customHeight="1" thickTop="1" x14ac:dyDescent="0.2">
      <c r="A278" s="1512" t="s">
        <v>1037</v>
      </c>
      <c r="B278" s="639" t="s">
        <v>595</v>
      </c>
      <c r="C278" s="602"/>
      <c r="D278" s="1945">
        <f>ROUND(SUMIF(Data!$A:$A,"5-"&amp;LEFT($B278,3)&amp;"*-"&amp;MID(D$1,2,1)&amp;"*",Data!$F:$F),0)</f>
        <v>0</v>
      </c>
      <c r="E278" s="602"/>
      <c r="F278" s="602"/>
      <c r="G278" s="602"/>
      <c r="H278" s="602"/>
      <c r="I278" s="602"/>
      <c r="J278" s="602"/>
      <c r="K278" s="1685">
        <f>D278</f>
        <v>0</v>
      </c>
      <c r="L278" s="467">
        <f>SUMIFS(Data!$G:$G,Data!$A:$A,"5-"&amp;LEFT($B278,3)&amp;"*",Data!$G:$G,"&gt;0")</f>
        <v>0</v>
      </c>
    </row>
    <row r="279" spans="1:12" ht="12.75" customHeight="1" thickBot="1" x14ac:dyDescent="0.25">
      <c r="A279" s="1698" t="s">
        <v>865</v>
      </c>
      <c r="B279" s="1681">
        <v>2000</v>
      </c>
      <c r="C279" s="602"/>
      <c r="D279" s="1677">
        <f>SUM(D238,D243,D257,D261,D270,D277,D278)</f>
        <v>586087</v>
      </c>
      <c r="E279" s="602"/>
      <c r="F279" s="602"/>
      <c r="G279" s="602"/>
      <c r="H279" s="602"/>
      <c r="I279" s="602"/>
      <c r="J279" s="602"/>
      <c r="K279" s="1677">
        <f>SUM(K238,K243,K257,K261,K270,K277,K278)</f>
        <v>586087</v>
      </c>
      <c r="L279" s="1677">
        <f>SUM(L238,L243,L257,L261,L270,L277,L278)</f>
        <v>597383</v>
      </c>
    </row>
    <row r="280" spans="1:12" ht="15.75" customHeight="1" thickTop="1" thickBot="1" x14ac:dyDescent="0.25">
      <c r="A280" s="1626" t="s">
        <v>930</v>
      </c>
      <c r="B280" s="1615">
        <v>3000</v>
      </c>
      <c r="C280" s="602"/>
      <c r="D280" s="1945">
        <f>ROUND(SUMIF(Data!$A:$A,"5-"&amp;LEFT($B280,3)&amp;"*-"&amp;MID(D$1,2,1)&amp;"*",Data!$F:$F),0)</f>
        <v>0</v>
      </c>
      <c r="E280" s="602"/>
      <c r="F280" s="602"/>
      <c r="G280" s="602"/>
      <c r="H280" s="602"/>
      <c r="I280" s="602"/>
      <c r="J280" s="602"/>
      <c r="K280" s="1679">
        <f>D280</f>
        <v>0</v>
      </c>
      <c r="L280" s="467">
        <f>SUMIFS(Data!$G:$G,Data!$A:$A,"5-"&amp;LEFT($B280,3)&amp;"*",Data!$G:$G,"&gt;0")</f>
        <v>0</v>
      </c>
    </row>
    <row r="281" spans="1:12" ht="15.75" customHeight="1" thickTop="1" x14ac:dyDescent="0.2">
      <c r="A281" s="1616" t="s">
        <v>144</v>
      </c>
      <c r="B281" s="1617" t="s">
        <v>915</v>
      </c>
      <c r="C281" s="602"/>
      <c r="D281" s="564"/>
      <c r="E281" s="602"/>
      <c r="F281" s="602"/>
      <c r="G281" s="602"/>
      <c r="H281" s="602"/>
      <c r="I281" s="602"/>
      <c r="J281" s="602"/>
      <c r="K281" s="602"/>
      <c r="L281" s="602"/>
    </row>
    <row r="282" spans="1:12" ht="15.75" customHeight="1" x14ac:dyDescent="0.2">
      <c r="A282" s="1831" t="s">
        <v>517</v>
      </c>
      <c r="B282" s="674" t="s">
        <v>1953</v>
      </c>
      <c r="C282" s="602"/>
      <c r="D282" s="1945">
        <f>ROUND(SUMIF(Data!$A:$A,"5-"&amp;LEFT($B282,3)&amp;"*-"&amp;MID(D$1,2,1)&amp;"*",Data!$F:$F),0)</f>
        <v>0</v>
      </c>
      <c r="E282" s="602"/>
      <c r="F282" s="602"/>
      <c r="G282" s="602"/>
      <c r="H282" s="602"/>
      <c r="I282" s="602"/>
      <c r="J282" s="602"/>
      <c r="K282" s="1671">
        <f>D282</f>
        <v>0</v>
      </c>
      <c r="L282" s="467">
        <f>SUMIFS(Data!$G:$G,Data!$A:$A,"5-"&amp;LEFT($B282,3)&amp;"*",Data!$G:$G,"&gt;0")</f>
        <v>0</v>
      </c>
    </row>
    <row r="283" spans="1:12" x14ac:dyDescent="0.2">
      <c r="A283" s="1506" t="s">
        <v>322</v>
      </c>
      <c r="B283" s="600">
        <v>4120</v>
      </c>
      <c r="C283" s="602"/>
      <c r="D283" s="1945">
        <f>ROUND(SUMIF(Data!$A:$A,"5-"&amp;LEFT($B283,3)&amp;"*-"&amp;MID(D$1,2,1)&amp;"*",Data!$F:$F),0)</f>
        <v>0</v>
      </c>
      <c r="E283" s="602"/>
      <c r="F283" s="602"/>
      <c r="G283" s="602"/>
      <c r="H283" s="602"/>
      <c r="I283" s="602"/>
      <c r="J283" s="602"/>
      <c r="K283" s="1671">
        <f>D283</f>
        <v>0</v>
      </c>
      <c r="L283" s="467">
        <f>SUMIFS(Data!$G:$G,Data!$A:$A,"5-"&amp;LEFT($B283,3)&amp;"*",Data!$G:$G,"&gt;0")</f>
        <v>0</v>
      </c>
    </row>
    <row r="284" spans="1:12" x14ac:dyDescent="0.2">
      <c r="A284" s="1506" t="s">
        <v>721</v>
      </c>
      <c r="B284" s="600">
        <v>4140</v>
      </c>
      <c r="C284" s="602"/>
      <c r="D284" s="1945">
        <f>ROUND(SUMIF(Data!$A:$A,"5-"&amp;LEFT($B284,3)&amp;"*-"&amp;MID(D$1,2,1)&amp;"*",Data!$F:$F),0)</f>
        <v>0</v>
      </c>
      <c r="E284" s="602"/>
      <c r="F284" s="602"/>
      <c r="G284" s="602"/>
      <c r="H284" s="602"/>
      <c r="I284" s="602"/>
      <c r="J284" s="602"/>
      <c r="K284" s="1671">
        <f>D284</f>
        <v>0</v>
      </c>
      <c r="L284" s="467">
        <f>SUMIFS(Data!$G:$G,Data!$A:$A,"5-"&amp;LEFT($B284,3)&amp;"*",Data!$G:$G,"&gt;0")</f>
        <v>0</v>
      </c>
    </row>
    <row r="285" spans="1:12" ht="12.75" customHeight="1" thickBot="1" x14ac:dyDescent="0.25">
      <c r="A285" s="1668" t="s">
        <v>1567</v>
      </c>
      <c r="B285" s="1669" t="s">
        <v>915</v>
      </c>
      <c r="C285" s="602"/>
      <c r="D285" s="1670">
        <f>SUM(D282:D284)</f>
        <v>0</v>
      </c>
      <c r="E285" s="602"/>
      <c r="F285" s="602"/>
      <c r="G285" s="602"/>
      <c r="H285" s="602"/>
      <c r="I285" s="602"/>
      <c r="J285" s="602"/>
      <c r="K285" s="1670">
        <f>SUM(K282:K284)</f>
        <v>0</v>
      </c>
      <c r="L285" s="1670">
        <f>SUM(L282:L284)</f>
        <v>0</v>
      </c>
    </row>
    <row r="286" spans="1:12" ht="15.75" customHeight="1" thickTop="1" x14ac:dyDescent="0.2">
      <c r="A286" s="1614" t="s">
        <v>931</v>
      </c>
      <c r="B286" s="1611" t="s">
        <v>513</v>
      </c>
      <c r="C286" s="602"/>
      <c r="D286" s="602"/>
      <c r="E286" s="602"/>
      <c r="F286" s="602"/>
      <c r="G286" s="602"/>
      <c r="H286" s="602"/>
      <c r="I286" s="602"/>
      <c r="J286" s="602"/>
      <c r="K286" s="602"/>
      <c r="L286" s="602"/>
    </row>
    <row r="287" spans="1:12" ht="15.75" customHeight="1" x14ac:dyDescent="0.2">
      <c r="A287" s="637" t="s">
        <v>95</v>
      </c>
      <c r="B287" s="608"/>
      <c r="C287" s="602"/>
      <c r="D287" s="602"/>
      <c r="E287" s="602"/>
      <c r="F287" s="602"/>
      <c r="G287" s="602"/>
      <c r="H287" s="609"/>
      <c r="I287" s="602"/>
      <c r="J287" s="602"/>
      <c r="K287" s="602"/>
      <c r="L287" s="602"/>
    </row>
    <row r="288" spans="1:12" x14ac:dyDescent="0.2">
      <c r="A288" s="1506" t="s">
        <v>89</v>
      </c>
      <c r="B288" s="600">
        <v>5110</v>
      </c>
      <c r="C288" s="602"/>
      <c r="D288" s="602"/>
      <c r="E288" s="602"/>
      <c r="F288" s="602"/>
      <c r="G288" s="602"/>
      <c r="H288" s="466">
        <f>SUMIF(Data!$A:$A,"5-"&amp;LEFT($B288,3)&amp;"*-"&amp;MID(H$1,2,1)&amp;"*",Data!$F:$F)</f>
        <v>0</v>
      </c>
      <c r="I288" s="602"/>
      <c r="J288" s="602"/>
      <c r="K288" s="1671">
        <f>H288</f>
        <v>0</v>
      </c>
      <c r="L288" s="467">
        <f>SUMIFS(Data!$G:$G,Data!$A:$A,"5-"&amp;LEFT($B288,3)&amp;"*",Data!$G:$G,"&gt;0")</f>
        <v>0</v>
      </c>
    </row>
    <row r="289" spans="1:14" x14ac:dyDescent="0.2">
      <c r="A289" s="1506" t="s">
        <v>90</v>
      </c>
      <c r="B289" s="600">
        <v>5120</v>
      </c>
      <c r="C289" s="602"/>
      <c r="D289" s="602"/>
      <c r="E289" s="602"/>
      <c r="F289" s="602"/>
      <c r="G289" s="602"/>
      <c r="H289" s="466">
        <f>SUMIF(Data!$A:$A,"5-"&amp;LEFT($B289,3)&amp;"*-"&amp;MID(H$1,2,1)&amp;"*",Data!$F:$F)</f>
        <v>0</v>
      </c>
      <c r="I289" s="602"/>
      <c r="J289" s="602"/>
      <c r="K289" s="1671">
        <f>H289</f>
        <v>0</v>
      </c>
      <c r="L289" s="467">
        <f>SUMIFS(Data!$G:$G,Data!$A:$A,"5-"&amp;LEFT($B289,3)&amp;"*",Data!$G:$G,"&gt;0")</f>
        <v>0</v>
      </c>
    </row>
    <row r="290" spans="1:14" ht="12.75" customHeight="1" x14ac:dyDescent="0.2">
      <c r="A290" s="1506" t="s">
        <v>1232</v>
      </c>
      <c r="B290" s="614" t="s">
        <v>638</v>
      </c>
      <c r="C290" s="602"/>
      <c r="D290" s="602"/>
      <c r="E290" s="602"/>
      <c r="F290" s="602"/>
      <c r="G290" s="602"/>
      <c r="H290" s="466">
        <f>SUMIF(Data!$A:$A,"5-"&amp;LEFT($B290,3)&amp;"*-"&amp;MID(H$1,2,1)&amp;"*",Data!$F:$F)</f>
        <v>0</v>
      </c>
      <c r="I290" s="602"/>
      <c r="J290" s="602"/>
      <c r="K290" s="1671">
        <f>H290</f>
        <v>0</v>
      </c>
      <c r="L290" s="467">
        <f>SUMIFS(Data!$G:$G,Data!$A:$A,"5-"&amp;LEFT($B290,3)&amp;"*",Data!$G:$G,"&gt;0")</f>
        <v>0</v>
      </c>
    </row>
    <row r="291" spans="1:14" x14ac:dyDescent="0.2">
      <c r="A291" s="1506" t="s">
        <v>91</v>
      </c>
      <c r="B291" s="600" t="s">
        <v>610</v>
      </c>
      <c r="C291" s="602"/>
      <c r="D291" s="602"/>
      <c r="E291" s="602"/>
      <c r="F291" s="602"/>
      <c r="G291" s="602"/>
      <c r="H291" s="466">
        <f>SUMIF(Data!$A:$A,"5-"&amp;LEFT($B291,3)&amp;"*-"&amp;MID(H$1,2,1)&amp;"*",Data!$F:$F)</f>
        <v>0</v>
      </c>
      <c r="I291" s="602"/>
      <c r="J291" s="602"/>
      <c r="K291" s="1671">
        <f>H291</f>
        <v>0</v>
      </c>
      <c r="L291" s="467">
        <f>SUMIFS(Data!$G:$G,Data!$A:$A,"5-"&amp;LEFT($B291,3)&amp;"*",Data!$G:$G,"&gt;0")</f>
        <v>0</v>
      </c>
    </row>
    <row r="292" spans="1:14" x14ac:dyDescent="0.2">
      <c r="A292" s="1506" t="s">
        <v>786</v>
      </c>
      <c r="B292" s="600" t="s">
        <v>639</v>
      </c>
      <c r="C292" s="602"/>
      <c r="D292" s="602"/>
      <c r="E292" s="602"/>
      <c r="F292" s="602"/>
      <c r="G292" s="602"/>
      <c r="H292" s="466">
        <f>SUMIF(Data!$A:$A,"5-"&amp;LEFT($B292,3)&amp;"*-"&amp;MID(H$1,2,1)&amp;"*",Data!$F:$F)</f>
        <v>0</v>
      </c>
      <c r="I292" s="602"/>
      <c r="J292" s="602"/>
      <c r="K292" s="1671">
        <f>H292</f>
        <v>0</v>
      </c>
      <c r="L292" s="467">
        <f>SUMIFS(Data!$G:$G,Data!$A:$A,"5-"&amp;LEFT($B292,3)&amp;"*",Data!$G:$G,"&gt;0")</f>
        <v>0</v>
      </c>
    </row>
    <row r="293" spans="1:14" ht="12.75" customHeight="1" thickBot="1" x14ac:dyDescent="0.25">
      <c r="A293" s="1668" t="s">
        <v>505</v>
      </c>
      <c r="B293" s="1669" t="s">
        <v>513</v>
      </c>
      <c r="C293" s="602"/>
      <c r="D293" s="602"/>
      <c r="E293" s="602"/>
      <c r="F293" s="602"/>
      <c r="G293" s="602"/>
      <c r="H293" s="1670">
        <f>SUM(H288:H292)</f>
        <v>0</v>
      </c>
      <c r="I293" s="602"/>
      <c r="J293" s="602"/>
      <c r="K293" s="1670">
        <f>SUM(K288:K292)</f>
        <v>0</v>
      </c>
      <c r="L293" s="1670">
        <f>SUM(L288:L292)</f>
        <v>0</v>
      </c>
    </row>
    <row r="294" spans="1:14" ht="15.75" customHeight="1" thickTop="1" x14ac:dyDescent="0.2">
      <c r="A294" s="1627" t="s">
        <v>932</v>
      </c>
      <c r="B294" s="1615" t="s">
        <v>916</v>
      </c>
      <c r="C294" s="602"/>
      <c r="D294" s="609"/>
      <c r="E294" s="602"/>
      <c r="F294" s="602"/>
      <c r="G294" s="602"/>
      <c r="H294" s="670"/>
      <c r="I294" s="602"/>
      <c r="J294" s="602"/>
      <c r="K294" s="670"/>
      <c r="L294" s="467">
        <f>SUMIFS(Data!$G:$G,Data!$A:$A,"5-"&amp;LEFT($B294,3)&amp;"*",Data!$G:$G,"&gt;0")</f>
        <v>0</v>
      </c>
    </row>
    <row r="295" spans="1:14" ht="12.75" customHeight="1" thickBot="1" x14ac:dyDescent="0.25">
      <c r="A295" s="2225" t="s">
        <v>526</v>
      </c>
      <c r="B295" s="2226"/>
      <c r="C295" s="602"/>
      <c r="D295" s="1670">
        <f>SUM(D229,D279,D280,D285)</f>
        <v>902914</v>
      </c>
      <c r="E295" s="602"/>
      <c r="F295" s="602"/>
      <c r="G295" s="602"/>
      <c r="H295" s="1670">
        <f>H293</f>
        <v>0</v>
      </c>
      <c r="I295" s="602"/>
      <c r="J295" s="602"/>
      <c r="K295" s="1670">
        <f>SUM(K229,K279,K280,K285,K293,K294)</f>
        <v>902914</v>
      </c>
      <c r="L295" s="1670">
        <f>SUM(L229,L279,L280,L285,L293,L294)</f>
        <v>912441</v>
      </c>
    </row>
    <row r="296" spans="1:14" ht="13.5" thickTop="1" x14ac:dyDescent="0.2">
      <c r="A296" s="2234" t="s">
        <v>1053</v>
      </c>
      <c r="B296" s="2235"/>
      <c r="C296" s="602"/>
      <c r="D296" s="604"/>
      <c r="E296" s="602"/>
      <c r="F296" s="602"/>
      <c r="G296" s="602"/>
      <c r="H296" s="671"/>
      <c r="I296" s="602"/>
      <c r="J296" s="602"/>
      <c r="K296" s="1684">
        <f>'Revenues 9-14'!G275-'Expenditures 15-22'!K295</f>
        <v>5858</v>
      </c>
      <c r="L296" s="671"/>
    </row>
    <row r="297" spans="1:14" s="650" customFormat="1" ht="9" customHeight="1" x14ac:dyDescent="0.2">
      <c r="A297" s="647"/>
      <c r="B297" s="657"/>
      <c r="C297" s="634"/>
      <c r="D297" s="634"/>
      <c r="E297" s="634"/>
      <c r="F297" s="634"/>
      <c r="G297" s="634"/>
      <c r="H297" s="634"/>
      <c r="I297" s="634"/>
      <c r="J297" s="634"/>
      <c r="K297" s="634"/>
      <c r="L297" s="634"/>
      <c r="M297" s="649"/>
      <c r="N297" s="649"/>
    </row>
    <row r="298" spans="1:14" ht="16.7" customHeight="1" x14ac:dyDescent="0.2">
      <c r="A298" s="2217" t="s">
        <v>145</v>
      </c>
      <c r="B298" s="2211"/>
      <c r="C298" s="1553"/>
      <c r="D298" s="1554"/>
      <c r="E298" s="1554"/>
      <c r="F298" s="1554"/>
      <c r="G298" s="1554"/>
      <c r="H298" s="1554"/>
      <c r="I298" s="1554"/>
      <c r="J298" s="1554"/>
      <c r="K298" s="1554"/>
      <c r="L298" s="1555"/>
    </row>
    <row r="299" spans="1:14" ht="15.75" customHeight="1" x14ac:dyDescent="0.2">
      <c r="A299" s="1614" t="s">
        <v>146</v>
      </c>
      <c r="B299" s="1617" t="s">
        <v>590</v>
      </c>
      <c r="C299" s="602"/>
      <c r="D299" s="602"/>
      <c r="E299" s="602"/>
      <c r="F299" s="602"/>
      <c r="G299" s="602"/>
      <c r="H299" s="602"/>
      <c r="I299" s="602"/>
      <c r="J299" s="602"/>
      <c r="K299" s="602"/>
      <c r="L299" s="602"/>
    </row>
    <row r="300" spans="1:14" ht="15.75" customHeight="1" x14ac:dyDescent="0.2">
      <c r="A300" s="672" t="s">
        <v>633</v>
      </c>
      <c r="B300" s="617"/>
      <c r="C300" s="609"/>
      <c r="D300" s="609"/>
      <c r="E300" s="609"/>
      <c r="F300" s="609"/>
      <c r="G300" s="609"/>
      <c r="H300" s="609"/>
      <c r="I300" s="602"/>
      <c r="J300" s="602"/>
      <c r="K300" s="609"/>
      <c r="L300" s="609"/>
    </row>
    <row r="301" spans="1:14" x14ac:dyDescent="0.2">
      <c r="A301" s="1519" t="s">
        <v>629</v>
      </c>
      <c r="B301" s="673">
        <v>2530</v>
      </c>
      <c r="C301" s="466">
        <f>SUMIF(Data!$A:$A,"6-"&amp;LEFT($B301,3)&amp;"*-"&amp;MID(C$1,2,1)&amp;"*",Data!$F:$F)</f>
        <v>0</v>
      </c>
      <c r="D301" s="466">
        <f>SUMIF(Data!$A:$A,"6-"&amp;LEFT($B301,3)&amp;"*-"&amp;MID(D$1,2,1)&amp;"*",Data!$F:$F)</f>
        <v>0</v>
      </c>
      <c r="E301" s="466">
        <f>SUMIF(Data!$A:$A,"6-"&amp;LEFT($B301,3)&amp;"*-"&amp;MID(E$1,2,1)&amp;"*",Data!$F:$F)</f>
        <v>0</v>
      </c>
      <c r="F301" s="466">
        <f>SUMIF(Data!$A:$A,"6-"&amp;LEFT($B301,3)&amp;"*-"&amp;MID(F$1,2,1)&amp;"*",Data!$F:$F)</f>
        <v>0</v>
      </c>
      <c r="G301" s="466">
        <f>SUMIF(Data!$A:$A,"6-"&amp;LEFT($B301,3)&amp;"*-"&amp;MID(G$1,2,1)&amp;"*",Data!$F:$F)</f>
        <v>0</v>
      </c>
      <c r="H301" s="466">
        <f>SUMIF(Data!$A:$A,"6-"&amp;LEFT($B301,3)&amp;"*-"&amp;MID(H$1,2,1)&amp;"*",Data!$F:$F)</f>
        <v>0</v>
      </c>
      <c r="I301" s="466">
        <f>SUMIF(Data!$A:$A,"6-"&amp;LEFT($B301,3)&amp;"*-"&amp;MID(I$1,2,1)&amp;"*",Data!$F:$F)</f>
        <v>0</v>
      </c>
      <c r="J301" s="466">
        <f>SUMIF(Data!$A:$A,"6-"&amp;LEFT($B301,3)&amp;"*-"&amp;MID(J$1,2,1)&amp;"*",Data!$F:$F)</f>
        <v>0</v>
      </c>
      <c r="K301" s="1671">
        <f>SUM(C301:J301)</f>
        <v>0</v>
      </c>
      <c r="L301" s="467">
        <f>SUMIFS(Data!$G:$G,Data!$A:$A,"6-"&amp;LEFT($B301,3)&amp;"*",Data!$G:$G,"&gt;0")</f>
        <v>0</v>
      </c>
    </row>
    <row r="302" spans="1:14" ht="13.5" customHeight="1" x14ac:dyDescent="0.2">
      <c r="A302" s="1519" t="s">
        <v>1037</v>
      </c>
      <c r="B302" s="600" t="s">
        <v>595</v>
      </c>
      <c r="C302" s="466">
        <f>SUMIF(Data!$A:$A,"6-"&amp;LEFT($B302,3)&amp;"*-"&amp;MID(C$1,2,1)&amp;"*",Data!$F:$F)</f>
        <v>0</v>
      </c>
      <c r="D302" s="466">
        <f>SUMIF(Data!$A:$A,"6-"&amp;LEFT($B302,3)&amp;"*-"&amp;MID(D$1,2,1)&amp;"*",Data!$F:$F)</f>
        <v>0</v>
      </c>
      <c r="E302" s="466">
        <f>SUMIF(Data!$A:$A,"6-"&amp;LEFT($B302,3)&amp;"*-"&amp;MID(E$1,2,1)&amp;"*",Data!$F:$F)</f>
        <v>0</v>
      </c>
      <c r="F302" s="466">
        <f>SUMIF(Data!$A:$A,"6-"&amp;LEFT($B302,3)&amp;"*-"&amp;MID(F$1,2,1)&amp;"*",Data!$F:$F)</f>
        <v>0</v>
      </c>
      <c r="G302" s="466">
        <f>SUMIF(Data!$A:$A,"6-"&amp;LEFT($B302,3)&amp;"*-"&amp;MID(G$1,2,1)&amp;"*",Data!$F:$F)</f>
        <v>0</v>
      </c>
      <c r="H302" s="466">
        <f>SUMIF(Data!$A:$A,"6-"&amp;LEFT($B302,3)&amp;"*-"&amp;MID(H$1,2,1)&amp;"*",Data!$F:$F)</f>
        <v>0</v>
      </c>
      <c r="I302" s="466">
        <f>SUMIF(Data!$A:$A,"6-"&amp;LEFT($B302,3)&amp;"*-"&amp;MID(I$1,2,1)&amp;"*",Data!$F:$F)</f>
        <v>0</v>
      </c>
      <c r="J302" s="466">
        <f>SUMIF(Data!$A:$A,"6-"&amp;LEFT($B302,3)&amp;"*-"&amp;MID(J$1,2,1)&amp;"*",Data!$F:$F)</f>
        <v>0</v>
      </c>
      <c r="K302" s="1671">
        <f>SUM(C302:J302)</f>
        <v>0</v>
      </c>
      <c r="L302" s="467">
        <f>SUMIFS(Data!$G:$G,Data!$A:$A,"6-"&amp;LEFT($B302,3)&amp;"*",Data!$G:$G,"&gt;0")</f>
        <v>0</v>
      </c>
    </row>
    <row r="303" spans="1:14" ht="12.75" customHeight="1" thickBot="1" x14ac:dyDescent="0.25">
      <c r="A303" s="1668" t="s">
        <v>865</v>
      </c>
      <c r="B303" s="1669" t="s">
        <v>590</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4" t="s">
        <v>147</v>
      </c>
      <c r="B304" s="1615" t="s">
        <v>915</v>
      </c>
      <c r="C304" s="602"/>
      <c r="D304" s="602"/>
      <c r="E304" s="602"/>
      <c r="F304" s="602"/>
      <c r="G304" s="602"/>
      <c r="H304" s="602"/>
      <c r="I304" s="602"/>
      <c r="J304" s="602"/>
      <c r="K304" s="602"/>
      <c r="L304" s="602"/>
    </row>
    <row r="305" spans="1:14" ht="15.75" customHeight="1" x14ac:dyDescent="0.2">
      <c r="A305" s="637" t="s">
        <v>953</v>
      </c>
      <c r="B305" s="608"/>
      <c r="C305" s="602"/>
      <c r="D305" s="602"/>
      <c r="E305" s="602"/>
      <c r="F305" s="602"/>
      <c r="G305" s="602"/>
      <c r="H305" s="602"/>
      <c r="I305" s="602"/>
      <c r="J305" s="602"/>
      <c r="K305" s="602"/>
      <c r="L305" s="602"/>
    </row>
    <row r="306" spans="1:14" x14ac:dyDescent="0.2">
      <c r="A306" s="1520" t="s">
        <v>1958</v>
      </c>
      <c r="B306" s="674" t="s">
        <v>1953</v>
      </c>
      <c r="C306" s="602"/>
      <c r="D306" s="602"/>
      <c r="E306" s="466">
        <f>SUMIF(Data!$A:$A,"6-"&amp;LEFT($B306,3)&amp;"*-"&amp;MID(E$1,2,1)&amp;"*",Data!$F:$F)</f>
        <v>0</v>
      </c>
      <c r="F306" s="602"/>
      <c r="G306" s="602"/>
      <c r="H306" s="466">
        <f>SUMIF(Data!$A:$A,"6-"&amp;LEFT($B306,3)&amp;"*-"&amp;MID(H$1,2,1)&amp;"*",Data!$F:$F)</f>
        <v>0</v>
      </c>
      <c r="I306" s="602"/>
      <c r="J306" s="602"/>
      <c r="K306" s="1671">
        <f>SUM(E306,H306)</f>
        <v>0</v>
      </c>
      <c r="L306" s="467">
        <f>SUMIFS(Data!$G:$G,Data!$A:$A,"6-"&amp;LEFT($B306,3)&amp;"*",Data!$G:$G,"&gt;0")</f>
        <v>0</v>
      </c>
    </row>
    <row r="307" spans="1:14" x14ac:dyDescent="0.2">
      <c r="A307" s="1506" t="s">
        <v>322</v>
      </c>
      <c r="B307" s="600">
        <v>4120</v>
      </c>
      <c r="C307" s="602"/>
      <c r="D307" s="602"/>
      <c r="E307" s="466">
        <f>SUMIF(Data!$A:$A,"6-"&amp;LEFT($B307,3)&amp;"*-"&amp;MID(E$1,2,1)&amp;"*",Data!$F:$F)</f>
        <v>0</v>
      </c>
      <c r="F307" s="602"/>
      <c r="G307" s="602"/>
      <c r="H307" s="466">
        <f>SUMIF(Data!$A:$A,"6-"&amp;LEFT($B307,3)&amp;"*-"&amp;MID(H$1,2,1)&amp;"*",Data!$F:$F)</f>
        <v>0</v>
      </c>
      <c r="I307" s="477"/>
      <c r="J307" s="602"/>
      <c r="K307" s="1671">
        <f>SUM(E307,H307)</f>
        <v>0</v>
      </c>
      <c r="L307" s="467">
        <f>SUMIFS(Data!$G:$G,Data!$A:$A,"6-"&amp;LEFT($B307,3)&amp;"*",Data!$G:$G,"&gt;0")</f>
        <v>0</v>
      </c>
    </row>
    <row r="308" spans="1:14" x14ac:dyDescent="0.2">
      <c r="A308" s="1506" t="s">
        <v>721</v>
      </c>
      <c r="B308" s="600">
        <v>4140</v>
      </c>
      <c r="C308" s="602"/>
      <c r="D308" s="602"/>
      <c r="E308" s="466">
        <f>SUMIF(Data!$A:$A,"6-"&amp;LEFT($B308,3)&amp;"*-"&amp;MID(E$1,2,1)&amp;"*",Data!$F:$F)</f>
        <v>0</v>
      </c>
      <c r="F308" s="602"/>
      <c r="G308" s="602"/>
      <c r="H308" s="466">
        <f>SUMIF(Data!$A:$A,"6-"&amp;LEFT($B308,3)&amp;"*-"&amp;MID(H$1,2,1)&amp;"*",Data!$F:$F)</f>
        <v>0</v>
      </c>
      <c r="I308" s="477"/>
      <c r="J308" s="602"/>
      <c r="K308" s="1671">
        <f>SUM(E308,H308)</f>
        <v>0</v>
      </c>
      <c r="L308" s="467">
        <f>SUMIFS(Data!$G:$G,Data!$A:$A,"6-"&amp;LEFT($B308,3)&amp;"*",Data!$G:$G,"&gt;0")</f>
        <v>0</v>
      </c>
    </row>
    <row r="309" spans="1:14" ht="12.75" customHeight="1" x14ac:dyDescent="0.2">
      <c r="A309" s="1510" t="s">
        <v>722</v>
      </c>
      <c r="B309" s="614">
        <v>4190</v>
      </c>
      <c r="C309" s="602"/>
      <c r="D309" s="602"/>
      <c r="E309" s="466">
        <f>SUMIF(Data!$A:$A,"6-"&amp;LEFT($B309,3)&amp;"*-"&amp;MID(E$1,2,1)&amp;"*",Data!$F:$F)</f>
        <v>0</v>
      </c>
      <c r="F309" s="602"/>
      <c r="G309" s="602"/>
      <c r="H309" s="466">
        <f>SUMIF(Data!$A:$A,"6-"&amp;LEFT($B309,3)&amp;"*-"&amp;MID(H$1,2,1)&amp;"*",Data!$F:$F)</f>
        <v>0</v>
      </c>
      <c r="I309" s="477"/>
      <c r="J309" s="602"/>
      <c r="K309" s="1671">
        <f>SUM(E309,H309)</f>
        <v>0</v>
      </c>
      <c r="L309" s="467">
        <f>SUMIFS(Data!$G:$G,Data!$A:$A,"6-"&amp;LEFT($B309,3)&amp;"*",Data!$G:$G,"&gt;0")</f>
        <v>0</v>
      </c>
    </row>
    <row r="310" spans="1:14" ht="12.75" customHeight="1" thickBot="1" x14ac:dyDescent="0.25">
      <c r="A310" s="1668" t="s">
        <v>1567</v>
      </c>
      <c r="B310" s="1675" t="s">
        <v>915</v>
      </c>
      <c r="C310" s="602"/>
      <c r="D310" s="602"/>
      <c r="E310" s="1670">
        <f>SUM(E306:E309)</f>
        <v>0</v>
      </c>
      <c r="F310" s="602"/>
      <c r="G310" s="602"/>
      <c r="H310" s="1670">
        <f>SUM(H306:H309)</f>
        <v>0</v>
      </c>
      <c r="I310" s="477"/>
      <c r="J310" s="602"/>
      <c r="K310" s="1670">
        <f>SUM(K306:K309)</f>
        <v>0</v>
      </c>
      <c r="L310" s="1677">
        <f>SUM(L306:L309)</f>
        <v>0</v>
      </c>
    </row>
    <row r="311" spans="1:14" ht="15.75" customHeight="1" thickTop="1" thickBot="1" x14ac:dyDescent="0.25">
      <c r="A311" s="1621" t="s">
        <v>951</v>
      </c>
      <c r="B311" s="1613" t="s">
        <v>916</v>
      </c>
      <c r="C311" s="609"/>
      <c r="D311" s="609"/>
      <c r="E311" s="609"/>
      <c r="F311" s="609"/>
      <c r="G311" s="609"/>
      <c r="H311" s="609"/>
      <c r="I311" s="609"/>
      <c r="J311" s="602"/>
      <c r="K311" s="609"/>
      <c r="L311" s="467">
        <f>SUMIFS(Data!$G:$G,Data!$A:$A,"6-"&amp;LEFT($B311,3)&amp;"*",Data!$G:$G,"&gt;0")</f>
        <v>0</v>
      </c>
    </row>
    <row r="312" spans="1:14" s="658" customFormat="1" ht="12.75" customHeight="1" thickTop="1" thickBot="1" x14ac:dyDescent="0.25">
      <c r="A312" s="2222" t="s">
        <v>295</v>
      </c>
      <c r="B312" s="222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49"/>
      <c r="N312" s="649"/>
    </row>
    <row r="313" spans="1:14" ht="13.5" thickTop="1" x14ac:dyDescent="0.2">
      <c r="A313" s="2218" t="s">
        <v>1053</v>
      </c>
      <c r="B313" s="2219"/>
      <c r="C313" s="612"/>
      <c r="D313" s="612"/>
      <c r="E313" s="612"/>
      <c r="F313" s="612"/>
      <c r="G313" s="612"/>
      <c r="H313" s="612"/>
      <c r="I313" s="612"/>
      <c r="J313" s="612"/>
      <c r="K313" s="1685">
        <f>'Revenues 9-14'!H275-'Expenditures 15-22'!K312</f>
        <v>0</v>
      </c>
      <c r="L313" s="612"/>
    </row>
    <row r="314" spans="1:14" s="650" customFormat="1" ht="9" customHeight="1" x14ac:dyDescent="0.2">
      <c r="A314" s="675"/>
      <c r="B314" s="676"/>
      <c r="C314" s="677"/>
      <c r="D314" s="677"/>
      <c r="E314" s="677"/>
      <c r="F314" s="677"/>
      <c r="G314" s="677"/>
      <c r="H314" s="677"/>
      <c r="I314" s="677"/>
      <c r="J314" s="677"/>
      <c r="K314" s="677"/>
      <c r="L314" s="677"/>
      <c r="M314" s="649"/>
      <c r="N314" s="649"/>
    </row>
    <row r="315" spans="1:14" ht="16.7" customHeight="1" x14ac:dyDescent="0.2">
      <c r="A315" s="2231" t="s">
        <v>151</v>
      </c>
      <c r="B315" s="2232"/>
      <c r="C315" s="1558"/>
      <c r="D315" s="1559"/>
      <c r="E315" s="1559"/>
      <c r="F315" s="1559"/>
      <c r="G315" s="1559"/>
      <c r="H315" s="1559"/>
      <c r="I315" s="1559"/>
      <c r="J315" s="1559"/>
      <c r="K315" s="1559"/>
      <c r="L315" s="1560"/>
    </row>
    <row r="316" spans="1:14" s="658" customFormat="1" ht="9" customHeight="1" x14ac:dyDescent="0.2">
      <c r="A316" s="675"/>
      <c r="B316" s="676"/>
      <c r="C316" s="678"/>
      <c r="D316" s="678"/>
      <c r="E316" s="678"/>
      <c r="F316" s="678"/>
      <c r="G316" s="678"/>
      <c r="H316" s="678"/>
      <c r="I316" s="678"/>
      <c r="J316" s="678"/>
      <c r="K316" s="678"/>
      <c r="L316" s="678"/>
      <c r="M316" s="649"/>
      <c r="N316" s="649"/>
    </row>
    <row r="317" spans="1:14" ht="16.7" customHeight="1" x14ac:dyDescent="0.2">
      <c r="A317" s="2233" t="s">
        <v>954</v>
      </c>
      <c r="B317" s="2232"/>
      <c r="C317" s="1558"/>
      <c r="D317" s="1559"/>
      <c r="E317" s="1559"/>
      <c r="F317" s="1559"/>
      <c r="G317" s="1559"/>
      <c r="H317" s="1559"/>
      <c r="I317" s="1559"/>
      <c r="J317" s="1559"/>
      <c r="K317" s="1559"/>
      <c r="L317" s="1560"/>
    </row>
    <row r="318" spans="1:14" s="658" customFormat="1" ht="15.75" customHeight="1" x14ac:dyDescent="0.2">
      <c r="A318" s="679" t="s">
        <v>631</v>
      </c>
      <c r="B318" s="680"/>
      <c r="C318" s="623"/>
      <c r="D318" s="623"/>
      <c r="E318" s="623"/>
      <c r="F318" s="623"/>
      <c r="G318" s="623"/>
      <c r="H318" s="623"/>
      <c r="I318" s="623"/>
      <c r="J318" s="623"/>
      <c r="K318" s="623"/>
      <c r="L318" s="623"/>
      <c r="M318" s="649"/>
      <c r="N318" s="649"/>
    </row>
    <row r="319" spans="1:14" s="658" customFormat="1" x14ac:dyDescent="0.2">
      <c r="A319" s="1521" t="s">
        <v>317</v>
      </c>
      <c r="B319" s="681" t="s">
        <v>299</v>
      </c>
      <c r="C319" s="466">
        <f>SUMIF(Data!$A:$A,"8-"&amp;LEFT($B319,4)&amp;"*-"&amp;MID(C$1,2,1)&amp;"*",Data!$F:$F)</f>
        <v>0</v>
      </c>
      <c r="D319" s="466">
        <f>SUMIF(Data!$A:$A,"8-"&amp;LEFT($B319,4)&amp;"*-"&amp;MID(D$1,2,1)&amp;"*",Data!$F:$F)</f>
        <v>0</v>
      </c>
      <c r="E319" s="466">
        <f>SUMIF(Data!$A:$A,"8-"&amp;LEFT($B319,4)&amp;"*-"&amp;MID(E$1,2,1)&amp;"*",Data!$F:$F)</f>
        <v>0</v>
      </c>
      <c r="F319" s="466">
        <f>SUMIF(Data!$A:$A,"8-"&amp;LEFT($B319,4)&amp;"*-"&amp;MID(F$1,2,1)&amp;"*",Data!$F:$F)</f>
        <v>0</v>
      </c>
      <c r="G319" s="466">
        <f>SUMIF(Data!$A:$A,"8-"&amp;LEFT($B319,4)&amp;"*-"&amp;MID(G$1,2,1)&amp;"*",Data!$F:$F)</f>
        <v>0</v>
      </c>
      <c r="H319" s="466">
        <f>SUMIF(Data!$A:$A,"8-"&amp;LEFT($B319,4)&amp;"*-"&amp;MID(H$1,2,1)&amp;"*",Data!$F:$F)</f>
        <v>0</v>
      </c>
      <c r="I319" s="466">
        <f>SUMIF(Data!$A:$A,"8-"&amp;LEFT($B319,4)&amp;"*-"&amp;MID(I$1,2,1)&amp;"*",Data!$F:$F)</f>
        <v>0</v>
      </c>
      <c r="J319" s="466">
        <f>SUMIF(Data!$A:$A,"8-"&amp;LEFT($B319,4)&amp;"*-"&amp;MID(J$1,2,1)&amp;"*",Data!$F:$F)</f>
        <v>0</v>
      </c>
      <c r="K319" s="1671">
        <f>SUM(C319:J319)</f>
        <v>0</v>
      </c>
      <c r="L319" s="467">
        <f>SUMIFS(Data!$G:$G,Data!$A:$A,"8-"&amp;LEFT($B319,4)&amp;"*",Data!$G:$G,"&gt;0")</f>
        <v>0</v>
      </c>
      <c r="M319" s="649"/>
      <c r="N319" s="649"/>
    </row>
    <row r="320" spans="1:14" s="658" customFormat="1" x14ac:dyDescent="0.2">
      <c r="A320" s="1525" t="s">
        <v>1904</v>
      </c>
      <c r="B320" s="682" t="s">
        <v>300</v>
      </c>
      <c r="C320" s="466">
        <f>SUMIF(Data!$A:$A,"8-"&amp;LEFT($B320,4)&amp;"*-"&amp;MID(C$1,2,1)&amp;"*",Data!$F:$F)</f>
        <v>0</v>
      </c>
      <c r="D320" s="466">
        <f>SUMIF(Data!$A:$A,"8-"&amp;LEFT($B320,4)&amp;"*-"&amp;MID(D$1,2,1)&amp;"*",Data!$F:$F)</f>
        <v>0</v>
      </c>
      <c r="E320" s="466">
        <f>SUMIF(Data!$A:$A,"8-"&amp;LEFT($B320,4)&amp;"*-"&amp;MID(E$1,2,1)&amp;"*",Data!$F:$F)</f>
        <v>160767</v>
      </c>
      <c r="F320" s="466">
        <f>SUMIF(Data!$A:$A,"8-"&amp;LEFT($B320,4)&amp;"*-"&amp;MID(F$1,2,1)&amp;"*",Data!$F:$F)</f>
        <v>0</v>
      </c>
      <c r="G320" s="466">
        <f>SUMIF(Data!$A:$A,"8-"&amp;LEFT($B320,4)&amp;"*-"&amp;MID(G$1,2,1)&amp;"*",Data!$F:$F)</f>
        <v>0</v>
      </c>
      <c r="H320" s="466">
        <f>SUMIF(Data!$A:$A,"8-"&amp;LEFT($B320,4)&amp;"*-"&amp;MID(H$1,2,1)&amp;"*",Data!$F:$F)</f>
        <v>0</v>
      </c>
      <c r="I320" s="466">
        <f>SUMIF(Data!$A:$A,"8-"&amp;LEFT($B320,4)&amp;"*-"&amp;MID(I$1,2,1)&amp;"*",Data!$F:$F)</f>
        <v>0</v>
      </c>
      <c r="J320" s="466">
        <f>SUMIF(Data!$A:$A,"8-"&amp;LEFT($B320,4)&amp;"*-"&amp;MID(J$1,2,1)&amp;"*",Data!$F:$F)</f>
        <v>0</v>
      </c>
      <c r="K320" s="1671">
        <f t="shared" ref="K320:K327" si="24">SUM(C320:J320)</f>
        <v>160767</v>
      </c>
      <c r="L320" s="467">
        <v>160000</v>
      </c>
      <c r="M320" s="649"/>
      <c r="N320" s="649"/>
    </row>
    <row r="321" spans="1:14" s="658" customFormat="1" x14ac:dyDescent="0.2">
      <c r="A321" s="1521" t="s">
        <v>318</v>
      </c>
      <c r="B321" s="681" t="s">
        <v>301</v>
      </c>
      <c r="C321" s="466">
        <f>SUMIF(Data!$A:$A,"8-"&amp;LEFT($B321,4)&amp;"*-"&amp;MID(C$1,2,1)&amp;"*",Data!$F:$F)</f>
        <v>0</v>
      </c>
      <c r="D321" s="466">
        <f>SUMIF(Data!$A:$A,"8-"&amp;LEFT($B321,4)&amp;"*-"&amp;MID(D$1,2,1)&amp;"*",Data!$F:$F)</f>
        <v>0</v>
      </c>
      <c r="E321" s="466">
        <f>SUMIF(Data!$A:$A,"8-"&amp;LEFT($B321,4)&amp;"*-"&amp;MID(E$1,2,1)&amp;"*",Data!$F:$F)</f>
        <v>0</v>
      </c>
      <c r="F321" s="466">
        <f>SUMIF(Data!$A:$A,"8-"&amp;LEFT($B321,4)&amp;"*-"&amp;MID(F$1,2,1)&amp;"*",Data!$F:$F)</f>
        <v>0</v>
      </c>
      <c r="G321" s="466">
        <f>SUMIF(Data!$A:$A,"8-"&amp;LEFT($B321,4)&amp;"*-"&amp;MID(G$1,2,1)&amp;"*",Data!$F:$F)</f>
        <v>0</v>
      </c>
      <c r="H321" s="466">
        <f>SUMIF(Data!$A:$A,"8-"&amp;LEFT($B321,4)&amp;"*-"&amp;MID(H$1,2,1)&amp;"*",Data!$F:$F)</f>
        <v>0</v>
      </c>
      <c r="I321" s="466">
        <f>SUMIF(Data!$A:$A,"8-"&amp;LEFT($B321,4)&amp;"*-"&amp;MID(I$1,2,1)&amp;"*",Data!$F:$F)</f>
        <v>0</v>
      </c>
      <c r="J321" s="466">
        <f>SUMIF(Data!$A:$A,"8-"&amp;LEFT($B321,4)&amp;"*-"&amp;MID(J$1,2,1)&amp;"*",Data!$F:$F)</f>
        <v>0</v>
      </c>
      <c r="K321" s="1671">
        <f t="shared" si="24"/>
        <v>0</v>
      </c>
      <c r="L321" s="467">
        <f>SUMIFS(Data!$G:$G,Data!$A:$A,"8-"&amp;LEFT($B321,4)&amp;"*",Data!$G:$G,"&gt;0")</f>
        <v>0</v>
      </c>
      <c r="M321" s="649"/>
      <c r="N321" s="649"/>
    </row>
    <row r="322" spans="1:14" s="658" customFormat="1" x14ac:dyDescent="0.2">
      <c r="A322" s="1521" t="s">
        <v>256</v>
      </c>
      <c r="B322" s="681" t="s">
        <v>302</v>
      </c>
      <c r="C322" s="466">
        <f>SUMIF(Data!$A:$A,"8-"&amp;LEFT($B322,4)&amp;"*-"&amp;MID(C$1,2,1)&amp;"*",Data!$F:$F)</f>
        <v>0</v>
      </c>
      <c r="D322" s="466">
        <f>SUMIF(Data!$A:$A,"8-"&amp;LEFT($B322,4)&amp;"*-"&amp;MID(D$1,2,1)&amp;"*",Data!$F:$F)</f>
        <v>0</v>
      </c>
      <c r="E322" s="466">
        <f>SUMIF(Data!$A:$A,"8-"&amp;LEFT($B322,4)&amp;"*-"&amp;MID(E$1,2,1)&amp;"*",Data!$F:$F)</f>
        <v>0</v>
      </c>
      <c r="F322" s="466">
        <f>SUMIF(Data!$A:$A,"8-"&amp;LEFT($B322,4)&amp;"*-"&amp;MID(F$1,2,1)&amp;"*",Data!$F:$F)</f>
        <v>0</v>
      </c>
      <c r="G322" s="466">
        <f>SUMIF(Data!$A:$A,"8-"&amp;LEFT($B322,4)&amp;"*-"&amp;MID(G$1,2,1)&amp;"*",Data!$F:$F)</f>
        <v>0</v>
      </c>
      <c r="H322" s="466">
        <f>SUMIF(Data!$A:$A,"8-"&amp;LEFT($B322,4)&amp;"*-"&amp;MID(H$1,2,1)&amp;"*",Data!$F:$F)</f>
        <v>0</v>
      </c>
      <c r="I322" s="466">
        <f>SUMIF(Data!$A:$A,"8-"&amp;LEFT($B322,4)&amp;"*-"&amp;MID(I$1,2,1)&amp;"*",Data!$F:$F)</f>
        <v>0</v>
      </c>
      <c r="J322" s="466">
        <f>SUMIF(Data!$A:$A,"8-"&amp;LEFT($B322,4)&amp;"*-"&amp;MID(J$1,2,1)&amp;"*",Data!$F:$F)</f>
        <v>0</v>
      </c>
      <c r="K322" s="1671">
        <f t="shared" si="24"/>
        <v>0</v>
      </c>
      <c r="L322" s="467">
        <f>SUMIFS(Data!$G:$G,Data!$A:$A,"8-"&amp;LEFT($B322,4)&amp;"*",Data!$G:$G,"&gt;0")</f>
        <v>0</v>
      </c>
      <c r="M322" s="649"/>
      <c r="N322" s="649"/>
    </row>
    <row r="323" spans="1:14" s="658" customFormat="1" x14ac:dyDescent="0.2">
      <c r="A323" s="1521" t="s">
        <v>726</v>
      </c>
      <c r="B323" s="681" t="s">
        <v>303</v>
      </c>
      <c r="C323" s="466">
        <f>SUMIF(Data!$A:$A,"8-"&amp;LEFT($B323,4)&amp;"*-"&amp;MID(C$1,2,1)&amp;"*",Data!$F:$F)</f>
        <v>0</v>
      </c>
      <c r="D323" s="466">
        <f>SUMIF(Data!$A:$A,"8-"&amp;LEFT($B323,4)&amp;"*-"&amp;MID(D$1,2,1)&amp;"*",Data!$F:$F)</f>
        <v>0</v>
      </c>
      <c r="E323" s="466">
        <f>SUMIF(Data!$A:$A,"8-"&amp;LEFT($B323,4)&amp;"*-"&amp;MID(E$1,2,1)&amp;"*",Data!$F:$F)</f>
        <v>0</v>
      </c>
      <c r="F323" s="466">
        <f>SUMIF(Data!$A:$A,"8-"&amp;LEFT($B323,4)&amp;"*-"&amp;MID(F$1,2,1)&amp;"*",Data!$F:$F)</f>
        <v>0</v>
      </c>
      <c r="G323" s="466">
        <f>SUMIF(Data!$A:$A,"8-"&amp;LEFT($B323,4)&amp;"*-"&amp;MID(G$1,2,1)&amp;"*",Data!$F:$F)</f>
        <v>0</v>
      </c>
      <c r="H323" s="466">
        <f>SUMIF(Data!$A:$A,"8-"&amp;LEFT($B323,4)&amp;"*-"&amp;MID(H$1,2,1)&amp;"*",Data!$F:$F)</f>
        <v>0</v>
      </c>
      <c r="I323" s="466">
        <f>SUMIF(Data!$A:$A,"8-"&amp;LEFT($B323,4)&amp;"*-"&amp;MID(I$1,2,1)&amp;"*",Data!$F:$F)</f>
        <v>0</v>
      </c>
      <c r="J323" s="466">
        <f>SUMIF(Data!$A:$A,"8-"&amp;LEFT($B323,4)&amp;"*-"&amp;MID(J$1,2,1)&amp;"*",Data!$F:$F)</f>
        <v>0</v>
      </c>
      <c r="K323" s="1671">
        <f t="shared" si="24"/>
        <v>0</v>
      </c>
      <c r="L323" s="467">
        <f>SUMIFS(Data!$G:$G,Data!$A:$A,"8-"&amp;LEFT($B323,4)&amp;"*",Data!$G:$G,"&gt;0")</f>
        <v>0</v>
      </c>
      <c r="M323" s="649"/>
      <c r="N323" s="649"/>
    </row>
    <row r="324" spans="1:14" s="658" customFormat="1" x14ac:dyDescent="0.2">
      <c r="A324" s="1521" t="s">
        <v>257</v>
      </c>
      <c r="B324" s="681" t="s">
        <v>304</v>
      </c>
      <c r="C324" s="466">
        <f>SUMIF(Data!$A:$A,"8-"&amp;LEFT($B324,4)&amp;"*-"&amp;MID(C$1,2,1)&amp;"*",Data!$F:$F)</f>
        <v>0</v>
      </c>
      <c r="D324" s="466">
        <f>SUMIF(Data!$A:$A,"8-"&amp;LEFT($B324,4)&amp;"*-"&amp;MID(D$1,2,1)&amp;"*",Data!$F:$F)</f>
        <v>0</v>
      </c>
      <c r="E324" s="466">
        <f>SUMIF(Data!$A:$A,"8-"&amp;LEFT($B324,4)&amp;"*-"&amp;MID(E$1,2,1)&amp;"*",Data!$F:$F)</f>
        <v>0</v>
      </c>
      <c r="F324" s="466">
        <f>SUMIF(Data!$A:$A,"8-"&amp;LEFT($B324,4)&amp;"*-"&amp;MID(F$1,2,1)&amp;"*",Data!$F:$F)</f>
        <v>0</v>
      </c>
      <c r="G324" s="466">
        <f>SUMIF(Data!$A:$A,"8-"&amp;LEFT($B324,4)&amp;"*-"&amp;MID(G$1,2,1)&amp;"*",Data!$F:$F)</f>
        <v>0</v>
      </c>
      <c r="H324" s="466">
        <f>SUMIF(Data!$A:$A,"8-"&amp;LEFT($B324,4)&amp;"*-"&amp;MID(H$1,2,1)&amp;"*",Data!$F:$F)</f>
        <v>0</v>
      </c>
      <c r="I324" s="466">
        <f>SUMIF(Data!$A:$A,"8-"&amp;LEFT($B324,4)&amp;"*-"&amp;MID(I$1,2,1)&amp;"*",Data!$F:$F)</f>
        <v>0</v>
      </c>
      <c r="J324" s="466">
        <f>SUMIF(Data!$A:$A,"8-"&amp;LEFT($B324,4)&amp;"*-"&amp;MID(J$1,2,1)&amp;"*",Data!$F:$F)</f>
        <v>0</v>
      </c>
      <c r="K324" s="1671">
        <f t="shared" si="24"/>
        <v>0</v>
      </c>
      <c r="L324" s="467">
        <f>SUMIFS(Data!$G:$G,Data!$A:$A,"8-"&amp;LEFT($B324,4)&amp;"*",Data!$G:$G,"&gt;0")</f>
        <v>0</v>
      </c>
      <c r="M324" s="649"/>
      <c r="N324" s="649"/>
    </row>
    <row r="325" spans="1:14" s="658" customFormat="1" ht="22.5" x14ac:dyDescent="0.2">
      <c r="A325" s="1521" t="s">
        <v>1087</v>
      </c>
      <c r="B325" s="682" t="s">
        <v>305</v>
      </c>
      <c r="C325" s="466">
        <f>SUMIF(Data!$A:$A,"8-"&amp;LEFT($B325,4)&amp;"*-"&amp;MID(C$1,2,1)&amp;"*",Data!$F:$F)</f>
        <v>264717.07</v>
      </c>
      <c r="D325" s="466">
        <f>SUMIF(Data!$A:$A,"8-"&amp;LEFT($B325,4)&amp;"*-"&amp;MID(D$1,2,1)&amp;"*",Data!$F:$F)</f>
        <v>0</v>
      </c>
      <c r="E325" s="466">
        <f>SUMIF(Data!$A:$A,"8-"&amp;LEFT($B325,4)&amp;"*-"&amp;MID(E$1,2,1)&amp;"*",Data!$F:$F)</f>
        <v>69042.19</v>
      </c>
      <c r="F325" s="466">
        <f>SUMIF(Data!$A:$A,"8-"&amp;LEFT($B325,4)&amp;"*-"&amp;MID(F$1,2,1)&amp;"*",Data!$F:$F)</f>
        <v>8703.3700000000008</v>
      </c>
      <c r="G325" s="466">
        <f>SUMIF(Data!$A:$A,"8-"&amp;LEFT($B325,4)&amp;"*-"&amp;MID(G$1,2,1)&amp;"*",Data!$F:$F)</f>
        <v>0</v>
      </c>
      <c r="H325" s="466">
        <f>SUMIF(Data!$A:$A,"8-"&amp;LEFT($B325,4)&amp;"*-"&amp;MID(H$1,2,1)&amp;"*",Data!$F:$F)</f>
        <v>0</v>
      </c>
      <c r="I325" s="466">
        <f>SUMIF(Data!$A:$A,"8-"&amp;LEFT($B325,4)&amp;"*-"&amp;MID(I$1,2,1)&amp;"*",Data!$F:$F)</f>
        <v>0</v>
      </c>
      <c r="J325" s="466">
        <f>SUMIF(Data!$A:$A,"8-"&amp;LEFT($B325,4)&amp;"*-"&amp;MID(J$1,2,1)&amp;"*",Data!$F:$F)</f>
        <v>0</v>
      </c>
      <c r="K325" s="1671">
        <f t="shared" si="24"/>
        <v>342462.63</v>
      </c>
      <c r="L325" s="467">
        <v>310747</v>
      </c>
      <c r="M325" s="649"/>
      <c r="N325" s="649"/>
    </row>
    <row r="326" spans="1:14" s="658" customFormat="1" x14ac:dyDescent="0.2">
      <c r="A326" s="1521" t="s">
        <v>1088</v>
      </c>
      <c r="B326" s="681" t="s">
        <v>306</v>
      </c>
      <c r="C326" s="466">
        <f>SUMIF(Data!$A:$A,"8-"&amp;LEFT($B326,4)&amp;"*-"&amp;MID(C$1,2,1)&amp;"*",Data!$F:$F)</f>
        <v>0</v>
      </c>
      <c r="D326" s="466">
        <f>SUMIF(Data!$A:$A,"8-"&amp;LEFT($B326,4)&amp;"*-"&amp;MID(D$1,2,1)&amp;"*",Data!$F:$F)</f>
        <v>0</v>
      </c>
      <c r="E326" s="466">
        <f>SUMIF(Data!$A:$A,"8-"&amp;LEFT($B326,4)&amp;"*-"&amp;MID(E$1,2,1)&amp;"*",Data!$F:$F)</f>
        <v>0</v>
      </c>
      <c r="F326" s="466">
        <f>SUMIF(Data!$A:$A,"8-"&amp;LEFT($B326,4)&amp;"*-"&amp;MID(F$1,2,1)&amp;"*",Data!$F:$F)</f>
        <v>0</v>
      </c>
      <c r="G326" s="466">
        <f>SUMIF(Data!$A:$A,"8-"&amp;LEFT($B326,4)&amp;"*-"&amp;MID(G$1,2,1)&amp;"*",Data!$F:$F)</f>
        <v>0</v>
      </c>
      <c r="H326" s="466">
        <f>SUMIF(Data!$A:$A,"8-"&amp;LEFT($B326,4)&amp;"*-"&amp;MID(H$1,2,1)&amp;"*",Data!$F:$F)</f>
        <v>0</v>
      </c>
      <c r="I326" s="466">
        <f>SUMIF(Data!$A:$A,"8-"&amp;LEFT($B326,4)&amp;"*-"&amp;MID(I$1,2,1)&amp;"*",Data!$F:$F)</f>
        <v>0</v>
      </c>
      <c r="J326" s="466">
        <f>SUMIF(Data!$A:$A,"8-"&amp;LEFT($B326,4)&amp;"*-"&amp;MID(J$1,2,1)&amp;"*",Data!$F:$F)</f>
        <v>0</v>
      </c>
      <c r="K326" s="1671">
        <f t="shared" si="24"/>
        <v>0</v>
      </c>
      <c r="L326" s="467">
        <f>SUMIFS(Data!$G:$G,Data!$A:$A,"8-"&amp;LEFT($B326,4)&amp;"*",Data!$G:$G,"&gt;0")</f>
        <v>0</v>
      </c>
      <c r="M326" s="649"/>
      <c r="N326" s="649"/>
    </row>
    <row r="327" spans="1:14" s="658" customFormat="1" x14ac:dyDescent="0.2">
      <c r="A327" s="1521" t="s">
        <v>1028</v>
      </c>
      <c r="B327" s="681" t="s">
        <v>307</v>
      </c>
      <c r="C327" s="466">
        <f>SUMIF(Data!$A:$A,"8-"&amp;LEFT($B327,4)&amp;"*-"&amp;MID(C$1,2,1)&amp;"*",Data!$F:$F)</f>
        <v>0</v>
      </c>
      <c r="D327" s="466">
        <f>SUMIF(Data!$A:$A,"8-"&amp;LEFT($B327,4)&amp;"*-"&amp;MID(D$1,2,1)&amp;"*",Data!$F:$F)</f>
        <v>0</v>
      </c>
      <c r="E327" s="466">
        <f>SUMIF(Data!$A:$A,"8-"&amp;LEFT($B327,4)&amp;"*-"&amp;MID(E$1,2,1)&amp;"*",Data!$F:$F)</f>
        <v>0</v>
      </c>
      <c r="F327" s="466">
        <f>SUMIF(Data!$A:$A,"8-"&amp;LEFT($B327,4)&amp;"*-"&amp;MID(F$1,2,1)&amp;"*",Data!$F:$F)</f>
        <v>0</v>
      </c>
      <c r="G327" s="466">
        <f>SUMIF(Data!$A:$A,"8-"&amp;LEFT($B327,4)&amp;"*-"&amp;MID(G$1,2,1)&amp;"*",Data!$F:$F)</f>
        <v>0</v>
      </c>
      <c r="H327" s="466">
        <f>SUMIF(Data!$A:$A,"8-"&amp;LEFT($B327,4)&amp;"*-"&amp;MID(H$1,2,1)&amp;"*",Data!$F:$F)</f>
        <v>0</v>
      </c>
      <c r="I327" s="466">
        <f>SUMIF(Data!$A:$A,"8-"&amp;LEFT($B327,4)&amp;"*-"&amp;MID(I$1,2,1)&amp;"*",Data!$F:$F)</f>
        <v>0</v>
      </c>
      <c r="J327" s="466">
        <f>SUMIF(Data!$A:$A,"8-"&amp;LEFT($B327,4)&amp;"*-"&amp;MID(J$1,2,1)&amp;"*",Data!$F:$F)</f>
        <v>0</v>
      </c>
      <c r="K327" s="1671">
        <f t="shared" si="24"/>
        <v>0</v>
      </c>
      <c r="L327" s="467">
        <v>12500</v>
      </c>
      <c r="M327" s="649"/>
      <c r="N327" s="649"/>
    </row>
    <row r="328" spans="1:14" s="658" customFormat="1" x14ac:dyDescent="0.2">
      <c r="A328" s="1522" t="s">
        <v>492</v>
      </c>
      <c r="B328" s="674" t="s">
        <v>1194</v>
      </c>
      <c r="C328" s="466">
        <f>SUMIF(Data!$A:$A,"8-"&amp;LEFT($B328,4)&amp;"*-"&amp;MID(C$1,2,1)&amp;"*",Data!$F:$F)</f>
        <v>0</v>
      </c>
      <c r="D328" s="466">
        <f>SUMIF(Data!$A:$A,"8-"&amp;LEFT($B328,4)&amp;"*-"&amp;MID(D$1,2,1)&amp;"*",Data!$F:$F)</f>
        <v>0</v>
      </c>
      <c r="E328" s="466">
        <f>SUMIF(Data!$A:$A,"8-"&amp;LEFT($B328,4)&amp;"*-"&amp;MID(E$1,2,1)&amp;"*",Data!$F:$F)</f>
        <v>0</v>
      </c>
      <c r="F328" s="466">
        <f>SUMIF(Data!$A:$A,"8-"&amp;LEFT($B328,4)&amp;"*-"&amp;MID(F$1,2,1)&amp;"*",Data!$F:$F)</f>
        <v>0</v>
      </c>
      <c r="G328" s="466">
        <f>SUMIF(Data!$A:$A,"8-"&amp;LEFT($B328,4)&amp;"*-"&amp;MID(G$1,2,1)&amp;"*",Data!$F:$F)</f>
        <v>0</v>
      </c>
      <c r="H328" s="466">
        <f>SUMIF(Data!$A:$A,"8-"&amp;LEFT($B328,4)&amp;"*-"&amp;MID(H$1,2,1)&amp;"*",Data!$F:$F)</f>
        <v>0</v>
      </c>
      <c r="I328" s="466">
        <f>SUMIF(Data!$A:$A,"8-"&amp;LEFT($B328,4)&amp;"*-"&amp;MID(I$1,2,1)&amp;"*",Data!$F:$F)</f>
        <v>0</v>
      </c>
      <c r="J328" s="466">
        <f>SUMIF(Data!$A:$A,"8-"&amp;LEFT($B328,4)&amp;"*-"&amp;MID(J$1,2,1)&amp;"*",Data!$F:$F)</f>
        <v>0</v>
      </c>
      <c r="K328" s="1699">
        <f>SUM(C328:J328)</f>
        <v>0</v>
      </c>
      <c r="L328" s="467">
        <v>49510</v>
      </c>
      <c r="M328" s="649"/>
      <c r="N328" s="649"/>
    </row>
    <row r="329" spans="1:14" s="658" customFormat="1" x14ac:dyDescent="0.2">
      <c r="A329" s="1522" t="s">
        <v>1195</v>
      </c>
      <c r="B329" s="674" t="s">
        <v>1196</v>
      </c>
      <c r="C329" s="466">
        <f>SUMIF(Data!$A:$A,"8-"&amp;LEFT($B329,4)&amp;"*-"&amp;MID(C$1,2,1)&amp;"*",Data!$F:$F)</f>
        <v>0</v>
      </c>
      <c r="D329" s="466">
        <f>SUMIF(Data!$A:$A,"8-"&amp;LEFT($B329,4)&amp;"*-"&amp;MID(D$1,2,1)&amp;"*",Data!$F:$F)</f>
        <v>0</v>
      </c>
      <c r="E329" s="466">
        <f>SUMIF(Data!$A:$A,"8-"&amp;LEFT($B329,4)&amp;"*-"&amp;MID(E$1,2,1)&amp;"*",Data!$F:$F)</f>
        <v>0</v>
      </c>
      <c r="F329" s="466">
        <f>SUMIF(Data!$A:$A,"8-"&amp;LEFT($B329,4)&amp;"*-"&amp;MID(F$1,2,1)&amp;"*",Data!$F:$F)</f>
        <v>0</v>
      </c>
      <c r="G329" s="466">
        <f>SUMIF(Data!$A:$A,"8-"&amp;LEFT($B329,4)&amp;"*-"&amp;MID(G$1,2,1)&amp;"*",Data!$F:$F)</f>
        <v>0</v>
      </c>
      <c r="H329" s="466">
        <f>SUMIF(Data!$A:$A,"8-"&amp;LEFT($B329,4)&amp;"*-"&amp;MID(H$1,2,1)&amp;"*",Data!$F:$F)</f>
        <v>0</v>
      </c>
      <c r="I329" s="466">
        <f>SUMIF(Data!$A:$A,"8-"&amp;LEFT($B329,4)&amp;"*-"&amp;MID(I$1,2,1)&amp;"*",Data!$F:$F)</f>
        <v>0</v>
      </c>
      <c r="J329" s="466">
        <f>SUMIF(Data!$A:$A,"8-"&amp;LEFT($B329,4)&amp;"*-"&amp;MID(J$1,2,1)&amp;"*",Data!$F:$F)</f>
        <v>0</v>
      </c>
      <c r="K329" s="1699">
        <f>SUM(C329:J329)</f>
        <v>0</v>
      </c>
      <c r="L329" s="467">
        <f>SUMIFS(Data!$G:$G,Data!$A:$A,"8-"&amp;LEFT($B329,4)&amp;"*",Data!$G:$G,"&gt;0")</f>
        <v>0</v>
      </c>
      <c r="M329" s="649"/>
      <c r="N329" s="649"/>
    </row>
    <row r="330" spans="1:14" s="658" customFormat="1" ht="12.75" customHeight="1" thickBot="1" x14ac:dyDescent="0.25">
      <c r="A330" s="1700" t="s">
        <v>741</v>
      </c>
      <c r="B330" s="1669" t="s">
        <v>590</v>
      </c>
      <c r="C330" s="1670">
        <f>SUM(C319:C329)</f>
        <v>264717.07</v>
      </c>
      <c r="D330" s="1670">
        <f t="shared" ref="D330:J330" si="25">SUM(D319:D329)</f>
        <v>0</v>
      </c>
      <c r="E330" s="1670">
        <f t="shared" si="25"/>
        <v>229809.19</v>
      </c>
      <c r="F330" s="1670">
        <f t="shared" si="25"/>
        <v>8703.3700000000008</v>
      </c>
      <c r="G330" s="1670">
        <f t="shared" si="25"/>
        <v>0</v>
      </c>
      <c r="H330" s="1670">
        <f t="shared" si="25"/>
        <v>0</v>
      </c>
      <c r="I330" s="1670">
        <f t="shared" si="25"/>
        <v>0</v>
      </c>
      <c r="J330" s="1670">
        <f t="shared" si="25"/>
        <v>0</v>
      </c>
      <c r="K330" s="1670">
        <f>SUM(K319:K329)</f>
        <v>503229.63</v>
      </c>
      <c r="L330" s="1670">
        <f>SUM(L319:L329)</f>
        <v>532757</v>
      </c>
      <c r="M330" s="649"/>
      <c r="N330" s="649"/>
    </row>
    <row r="331" spans="1:14" s="658" customFormat="1" ht="12.75" customHeight="1" thickTop="1" x14ac:dyDescent="0.2">
      <c r="A331" s="1832" t="s">
        <v>1959</v>
      </c>
      <c r="B331" s="631" t="s">
        <v>915</v>
      </c>
      <c r="C331" s="1834"/>
      <c r="D331" s="1834"/>
      <c r="E331" s="1834"/>
      <c r="F331" s="1834"/>
      <c r="G331" s="1834"/>
      <c r="H331" s="1834"/>
      <c r="I331" s="1834"/>
      <c r="J331" s="1834"/>
      <c r="K331" s="1834"/>
      <c r="L331" s="1834"/>
      <c r="M331" s="649"/>
      <c r="N331" s="649"/>
    </row>
    <row r="332" spans="1:14" s="658" customFormat="1" ht="12.75" customHeight="1" x14ac:dyDescent="0.2">
      <c r="A332" s="1833" t="s">
        <v>517</v>
      </c>
      <c r="B332" s="1828" t="s">
        <v>1953</v>
      </c>
      <c r="C332" s="1834"/>
      <c r="D332" s="1834"/>
      <c r="E332" s="1834"/>
      <c r="F332" s="1834"/>
      <c r="G332" s="1834"/>
      <c r="H332" s="466">
        <f>SUMIF(Data!$A:$A,"8-"&amp;LEFT($B332,4)&amp;"*-"&amp;MID(H$1,2,1)&amp;"*",Data!$F:$F)</f>
        <v>0</v>
      </c>
      <c r="I332" s="1834"/>
      <c r="J332" s="1834"/>
      <c r="K332" s="1671">
        <f>H332</f>
        <v>0</v>
      </c>
      <c r="L332" s="467">
        <f>SUMIFS(Data!$G:$G,Data!$A:$A,"8-"&amp;LEFT($B332,4)&amp;"*",Data!$G:$G,"&gt;0")</f>
        <v>0</v>
      </c>
      <c r="M332" s="649"/>
      <c r="N332" s="649"/>
    </row>
    <row r="333" spans="1:14" s="658" customFormat="1" ht="12.75" customHeight="1" x14ac:dyDescent="0.2">
      <c r="A333" s="1833" t="s">
        <v>322</v>
      </c>
      <c r="B333" s="1828" t="s">
        <v>1955</v>
      </c>
      <c r="C333" s="1834"/>
      <c r="D333" s="1834"/>
      <c r="E333" s="1834"/>
      <c r="F333" s="1834"/>
      <c r="G333" s="1834"/>
      <c r="H333" s="466">
        <f>SUMIF(Data!$A:$A,"8-"&amp;LEFT($B333,4)&amp;"*-"&amp;MID(H$1,2,1)&amp;"*",Data!$F:$F)</f>
        <v>0</v>
      </c>
      <c r="I333" s="1834"/>
      <c r="J333" s="1834"/>
      <c r="K333" s="1671">
        <f>H333</f>
        <v>0</v>
      </c>
      <c r="L333" s="467">
        <f>SUMIFS(Data!$G:$G,Data!$A:$A,"8-"&amp;LEFT($B333,4)&amp;"*",Data!$G:$G,"&gt;0")</f>
        <v>0</v>
      </c>
      <c r="M333" s="649"/>
      <c r="N333" s="649"/>
    </row>
    <row r="334" spans="1:14" s="658" customFormat="1" ht="12.75" customHeight="1" thickBot="1" x14ac:dyDescent="0.25">
      <c r="A334" s="1833" t="s">
        <v>1960</v>
      </c>
      <c r="B334" s="1828" t="s">
        <v>915</v>
      </c>
      <c r="C334" s="1834"/>
      <c r="D334" s="1834"/>
      <c r="E334" s="1834"/>
      <c r="F334" s="1834"/>
      <c r="G334" s="1834"/>
      <c r="H334" s="1670">
        <f>SUM(H332:H333)</f>
        <v>0</v>
      </c>
      <c r="I334" s="1834"/>
      <c r="J334" s="1834"/>
      <c r="K334" s="1670">
        <f>SUM(K332:K333)</f>
        <v>0</v>
      </c>
      <c r="L334" s="1670">
        <f>SUM(L332:L333)</f>
        <v>0</v>
      </c>
      <c r="M334" s="649"/>
      <c r="N334" s="649"/>
    </row>
    <row r="335" spans="1:14" ht="15.75" customHeight="1" thickTop="1" x14ac:dyDescent="0.2">
      <c r="A335" s="1618" t="s">
        <v>955</v>
      </c>
      <c r="B335" s="1609" t="s">
        <v>513</v>
      </c>
      <c r="C335" s="602"/>
      <c r="D335" s="602"/>
      <c r="E335" s="602"/>
      <c r="F335" s="602"/>
      <c r="G335" s="602"/>
      <c r="H335" s="602"/>
      <c r="I335" s="602"/>
      <c r="J335" s="602"/>
      <c r="K335" s="602"/>
      <c r="L335" s="602"/>
    </row>
    <row r="336" spans="1:14" ht="15.75" customHeight="1" x14ac:dyDescent="0.2">
      <c r="A336" s="637" t="s">
        <v>636</v>
      </c>
      <c r="B336" s="608"/>
      <c r="C336" s="602"/>
      <c r="D336" s="602"/>
      <c r="E336" s="602"/>
      <c r="F336" s="602"/>
      <c r="G336" s="602"/>
      <c r="H336" s="609"/>
      <c r="I336" s="602"/>
      <c r="J336" s="602"/>
      <c r="K336" s="609"/>
      <c r="L336" s="609"/>
    </row>
    <row r="337" spans="1:14" x14ac:dyDescent="0.2">
      <c r="A337" s="1520" t="s">
        <v>89</v>
      </c>
      <c r="B337" s="674" t="s">
        <v>956</v>
      </c>
      <c r="C337" s="623"/>
      <c r="D337" s="623"/>
      <c r="E337" s="623"/>
      <c r="F337" s="623"/>
      <c r="G337" s="623"/>
      <c r="H337" s="466">
        <f>SUMIF(Data!$A:$A,"8-"&amp;LEFT($B337,4)&amp;"*-"&amp;MID(H$1,2,1)&amp;"*",Data!$F:$F)</f>
        <v>0</v>
      </c>
      <c r="I337" s="623"/>
      <c r="J337" s="623"/>
      <c r="K337" s="1671">
        <f>H337</f>
        <v>0</v>
      </c>
      <c r="L337" s="467">
        <f>SUMIFS(Data!$G:$G,Data!$A:$A,"8-"&amp;LEFT($B337,4)&amp;"*",Data!$G:$G,"&gt;0")</f>
        <v>0</v>
      </c>
    </row>
    <row r="338" spans="1:14" ht="12.75" customHeight="1" x14ac:dyDescent="0.2">
      <c r="A338" s="1520" t="s">
        <v>1232</v>
      </c>
      <c r="B338" s="674" t="s">
        <v>638</v>
      </c>
      <c r="C338" s="623"/>
      <c r="D338" s="623"/>
      <c r="E338" s="623"/>
      <c r="F338" s="623"/>
      <c r="G338" s="623"/>
      <c r="H338" s="466">
        <f>SUMIF(Data!$A:$A,"8-"&amp;LEFT($B338,4)&amp;"*-"&amp;MID(H$1,2,1)&amp;"*",Data!$F:$F)</f>
        <v>0</v>
      </c>
      <c r="I338" s="623"/>
      <c r="J338" s="623"/>
      <c r="K338" s="1671">
        <f>H338</f>
        <v>0</v>
      </c>
      <c r="L338" s="467">
        <f>SUMIFS(Data!$G:$G,Data!$A:$A,"8-"&amp;LEFT($B338,4)&amp;"*",Data!$G:$G,"&gt;0")</f>
        <v>0</v>
      </c>
    </row>
    <row r="339" spans="1:14" x14ac:dyDescent="0.2">
      <c r="A339" s="1506" t="s">
        <v>957</v>
      </c>
      <c r="B339" s="614">
        <v>5150</v>
      </c>
      <c r="C339" s="623"/>
      <c r="D339" s="623"/>
      <c r="E339" s="623"/>
      <c r="F339" s="623"/>
      <c r="G339" s="623"/>
      <c r="H339" s="466">
        <f>SUMIF(Data!$A:$A,"8-"&amp;LEFT($B339,4)&amp;"*-"&amp;MID(H$1,2,1)&amp;"*",Data!$F:$F)</f>
        <v>0</v>
      </c>
      <c r="I339" s="623"/>
      <c r="J339" s="623"/>
      <c r="K339" s="1671">
        <f>H339</f>
        <v>0</v>
      </c>
      <c r="L339" s="467">
        <f>SUMIFS(Data!$G:$G,Data!$A:$A,"8-"&amp;LEFT($B339,4)&amp;"*",Data!$G:$G,"&gt;0")</f>
        <v>0</v>
      </c>
    </row>
    <row r="340" spans="1:14" ht="13.5" thickBot="1" x14ac:dyDescent="0.25">
      <c r="A340" s="1694" t="s">
        <v>958</v>
      </c>
      <c r="B340" s="1669" t="s">
        <v>513</v>
      </c>
      <c r="C340" s="602"/>
      <c r="D340" s="602"/>
      <c r="E340" s="602"/>
      <c r="F340" s="602"/>
      <c r="G340" s="602"/>
      <c r="H340" s="1688">
        <f>SUM(H337:H339)</f>
        <v>0</v>
      </c>
      <c r="I340" s="602"/>
      <c r="J340" s="602"/>
      <c r="K340" s="1688">
        <f>SUM(K337:K339)</f>
        <v>0</v>
      </c>
      <c r="L340" s="1688">
        <f>SUM(L337:L339)</f>
        <v>0</v>
      </c>
    </row>
    <row r="341" spans="1:14" ht="15.75" customHeight="1" thickTop="1" thickBot="1" x14ac:dyDescent="0.25">
      <c r="A341" s="1621" t="s">
        <v>959</v>
      </c>
      <c r="B341" s="1613" t="s">
        <v>916</v>
      </c>
      <c r="C341" s="602"/>
      <c r="D341" s="602"/>
      <c r="E341" s="477"/>
      <c r="F341" s="468"/>
      <c r="G341" s="468"/>
      <c r="H341" s="477"/>
      <c r="I341" s="477"/>
      <c r="J341" s="468"/>
      <c r="K341" s="477"/>
      <c r="L341" s="467">
        <f>SUMIFS(Data!$G:$G,Data!$A:$A,"8-"&amp;LEFT($B341,4)&amp;"*",Data!$G:$G,"&gt;0")</f>
        <v>0</v>
      </c>
    </row>
    <row r="342" spans="1:14" ht="12.75" customHeight="1" thickTop="1" thickBot="1" x14ac:dyDescent="0.25">
      <c r="A342" s="1686" t="s">
        <v>526</v>
      </c>
      <c r="B342" s="1701"/>
      <c r="C342" s="1670">
        <f>SUM(C330)</f>
        <v>264717.07</v>
      </c>
      <c r="D342" s="1670">
        <f>SUM(D330)</f>
        <v>0</v>
      </c>
      <c r="E342" s="1670">
        <f>SUM(E330)</f>
        <v>229809.19</v>
      </c>
      <c r="F342" s="1670">
        <f>SUM(F330)</f>
        <v>8703.3700000000008</v>
      </c>
      <c r="G342" s="1670">
        <f>SUM(G330)</f>
        <v>0</v>
      </c>
      <c r="H342" s="1670">
        <f>SUM(H330,H334,H340)</f>
        <v>0</v>
      </c>
      <c r="I342" s="1670">
        <f>SUM(I330)</f>
        <v>0</v>
      </c>
      <c r="J342" s="1670">
        <f>SUM(J330)</f>
        <v>0</v>
      </c>
      <c r="K342" s="1670">
        <f>SUM(K330,K334,K340)</f>
        <v>503229.63</v>
      </c>
      <c r="L342" s="1677">
        <f>SUM(L330,L340,L341)</f>
        <v>532757</v>
      </c>
    </row>
    <row r="343" spans="1:14" ht="12.75" customHeight="1" thickTop="1" x14ac:dyDescent="0.2">
      <c r="A343" s="2220" t="s">
        <v>1053</v>
      </c>
      <c r="B343" s="2221"/>
      <c r="C343" s="602"/>
      <c r="D343" s="602"/>
      <c r="E343" s="602"/>
      <c r="F343" s="602"/>
      <c r="G343" s="602"/>
      <c r="H343" s="602"/>
      <c r="I343" s="602"/>
      <c r="J343" s="602"/>
      <c r="K343" s="1684">
        <f>'Revenues 9-14'!J275-'Expenditures 15-22'!K342</f>
        <v>57639</v>
      </c>
      <c r="L343" s="602"/>
    </row>
    <row r="344" spans="1:14" s="650" customFormat="1" ht="6" customHeight="1" x14ac:dyDescent="0.2">
      <c r="A344" s="647"/>
      <c r="B344" s="648"/>
      <c r="C344" s="634"/>
      <c r="D344" s="634"/>
      <c r="E344" s="634"/>
      <c r="F344" s="634"/>
      <c r="G344" s="634"/>
      <c r="H344" s="634"/>
      <c r="I344" s="634"/>
      <c r="J344" s="634"/>
      <c r="K344" s="634"/>
      <c r="L344" s="634"/>
      <c r="M344" s="649"/>
      <c r="N344" s="649"/>
    </row>
    <row r="345" spans="1:14" s="652" customFormat="1" ht="16.7" customHeight="1" x14ac:dyDescent="0.2">
      <c r="A345" s="2210" t="s">
        <v>1023</v>
      </c>
      <c r="B345" s="2211"/>
      <c r="C345" s="1553"/>
      <c r="D345" s="1554"/>
      <c r="E345" s="1554"/>
      <c r="F345" s="1554"/>
      <c r="G345" s="1554"/>
      <c r="H345" s="1554"/>
      <c r="I345" s="1554"/>
      <c r="J345" s="1554"/>
      <c r="K345" s="1554"/>
      <c r="L345" s="1555"/>
      <c r="M345" s="651"/>
      <c r="N345" s="651"/>
    </row>
    <row r="346" spans="1:14" s="343" customFormat="1" ht="15.75" customHeight="1" x14ac:dyDescent="0.2">
      <c r="A346" s="1625" t="s">
        <v>899</v>
      </c>
      <c r="B346" s="1617" t="s">
        <v>590</v>
      </c>
      <c r="C346" s="602"/>
      <c r="D346" s="602"/>
      <c r="E346" s="602"/>
      <c r="F346" s="602"/>
      <c r="G346" s="602"/>
      <c r="H346" s="602"/>
      <c r="I346" s="602"/>
      <c r="J346" s="602"/>
      <c r="K346" s="602"/>
      <c r="L346" s="602"/>
      <c r="M346" s="595"/>
      <c r="N346" s="595"/>
    </row>
    <row r="347" spans="1:14" ht="15.75" customHeight="1" x14ac:dyDescent="0.2">
      <c r="A347" s="683" t="s">
        <v>633</v>
      </c>
      <c r="B347" s="684"/>
      <c r="C347" s="609"/>
      <c r="D347" s="609"/>
      <c r="E347" s="609"/>
      <c r="F347" s="609"/>
      <c r="G347" s="609"/>
      <c r="H347" s="609"/>
      <c r="I347" s="602"/>
      <c r="J347" s="602"/>
      <c r="K347" s="609"/>
      <c r="L347" s="609"/>
    </row>
    <row r="348" spans="1:14" x14ac:dyDescent="0.2">
      <c r="A348" s="1506" t="s">
        <v>4</v>
      </c>
      <c r="B348" s="600">
        <v>2530</v>
      </c>
      <c r="C348" s="466">
        <f>SUMIF(Data!$A:$A,"9-"&amp;LEFT($B348,3)&amp;"*-"&amp;MID(C$1,2,1)&amp;"*",Data!$F:$F)</f>
        <v>0</v>
      </c>
      <c r="D348" s="466">
        <f>SUMIF(Data!$A:$A,"9-"&amp;LEFT($B348,3)&amp;"*-"&amp;MID(D$1,2,1)&amp;"*",Data!$F:$F)</f>
        <v>0</v>
      </c>
      <c r="E348" s="466">
        <f>SUMIF(Data!$A:$A,"9-"&amp;LEFT($B348,3)&amp;"*-"&amp;MID(E$1,2,1)&amp;"*",Data!$F:$F)</f>
        <v>0</v>
      </c>
      <c r="F348" s="466">
        <f>SUMIF(Data!$A:$A,"9-"&amp;LEFT($B348,3)&amp;"*-"&amp;MID(F$1,2,1)&amp;"*",Data!$F:$F)</f>
        <v>0</v>
      </c>
      <c r="G348" s="466">
        <f>SUMIF(Data!$A:$A,"9-"&amp;LEFT($B348,3)&amp;"*-"&amp;MID(G$1,2,1)&amp;"*",Data!$F:$F)</f>
        <v>22685.05</v>
      </c>
      <c r="H348" s="466">
        <f>SUMIF(Data!$A:$A,"9-"&amp;LEFT($B348,3)&amp;"*-"&amp;MID(H$1,2,1)&amp;"*",Data!$F:$F)</f>
        <v>0</v>
      </c>
      <c r="I348" s="466">
        <f>SUMIF(Data!$A:$A,"9-"&amp;LEFT($B348,3)&amp;"*-"&amp;MID(I$1,2,1)&amp;"*",Data!$F:$F)</f>
        <v>0</v>
      </c>
      <c r="J348" s="466">
        <f>SUMIF(Data!$A:$A,"9-"&amp;LEFT($B348,3)&amp;"*-"&amp;MID(J$1,2,1)&amp;"*",Data!$F:$F)</f>
        <v>0</v>
      </c>
      <c r="K348" s="1671">
        <f>SUM(C348:J348)</f>
        <v>22685.05</v>
      </c>
      <c r="L348" s="467">
        <f>SUMIFS(Data!$G:$G,Data!$A:$A,"9-"&amp;LEFT($B348,4)&amp;"*",Data!$G:$G,"&gt;0")</f>
        <v>24185</v>
      </c>
    </row>
    <row r="349" spans="1:14" x14ac:dyDescent="0.2">
      <c r="A349" s="1506" t="s">
        <v>206</v>
      </c>
      <c r="B349" s="600">
        <v>2540</v>
      </c>
      <c r="C349" s="466">
        <f>SUMIF(Data!$A:$A,"9-"&amp;LEFT($B349,3)&amp;"*-"&amp;MID(C$1,2,1)&amp;"*",Data!$F:$F)</f>
        <v>0</v>
      </c>
      <c r="D349" s="466">
        <f>SUMIF(Data!$A:$A,"9-"&amp;LEFT($B349,3)&amp;"*-"&amp;MID(D$1,2,1)&amp;"*",Data!$F:$F)</f>
        <v>0</v>
      </c>
      <c r="E349" s="466">
        <f>SUMIF(Data!$A:$A,"9-"&amp;LEFT($B349,3)&amp;"*-"&amp;MID(E$1,2,1)&amp;"*",Data!$F:$F)</f>
        <v>0</v>
      </c>
      <c r="F349" s="466">
        <f>SUMIF(Data!$A:$A,"9-"&amp;LEFT($B349,3)&amp;"*-"&amp;MID(F$1,2,1)&amp;"*",Data!$F:$F)</f>
        <v>0</v>
      </c>
      <c r="G349" s="466">
        <f>SUMIF(Data!$A:$A,"9-"&amp;LEFT($B349,3)&amp;"*-"&amp;MID(G$1,2,1)&amp;"*",Data!$F:$F)</f>
        <v>0</v>
      </c>
      <c r="H349" s="466">
        <f>SUMIF(Data!$A:$A,"9-"&amp;LEFT($B349,3)&amp;"*-"&amp;MID(H$1,2,1)&amp;"*",Data!$F:$F)</f>
        <v>0</v>
      </c>
      <c r="I349" s="466">
        <f>SUMIF(Data!$A:$A,"9-"&amp;LEFT($B349,3)&amp;"*-"&amp;MID(I$1,2,1)&amp;"*",Data!$F:$F)</f>
        <v>0</v>
      </c>
      <c r="J349" s="466">
        <f>SUMIF(Data!$A:$A,"9-"&amp;LEFT($B349,3)&amp;"*-"&amp;MID(J$1,2,1)&amp;"*",Data!$F:$F)</f>
        <v>0</v>
      </c>
      <c r="K349" s="1671">
        <f>SUM(C349:J349)</f>
        <v>0</v>
      </c>
      <c r="L349" s="467">
        <f>SUMIFS(Data!$G:$G,Data!$A:$A,"9-"&amp;LEFT($B349,4)&amp;"*",Data!$G:$G,"&gt;0")</f>
        <v>0</v>
      </c>
    </row>
    <row r="350" spans="1:14" ht="12.75" customHeight="1" thickBot="1" x14ac:dyDescent="0.25">
      <c r="A350" s="1668" t="s">
        <v>743</v>
      </c>
      <c r="B350" s="1669" t="s">
        <v>35</v>
      </c>
      <c r="C350" s="1670">
        <f>SUM(C348:C349)</f>
        <v>0</v>
      </c>
      <c r="D350" s="1670">
        <f>SUM(D348:D349)</f>
        <v>0</v>
      </c>
      <c r="E350" s="1670">
        <f t="shared" ref="E350:L350" si="26">SUM(E348:E349)</f>
        <v>0</v>
      </c>
      <c r="F350" s="1670">
        <f t="shared" si="26"/>
        <v>0</v>
      </c>
      <c r="G350" s="1670">
        <f t="shared" si="26"/>
        <v>22685.05</v>
      </c>
      <c r="H350" s="1670">
        <f t="shared" si="26"/>
        <v>0</v>
      </c>
      <c r="I350" s="1670">
        <f t="shared" si="26"/>
        <v>0</v>
      </c>
      <c r="J350" s="1670">
        <f t="shared" si="26"/>
        <v>0</v>
      </c>
      <c r="K350" s="1670">
        <f t="shared" si="26"/>
        <v>22685.05</v>
      </c>
      <c r="L350" s="1670">
        <f t="shared" si="26"/>
        <v>24185</v>
      </c>
    </row>
    <row r="351" spans="1:14" ht="12.75" customHeight="1" thickTop="1" x14ac:dyDescent="0.2">
      <c r="A351" s="1512" t="s">
        <v>1037</v>
      </c>
      <c r="B351" s="627" t="s">
        <v>595</v>
      </c>
      <c r="C351" s="466">
        <f>SUMIF(Data!$A:$A,"9-"&amp;LEFT($B351,3)&amp;"*-"&amp;MID(C$1,2,1)&amp;"*",Data!$F:$F)</f>
        <v>0</v>
      </c>
      <c r="D351" s="466">
        <f>SUMIF(Data!$A:$A,"9-"&amp;LEFT($B351,3)&amp;"*-"&amp;MID(D$1,2,1)&amp;"*",Data!$F:$F)</f>
        <v>0</v>
      </c>
      <c r="E351" s="466">
        <f>SUMIF(Data!$A:$A,"9-"&amp;LEFT($B351,3)&amp;"*-"&amp;MID(E$1,2,1)&amp;"*",Data!$F:$F)</f>
        <v>0</v>
      </c>
      <c r="F351" s="466">
        <f>SUMIF(Data!$A:$A,"9-"&amp;LEFT($B351,3)&amp;"*-"&amp;MID(F$1,2,1)&amp;"*",Data!$F:$F)</f>
        <v>0</v>
      </c>
      <c r="G351" s="466">
        <f>SUMIF(Data!$A:$A,"9-"&amp;LEFT($B351,3)&amp;"*-"&amp;MID(G$1,2,1)&amp;"*",Data!$F:$F)</f>
        <v>0</v>
      </c>
      <c r="H351" s="466">
        <f>SUMIF(Data!$A:$A,"9-"&amp;LEFT($B351,3)&amp;"*-"&amp;MID(H$1,2,1)&amp;"*",Data!$F:$F)</f>
        <v>0</v>
      </c>
      <c r="I351" s="466">
        <f>SUMIF(Data!$A:$A,"9-"&amp;LEFT($B351,3)&amp;"*-"&amp;MID(I$1,2,1)&amp;"*",Data!$F:$F)</f>
        <v>0</v>
      </c>
      <c r="J351" s="466">
        <f>SUMIF(Data!$A:$A,"9-"&amp;LEFT($B351,3)&amp;"*-"&amp;MID(J$1,2,1)&amp;"*",Data!$F:$F)</f>
        <v>0</v>
      </c>
      <c r="K351" s="601">
        <f>SUM(C351:J351)</f>
        <v>0</v>
      </c>
      <c r="L351" s="467">
        <f>SUMIFS(Data!$G:$G,Data!$A:$A,"9-"&amp;LEFT($B351,4)&amp;"*",Data!$G:$G,"&gt;0")</f>
        <v>0</v>
      </c>
    </row>
    <row r="352" spans="1:14" ht="12.75" customHeight="1" thickBot="1" x14ac:dyDescent="0.25">
      <c r="A352" s="1668" t="s">
        <v>645</v>
      </c>
      <c r="B352" s="1675" t="s">
        <v>590</v>
      </c>
      <c r="C352" s="1670">
        <f>SUM(C350:C351)</f>
        <v>0</v>
      </c>
      <c r="D352" s="1670">
        <f t="shared" ref="D352:L352" si="27">SUM(D350:D351)</f>
        <v>0</v>
      </c>
      <c r="E352" s="1670">
        <f t="shared" si="27"/>
        <v>0</v>
      </c>
      <c r="F352" s="1670">
        <f t="shared" si="27"/>
        <v>0</v>
      </c>
      <c r="G352" s="1670">
        <f t="shared" si="27"/>
        <v>22685.05</v>
      </c>
      <c r="H352" s="1670">
        <f t="shared" si="27"/>
        <v>0</v>
      </c>
      <c r="I352" s="1670">
        <f t="shared" si="27"/>
        <v>0</v>
      </c>
      <c r="J352" s="1670">
        <f t="shared" si="27"/>
        <v>0</v>
      </c>
      <c r="K352" s="1670">
        <f t="shared" si="27"/>
        <v>22685.05</v>
      </c>
      <c r="L352" s="1670">
        <f t="shared" si="27"/>
        <v>24185</v>
      </c>
    </row>
    <row r="353" spans="1:14" s="343" customFormat="1" ht="15.75" customHeight="1" thickTop="1" x14ac:dyDescent="0.2">
      <c r="A353" s="1614" t="s">
        <v>646</v>
      </c>
      <c r="B353" s="1611" t="s">
        <v>915</v>
      </c>
      <c r="C353" s="602"/>
      <c r="D353" s="602"/>
      <c r="E353" s="602"/>
      <c r="F353" s="602"/>
      <c r="G353" s="602"/>
      <c r="H353" s="602"/>
      <c r="I353" s="602"/>
      <c r="J353" s="602"/>
      <c r="K353" s="602"/>
      <c r="L353" s="602"/>
      <c r="M353" s="595"/>
      <c r="N353" s="595"/>
    </row>
    <row r="354" spans="1:14" x14ac:dyDescent="0.2">
      <c r="A354" s="1835" t="s">
        <v>1961</v>
      </c>
      <c r="B354" s="667" t="s">
        <v>1953</v>
      </c>
      <c r="C354" s="602"/>
      <c r="D354" s="602"/>
      <c r="E354" s="602"/>
      <c r="F354" s="602"/>
      <c r="G354" s="602"/>
      <c r="H354" s="466">
        <f>SUMIF(Data!$A:$A,"9-"&amp;LEFT($B354,3)&amp;"*-"&amp;MID(H$1,2,1)&amp;"*",Data!$F:$F)</f>
        <v>0</v>
      </c>
      <c r="I354" s="685"/>
      <c r="J354" s="602"/>
      <c r="K354" s="1699">
        <f>H354</f>
        <v>0</v>
      </c>
      <c r="L354" s="467">
        <f>SUMIFS(Data!$G:$G,Data!$A:$A,"9-"&amp;LEFT($B354,4)&amp;"*",Data!$G:$G,"&gt;0")</f>
        <v>0</v>
      </c>
    </row>
    <row r="355" spans="1:14" ht="12.75" customHeight="1" x14ac:dyDescent="0.2">
      <c r="A355" s="1515" t="s">
        <v>1962</v>
      </c>
      <c r="B355" s="674" t="s">
        <v>1955</v>
      </c>
      <c r="C355" s="602"/>
      <c r="D355" s="602"/>
      <c r="E355" s="602"/>
      <c r="F355" s="602"/>
      <c r="G355" s="602"/>
      <c r="H355" s="466">
        <f>SUMIF(Data!$A:$A,"9-"&amp;LEFT($B355,3)&amp;"*-"&amp;MID(H$1,2,1)&amp;"*",Data!$F:$F)</f>
        <v>0</v>
      </c>
      <c r="I355" s="685"/>
      <c r="J355" s="602"/>
      <c r="K355" s="1743">
        <f>H355</f>
        <v>0</v>
      </c>
      <c r="L355" s="467">
        <f>SUMIFS(Data!$G:$G,Data!$A:$A,"9-"&amp;LEFT($B355,4)&amp;"*",Data!$G:$G,"&gt;0")</f>
        <v>0</v>
      </c>
    </row>
    <row r="356" spans="1:14" ht="12.75" customHeight="1" x14ac:dyDescent="0.2">
      <c r="A356" s="1835" t="s">
        <v>722</v>
      </c>
      <c r="B356" s="667" t="s">
        <v>579</v>
      </c>
      <c r="C356" s="602"/>
      <c r="D356" s="602"/>
      <c r="E356" s="602"/>
      <c r="F356" s="602"/>
      <c r="G356" s="602"/>
      <c r="H356" s="466">
        <f>SUMIF(Data!$A:$A,"9-"&amp;LEFT($B356,3)&amp;"*-"&amp;MID(H$1,2,1)&amp;"*",Data!$F:$F)</f>
        <v>0</v>
      </c>
      <c r="I356" s="685"/>
      <c r="J356" s="602"/>
      <c r="K356" s="1740">
        <f>H356</f>
        <v>0</v>
      </c>
      <c r="L356" s="467">
        <f>SUMIFS(Data!$G:$G,Data!$A:$A,"9-"&amp;LEFT($B356,4)&amp;"*",Data!$G:$G,"&gt;0")</f>
        <v>0</v>
      </c>
    </row>
    <row r="357" spans="1:14" ht="12.75" customHeight="1" thickBot="1" x14ac:dyDescent="0.25">
      <c r="A357" s="1668" t="s">
        <v>1567</v>
      </c>
      <c r="B357" s="1669" t="s">
        <v>915</v>
      </c>
      <c r="C357" s="602"/>
      <c r="D357" s="602"/>
      <c r="E357" s="602"/>
      <c r="F357" s="602"/>
      <c r="G357" s="602"/>
      <c r="H357" s="1688">
        <f>SUM(H354:H356)</f>
        <v>0</v>
      </c>
      <c r="I357" s="685"/>
      <c r="J357" s="602"/>
      <c r="K357" s="1688">
        <f>SUM(K354:K356)</f>
        <v>0</v>
      </c>
      <c r="L357" s="1688">
        <f>SUM(L354:L356)</f>
        <v>0</v>
      </c>
    </row>
    <row r="358" spans="1:14" s="343" customFormat="1" ht="15.75" customHeight="1" thickTop="1" x14ac:dyDescent="0.2">
      <c r="A358" s="1614" t="s">
        <v>1005</v>
      </c>
      <c r="B358" s="1611" t="s">
        <v>513</v>
      </c>
      <c r="C358" s="602"/>
      <c r="D358" s="602"/>
      <c r="E358" s="602"/>
      <c r="F358" s="602"/>
      <c r="G358" s="602"/>
      <c r="H358" s="602"/>
      <c r="I358" s="602"/>
      <c r="J358" s="602"/>
      <c r="K358" s="602"/>
      <c r="L358" s="602"/>
      <c r="M358" s="595"/>
      <c r="N358" s="595"/>
    </row>
    <row r="359" spans="1:14" s="343" customFormat="1" ht="15.75" customHeight="1" x14ac:dyDescent="0.2">
      <c r="A359" s="637" t="s">
        <v>648</v>
      </c>
      <c r="B359" s="608"/>
      <c r="C359" s="602"/>
      <c r="D359" s="602"/>
      <c r="E359" s="602"/>
      <c r="F359" s="602"/>
      <c r="G359" s="602"/>
      <c r="H359" s="602"/>
      <c r="I359" s="602"/>
      <c r="J359" s="602"/>
      <c r="K359" s="609"/>
      <c r="L359" s="609"/>
      <c r="M359" s="595"/>
      <c r="N359" s="595"/>
    </row>
    <row r="360" spans="1:14" x14ac:dyDescent="0.2">
      <c r="A360" s="1506" t="s">
        <v>89</v>
      </c>
      <c r="B360" s="600">
        <v>5110</v>
      </c>
      <c r="C360" s="602"/>
      <c r="D360" s="602"/>
      <c r="E360" s="602"/>
      <c r="F360" s="602"/>
      <c r="G360" s="602"/>
      <c r="H360" s="466">
        <f>SUMIF(Data!$A:$A,"9-"&amp;LEFT($B360,3)&amp;"*-"&amp;MID(H$1,2,1)&amp;"*",Data!$F:$F)</f>
        <v>0</v>
      </c>
      <c r="I360" s="602"/>
      <c r="J360" s="602"/>
      <c r="K360" s="1671">
        <f>SUM(C360:J360)</f>
        <v>0</v>
      </c>
      <c r="L360" s="467">
        <f>SUMIFS(Data!$G:$G,Data!$A:$A,"9-"&amp;LEFT($B360,4)&amp;"*",Data!$G:$G,"&gt;0")</f>
        <v>0</v>
      </c>
    </row>
    <row r="361" spans="1:14" ht="12.75" customHeight="1" x14ac:dyDescent="0.2">
      <c r="A361" s="1507" t="s">
        <v>640</v>
      </c>
      <c r="B361" s="588" t="s">
        <v>639</v>
      </c>
      <c r="C361" s="602"/>
      <c r="D361" s="602"/>
      <c r="E361" s="602"/>
      <c r="F361" s="602"/>
      <c r="G361" s="602"/>
      <c r="H361" s="466">
        <f>SUMIF(Data!$A:$A,"9-"&amp;LEFT($B361,3)&amp;"*-"&amp;MID(H$1,2,1)&amp;"*",Data!$F:$F)</f>
        <v>0</v>
      </c>
      <c r="I361" s="602"/>
      <c r="J361" s="602"/>
      <c r="K361" s="1671">
        <f>SUM(C361:J361)</f>
        <v>0</v>
      </c>
      <c r="L361" s="467">
        <f>SUMIFS(Data!$G:$G,Data!$A:$A,"9-"&amp;LEFT($B361,4)&amp;"*",Data!$G:$G,"&gt;0")</f>
        <v>0</v>
      </c>
    </row>
    <row r="362" spans="1:14" ht="12.75" customHeight="1" thickBot="1" x14ac:dyDescent="0.25">
      <c r="A362" s="1668" t="s">
        <v>647</v>
      </c>
      <c r="B362" s="1669" t="s">
        <v>742</v>
      </c>
      <c r="C362" s="602"/>
      <c r="D362" s="602"/>
      <c r="E362" s="602"/>
      <c r="F362" s="602"/>
      <c r="G362" s="602"/>
      <c r="H362" s="1703">
        <f>SUM(H360:H361)</f>
        <v>0</v>
      </c>
      <c r="I362" s="602"/>
      <c r="J362" s="602"/>
      <c r="K362" s="1703">
        <f>SUM(K360:K361)</f>
        <v>0</v>
      </c>
      <c r="L362" s="1703">
        <f>SUM(L360:L361)</f>
        <v>0</v>
      </c>
    </row>
    <row r="363" spans="1:14" s="658" customFormat="1" ht="15.75" customHeight="1" thickTop="1" x14ac:dyDescent="0.2">
      <c r="A363" s="644" t="s">
        <v>85</v>
      </c>
      <c r="B363" s="645" t="s">
        <v>38</v>
      </c>
      <c r="C363" s="623"/>
      <c r="D363" s="623"/>
      <c r="E363" s="623"/>
      <c r="F363" s="623"/>
      <c r="G363" s="623"/>
      <c r="H363" s="466">
        <f>SUMIF(Data!$A:$A,"9-"&amp;LEFT($B363,3)&amp;"*-"&amp;MID(H$1,2,1)&amp;"*",Data!$F:$F)</f>
        <v>0</v>
      </c>
      <c r="I363" s="623"/>
      <c r="J363" s="623"/>
      <c r="K363" s="1699">
        <f>SUM(C363:J363)</f>
        <v>0</v>
      </c>
      <c r="L363" s="467">
        <f>SUMIFS(Data!$G:$G,Data!$A:$A,"9-"&amp;LEFT($B363,4)&amp;"*",Data!$G:$G,"&gt;0")</f>
        <v>0</v>
      </c>
      <c r="M363" s="649"/>
      <c r="N363" s="649"/>
    </row>
    <row r="364" spans="1:14" s="690" customFormat="1" ht="29.25" customHeight="1" x14ac:dyDescent="0.2">
      <c r="A364" s="686" t="s">
        <v>1771</v>
      </c>
      <c r="B364" s="687">
        <v>5300</v>
      </c>
      <c r="C364" s="688"/>
      <c r="D364" s="689"/>
      <c r="E364" s="689"/>
      <c r="F364" s="688"/>
      <c r="G364" s="689"/>
      <c r="H364" s="466">
        <f>SUMIF(Data!$A:$A,"9-"&amp;LEFT($B364,3)&amp;"*-"&amp;MID(H$1,2,1)&amp;"*",Data!$F:$F)</f>
        <v>0</v>
      </c>
      <c r="I364" s="689"/>
      <c r="J364" s="689"/>
      <c r="K364" s="1671">
        <f>SUM(C364:J364)</f>
        <v>0</v>
      </c>
      <c r="L364" s="467">
        <f>SUMIFS(Data!$G:$G,Data!$A:$A,"9-"&amp;LEFT($B364,4)&amp;"*",Data!$G:$G,"&gt;0")</f>
        <v>0</v>
      </c>
    </row>
    <row r="365" spans="1:14" s="658" customFormat="1" ht="12.75" customHeight="1" thickBot="1" x14ac:dyDescent="0.25">
      <c r="A365" s="1523" t="s">
        <v>611</v>
      </c>
      <c r="B365" s="643" t="s">
        <v>513</v>
      </c>
      <c r="C365" s="623"/>
      <c r="D365" s="623"/>
      <c r="E365" s="623"/>
      <c r="F365" s="623"/>
      <c r="G365" s="623"/>
      <c r="H365" s="1703">
        <f>SUM(H362,H363,H364)</f>
        <v>0</v>
      </c>
      <c r="I365" s="623"/>
      <c r="J365" s="623"/>
      <c r="K365" s="1703">
        <f>SUM(K362,K363,K364)</f>
        <v>0</v>
      </c>
      <c r="L365" s="1703">
        <f>SUM(L362,L363,L364)</f>
        <v>0</v>
      </c>
      <c r="M365" s="649"/>
      <c r="N365" s="649"/>
    </row>
    <row r="366" spans="1:14" s="343" customFormat="1" ht="15.75" customHeight="1" thickTop="1" x14ac:dyDescent="0.2">
      <c r="A366" s="1608" t="s">
        <v>1006</v>
      </c>
      <c r="B366" s="1615" t="s">
        <v>916</v>
      </c>
      <c r="C366" s="609"/>
      <c r="D366" s="609"/>
      <c r="E366" s="609"/>
      <c r="F366" s="609"/>
      <c r="G366" s="609"/>
      <c r="H366" s="609"/>
      <c r="I366" s="609"/>
      <c r="J366" s="602"/>
      <c r="K366" s="609"/>
      <c r="L366" s="467">
        <f>SUMIFS(Data!$G:$G,Data!$A:$A,"9-"&amp;LEFT($B366,4)&amp;"*",Data!$G:$G,"&gt;0")</f>
        <v>0</v>
      </c>
      <c r="M366" s="595"/>
      <c r="N366" s="595"/>
    </row>
    <row r="367" spans="1:14" ht="12.75" customHeight="1" thickBot="1" x14ac:dyDescent="0.25">
      <c r="A367" s="1692" t="s">
        <v>526</v>
      </c>
      <c r="B367" s="1704"/>
      <c r="C367" s="1670">
        <f t="shared" ref="C367:L367" si="28">SUM(C352,C357,C365,C366)</f>
        <v>0</v>
      </c>
      <c r="D367" s="1670">
        <f t="shared" si="28"/>
        <v>0</v>
      </c>
      <c r="E367" s="1670">
        <f t="shared" si="28"/>
        <v>0</v>
      </c>
      <c r="F367" s="1670">
        <f t="shared" si="28"/>
        <v>0</v>
      </c>
      <c r="G367" s="1670">
        <f t="shared" si="28"/>
        <v>22685.05</v>
      </c>
      <c r="H367" s="1670">
        <f t="shared" si="28"/>
        <v>0</v>
      </c>
      <c r="I367" s="1670">
        <f t="shared" si="28"/>
        <v>0</v>
      </c>
      <c r="J367" s="1670">
        <f t="shared" si="28"/>
        <v>0</v>
      </c>
      <c r="K367" s="1670">
        <f t="shared" si="28"/>
        <v>22685.05</v>
      </c>
      <c r="L367" s="1670">
        <f t="shared" si="28"/>
        <v>24185</v>
      </c>
    </row>
    <row r="368" spans="1:14" ht="13.5" thickTop="1" x14ac:dyDescent="0.2">
      <c r="A368" s="2234" t="s">
        <v>1053</v>
      </c>
      <c r="B368" s="2235"/>
      <c r="C368" s="638"/>
      <c r="D368" s="638"/>
      <c r="E368" s="612"/>
      <c r="F368" s="612"/>
      <c r="G368" s="612"/>
      <c r="H368" s="612"/>
      <c r="I368" s="612"/>
      <c r="J368" s="609"/>
      <c r="K368" s="1671">
        <f>'Revenues 9-14'!K275-'Expenditures 15-22'!K367</f>
        <v>114799.99999999999</v>
      </c>
      <c r="L368" s="638"/>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&amp;CSee Notes to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6ce3111e-7420-4802-b50a-75d4e9a0b980"/>
    <ds:schemaRef ds:uri="http://purl.org/dc/dcmitype/"/>
    <ds:schemaRef ds:uri="http://schemas.microsoft.com/office/2006/documentManagement/types"/>
    <ds:schemaRef ds:uri="http://www.w3.org/XML/1998/namespace"/>
    <ds:schemaRef ds:uri="4d435f69-8686-490b-bd6d-b153bf22ab50"/>
    <ds:schemaRef ds:uri="http://purl.org/dc/elements/1.1/"/>
    <ds:schemaRef ds:uri="http://schemas.microsoft.com/office/infopath/2007/PartnerControls"/>
    <ds:schemaRef ds:uri="http://purl.org/dc/terms/"/>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AUDITCHECK</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CAP</vt:lpstr>
      <vt:lpstr>Data</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2018-12-19T18:32:49Z</cp:lastPrinted>
  <dcterms:created xsi:type="dcterms:W3CDTF">2003-10-29T19:06:34Z</dcterms:created>
  <dcterms:modified xsi:type="dcterms:W3CDTF">2018-12-26T16:28:28Z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