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4310" windowWidth="1557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 name="DATA" sheetId="183" r:id="rId34"/>
  </sheets>
  <externalReferences>
    <externalReference r:id="rId35"/>
  </externalReference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C4" i="3" l="1"/>
  <c r="F5" i="3"/>
  <c r="F4" i="3"/>
  <c r="D5" i="3"/>
  <c r="D4" i="3"/>
  <c r="C5" i="3"/>
  <c r="F558" i="183" l="1"/>
  <c r="C9" i="4"/>
  <c r="F42" i="183" l="1"/>
  <c r="C31" i="3" l="1"/>
  <c r="F800" i="183" l="1"/>
  <c r="F897" i="183"/>
  <c r="H364" i="29"/>
  <c r="H363" i="29"/>
  <c r="H361" i="29"/>
  <c r="H360" i="29"/>
  <c r="H356" i="29"/>
  <c r="H355" i="29"/>
  <c r="H354" i="29"/>
  <c r="J351" i="29"/>
  <c r="I351" i="29"/>
  <c r="H351" i="29"/>
  <c r="G351" i="29"/>
  <c r="F351" i="29"/>
  <c r="E351" i="29"/>
  <c r="D351" i="29"/>
  <c r="C351" i="29"/>
  <c r="C349" i="29"/>
  <c r="J349" i="29"/>
  <c r="I349" i="29"/>
  <c r="H349" i="29"/>
  <c r="G349" i="29"/>
  <c r="F349" i="29"/>
  <c r="E349" i="29"/>
  <c r="D349" i="29"/>
  <c r="J348" i="29"/>
  <c r="I348" i="29"/>
  <c r="H348" i="29"/>
  <c r="G348" i="29"/>
  <c r="F348" i="29"/>
  <c r="E348" i="29"/>
  <c r="D348" i="29"/>
  <c r="C348" i="29"/>
  <c r="G323" i="29"/>
  <c r="J323" i="29"/>
  <c r="I323" i="29"/>
  <c r="H323" i="29"/>
  <c r="J322" i="29"/>
  <c r="I322" i="29"/>
  <c r="H322" i="29"/>
  <c r="G322" i="29"/>
  <c r="J321" i="29"/>
  <c r="I321" i="29"/>
  <c r="H321" i="29"/>
  <c r="G321" i="29"/>
  <c r="J320" i="29"/>
  <c r="I320" i="29"/>
  <c r="H320" i="29"/>
  <c r="G320" i="29"/>
  <c r="J319" i="29"/>
  <c r="I319" i="29"/>
  <c r="H319" i="29"/>
  <c r="G319" i="29"/>
  <c r="J329" i="29"/>
  <c r="I329" i="29"/>
  <c r="H329" i="29"/>
  <c r="G329" i="29"/>
  <c r="J328" i="29"/>
  <c r="I328" i="29"/>
  <c r="H328" i="29"/>
  <c r="G328" i="29"/>
  <c r="J327" i="29"/>
  <c r="I327" i="29"/>
  <c r="H327" i="29"/>
  <c r="G327" i="29"/>
  <c r="J326" i="29"/>
  <c r="I326" i="29"/>
  <c r="H326" i="29"/>
  <c r="G326" i="29"/>
  <c r="J325" i="29"/>
  <c r="I325" i="29"/>
  <c r="H325" i="29"/>
  <c r="G325" i="29"/>
  <c r="J324" i="29"/>
  <c r="I324" i="29"/>
  <c r="H324" i="29"/>
  <c r="G324" i="29"/>
  <c r="F329" i="29"/>
  <c r="E329" i="29"/>
  <c r="D329" i="29"/>
  <c r="C329" i="29"/>
  <c r="F328" i="29"/>
  <c r="E328" i="29"/>
  <c r="D328" i="29"/>
  <c r="C328" i="29"/>
  <c r="F327" i="29"/>
  <c r="E327" i="29"/>
  <c r="D327" i="29"/>
  <c r="C327" i="29"/>
  <c r="F326" i="29"/>
  <c r="E326" i="29"/>
  <c r="D326" i="29"/>
  <c r="C326" i="29"/>
  <c r="F325" i="29"/>
  <c r="E325" i="29"/>
  <c r="D325" i="29"/>
  <c r="C325" i="29"/>
  <c r="F324" i="29"/>
  <c r="E324" i="29"/>
  <c r="D324" i="29"/>
  <c r="C324" i="29"/>
  <c r="F323" i="29"/>
  <c r="E323" i="29"/>
  <c r="D323" i="29"/>
  <c r="C323" i="29"/>
  <c r="F322" i="29"/>
  <c r="E322" i="29"/>
  <c r="D322" i="29"/>
  <c r="C322" i="29"/>
  <c r="F321" i="29"/>
  <c r="E321" i="29"/>
  <c r="D321" i="29"/>
  <c r="C321" i="29"/>
  <c r="F320" i="29"/>
  <c r="E320" i="29"/>
  <c r="D320" i="29"/>
  <c r="C320" i="29"/>
  <c r="F319" i="29"/>
  <c r="E319" i="29"/>
  <c r="D319" i="29"/>
  <c r="C319" i="29"/>
  <c r="J99" i="5"/>
  <c r="K65" i="5"/>
  <c r="J65" i="5"/>
  <c r="I11" i="5"/>
  <c r="F738" i="183"/>
  <c r="H65" i="5" s="1"/>
  <c r="F644" i="183"/>
  <c r="J302" i="29"/>
  <c r="I302" i="29"/>
  <c r="H302" i="29"/>
  <c r="G302" i="29"/>
  <c r="F302" i="29"/>
  <c r="E302" i="29"/>
  <c r="D302" i="29"/>
  <c r="C302" i="29"/>
  <c r="J301" i="29"/>
  <c r="I301" i="29"/>
  <c r="H301" i="29"/>
  <c r="G301" i="29"/>
  <c r="F301" i="29"/>
  <c r="E301" i="29"/>
  <c r="D301" i="29"/>
  <c r="C301" i="29"/>
  <c r="H100" i="5"/>
  <c r="D280" i="29"/>
  <c r="D276" i="29"/>
  <c r="D275" i="29"/>
  <c r="D274" i="29"/>
  <c r="D273" i="29"/>
  <c r="D272" i="29"/>
  <c r="D269" i="29"/>
  <c r="D268" i="29"/>
  <c r="D267" i="29"/>
  <c r="D266" i="29"/>
  <c r="D265" i="29"/>
  <c r="D264" i="29"/>
  <c r="D263" i="29"/>
  <c r="D260" i="29"/>
  <c r="D259" i="29"/>
  <c r="D256" i="29"/>
  <c r="D255" i="29"/>
  <c r="D254" i="29"/>
  <c r="D253" i="29"/>
  <c r="D252" i="29"/>
  <c r="D251" i="29"/>
  <c r="D250" i="29"/>
  <c r="D249" i="29"/>
  <c r="D248" i="29"/>
  <c r="D247" i="29"/>
  <c r="D246" i="29"/>
  <c r="D245" i="29"/>
  <c r="D242" i="29"/>
  <c r="D241" i="29"/>
  <c r="D240" i="29"/>
  <c r="D237" i="29"/>
  <c r="D236" i="29"/>
  <c r="D235" i="29"/>
  <c r="D234" i="29"/>
  <c r="D233" i="29"/>
  <c r="D232" i="29"/>
  <c r="D228" i="29"/>
  <c r="D227" i="29"/>
  <c r="D226" i="29"/>
  <c r="D225" i="29"/>
  <c r="D224" i="29"/>
  <c r="D223" i="29"/>
  <c r="D222" i="29"/>
  <c r="D221" i="29"/>
  <c r="D220" i="29"/>
  <c r="D219" i="29"/>
  <c r="D218" i="29"/>
  <c r="D217" i="29"/>
  <c r="D216" i="29"/>
  <c r="D215" i="29"/>
  <c r="C182" i="29"/>
  <c r="G66" i="5"/>
  <c r="G65" i="5"/>
  <c r="G16" i="5"/>
  <c r="G8" i="5"/>
  <c r="F153" i="5"/>
  <c r="F152" i="5"/>
  <c r="F151" i="5"/>
  <c r="F120" i="5"/>
  <c r="F66" i="5"/>
  <c r="E66" i="5"/>
  <c r="E65" i="5"/>
  <c r="E9" i="5"/>
  <c r="H195" i="29"/>
  <c r="H193" i="29"/>
  <c r="H192" i="29"/>
  <c r="H191" i="29"/>
  <c r="H190" i="29"/>
  <c r="H189" i="29"/>
  <c r="H188" i="29"/>
  <c r="E193" i="29"/>
  <c r="E192" i="29"/>
  <c r="E191" i="29"/>
  <c r="E190" i="29"/>
  <c r="E189" i="29"/>
  <c r="E188" i="29"/>
  <c r="J183" i="29"/>
  <c r="I183" i="29"/>
  <c r="H183" i="29"/>
  <c r="G183" i="29"/>
  <c r="F183" i="29"/>
  <c r="E183" i="29"/>
  <c r="D183" i="29"/>
  <c r="C183" i="29"/>
  <c r="J182" i="29"/>
  <c r="I182" i="29"/>
  <c r="H182" i="29"/>
  <c r="G182" i="29"/>
  <c r="F182" i="29"/>
  <c r="E182" i="29"/>
  <c r="D182" i="29"/>
  <c r="J180" i="29"/>
  <c r="I180" i="29"/>
  <c r="H180" i="29"/>
  <c r="G180" i="29"/>
  <c r="F180" i="29"/>
  <c r="E180" i="29"/>
  <c r="D180" i="29"/>
  <c r="C180" i="29"/>
  <c r="H171" i="29"/>
  <c r="H170" i="29"/>
  <c r="H167" i="29"/>
  <c r="H166" i="29"/>
  <c r="H165" i="29"/>
  <c r="H164" i="29"/>
  <c r="H163" i="29"/>
  <c r="H159" i="29"/>
  <c r="H158" i="29"/>
  <c r="H157" i="29"/>
  <c r="H138" i="29"/>
  <c r="H136" i="29"/>
  <c r="H135" i="29"/>
  <c r="H134" i="29"/>
  <c r="H133" i="29"/>
  <c r="E136" i="29"/>
  <c r="E135" i="29"/>
  <c r="E134" i="29"/>
  <c r="E133" i="29"/>
  <c r="J130" i="29"/>
  <c r="I130" i="29"/>
  <c r="H130" i="29"/>
  <c r="G130" i="29"/>
  <c r="F130" i="29"/>
  <c r="E130" i="29"/>
  <c r="D130" i="29"/>
  <c r="C130" i="29"/>
  <c r="J128" i="29"/>
  <c r="I128" i="29"/>
  <c r="H128" i="29"/>
  <c r="G128" i="29"/>
  <c r="F128" i="29"/>
  <c r="E128" i="29"/>
  <c r="D128" i="29"/>
  <c r="C128" i="29"/>
  <c r="J125" i="29"/>
  <c r="I125" i="29"/>
  <c r="H125" i="29"/>
  <c r="G125" i="29"/>
  <c r="F125" i="29"/>
  <c r="E125" i="29"/>
  <c r="D125" i="29"/>
  <c r="C125" i="29"/>
  <c r="J124" i="29"/>
  <c r="I124" i="29"/>
  <c r="H124" i="29"/>
  <c r="G124" i="29"/>
  <c r="F124" i="29"/>
  <c r="E124" i="29"/>
  <c r="D124" i="29"/>
  <c r="C124" i="29"/>
  <c r="J123" i="29"/>
  <c r="I123" i="29"/>
  <c r="H123" i="29"/>
  <c r="G123" i="29"/>
  <c r="F123" i="29"/>
  <c r="E123" i="29"/>
  <c r="D123" i="29"/>
  <c r="C123" i="29"/>
  <c r="J122" i="29"/>
  <c r="I122" i="29"/>
  <c r="H122" i="29"/>
  <c r="G122" i="29"/>
  <c r="F122" i="29"/>
  <c r="E122" i="29"/>
  <c r="D122" i="29"/>
  <c r="C122" i="29"/>
  <c r="J120" i="29"/>
  <c r="I120" i="29"/>
  <c r="H120" i="29"/>
  <c r="G120" i="29"/>
  <c r="F120" i="29"/>
  <c r="E120" i="29"/>
  <c r="D120" i="29"/>
  <c r="C120" i="29"/>
  <c r="C36" i="29"/>
  <c r="D104" i="5"/>
  <c r="D100" i="5"/>
  <c r="D99" i="5"/>
  <c r="D98" i="5"/>
  <c r="D97" i="5"/>
  <c r="D96" i="5"/>
  <c r="D95" i="5"/>
  <c r="D81" i="5"/>
  <c r="D80" i="5"/>
  <c r="D79" i="5"/>
  <c r="D78" i="5"/>
  <c r="D77" i="5"/>
  <c r="D66" i="5"/>
  <c r="D65" i="5"/>
  <c r="D17" i="5"/>
  <c r="D16" i="5"/>
  <c r="D15" i="5"/>
  <c r="D14" i="5"/>
  <c r="H99" i="29"/>
  <c r="H91" i="29"/>
  <c r="H90" i="29"/>
  <c r="H89" i="29"/>
  <c r="H88" i="29"/>
  <c r="H87" i="29"/>
  <c r="H86" i="29"/>
  <c r="H85" i="29"/>
  <c r="H83" i="29"/>
  <c r="H82" i="29"/>
  <c r="H81" i="29"/>
  <c r="H80" i="29"/>
  <c r="H79" i="29"/>
  <c r="H78" i="29"/>
  <c r="E83" i="29"/>
  <c r="E82" i="29"/>
  <c r="E81" i="29"/>
  <c r="E80" i="29"/>
  <c r="E79" i="29"/>
  <c r="E78" i="29"/>
  <c r="J75" i="29"/>
  <c r="I75" i="29"/>
  <c r="H75" i="29"/>
  <c r="G75" i="29"/>
  <c r="F75" i="29"/>
  <c r="E75" i="29"/>
  <c r="D75" i="29"/>
  <c r="C75" i="29"/>
  <c r="J73" i="29"/>
  <c r="I73" i="29"/>
  <c r="H73" i="29"/>
  <c r="G73" i="29"/>
  <c r="F73" i="29"/>
  <c r="E73" i="29"/>
  <c r="D73" i="29"/>
  <c r="C73" i="29"/>
  <c r="J71" i="29"/>
  <c r="I71" i="29"/>
  <c r="H71" i="29"/>
  <c r="G71" i="29"/>
  <c r="F71" i="29"/>
  <c r="E71" i="29"/>
  <c r="D71" i="29"/>
  <c r="C71" i="29"/>
  <c r="J70" i="29"/>
  <c r="I70" i="29"/>
  <c r="H70" i="29"/>
  <c r="G70" i="29"/>
  <c r="F70" i="29"/>
  <c r="E70" i="29"/>
  <c r="D70" i="29"/>
  <c r="C70" i="29"/>
  <c r="J69" i="29"/>
  <c r="I69" i="29"/>
  <c r="H69" i="29"/>
  <c r="G69" i="29"/>
  <c r="F69" i="29"/>
  <c r="E69" i="29"/>
  <c r="D69" i="29"/>
  <c r="C69" i="29"/>
  <c r="J68" i="29"/>
  <c r="I68" i="29"/>
  <c r="H68" i="29"/>
  <c r="G68" i="29"/>
  <c r="F68" i="29"/>
  <c r="E68" i="29"/>
  <c r="D68" i="29"/>
  <c r="C68" i="29"/>
  <c r="J67" i="29"/>
  <c r="I67" i="29"/>
  <c r="H67" i="29"/>
  <c r="G67" i="29"/>
  <c r="F67" i="29"/>
  <c r="E67" i="29"/>
  <c r="D67" i="29"/>
  <c r="C67" i="29"/>
  <c r="J64" i="29"/>
  <c r="I64" i="29"/>
  <c r="H64" i="29"/>
  <c r="G64" i="29"/>
  <c r="F64" i="29"/>
  <c r="E64" i="29"/>
  <c r="D64" i="29"/>
  <c r="C64" i="29"/>
  <c r="J63" i="29"/>
  <c r="I63" i="29"/>
  <c r="H63" i="29"/>
  <c r="G63" i="29"/>
  <c r="F63" i="29"/>
  <c r="E63" i="29"/>
  <c r="D63" i="29"/>
  <c r="C63" i="29"/>
  <c r="J62" i="29"/>
  <c r="I62" i="29"/>
  <c r="H62" i="29"/>
  <c r="G62" i="29"/>
  <c r="F62" i="29"/>
  <c r="E62" i="29"/>
  <c r="D62" i="29"/>
  <c r="C62" i="29"/>
  <c r="J61" i="29"/>
  <c r="I61" i="29"/>
  <c r="H61" i="29"/>
  <c r="G61" i="29"/>
  <c r="F61" i="29"/>
  <c r="E61" i="29"/>
  <c r="D61" i="29"/>
  <c r="C61" i="29"/>
  <c r="J60" i="29"/>
  <c r="I60" i="29"/>
  <c r="H60" i="29"/>
  <c r="G60" i="29"/>
  <c r="F60" i="29"/>
  <c r="E60" i="29"/>
  <c r="D60" i="29"/>
  <c r="C60" i="29"/>
  <c r="J59" i="29"/>
  <c r="I59" i="29"/>
  <c r="H59" i="29"/>
  <c r="G59" i="29"/>
  <c r="F59" i="29"/>
  <c r="E59" i="29"/>
  <c r="D59" i="29"/>
  <c r="C59" i="29"/>
  <c r="J56" i="29"/>
  <c r="I56" i="29"/>
  <c r="H56" i="29"/>
  <c r="G56" i="29"/>
  <c r="F56" i="29"/>
  <c r="E56" i="29"/>
  <c r="D56" i="29"/>
  <c r="C56" i="29"/>
  <c r="J55" i="29"/>
  <c r="I55" i="29"/>
  <c r="H55" i="29"/>
  <c r="G55" i="29"/>
  <c r="F55" i="29"/>
  <c r="E55" i="29"/>
  <c r="D55" i="29"/>
  <c r="C55" i="29"/>
  <c r="J52" i="29"/>
  <c r="I52" i="29"/>
  <c r="H52" i="29"/>
  <c r="G52" i="29"/>
  <c r="F52" i="29"/>
  <c r="E52" i="29"/>
  <c r="D52" i="29"/>
  <c r="C52" i="29"/>
  <c r="J51" i="29"/>
  <c r="I51" i="29"/>
  <c r="H51" i="29"/>
  <c r="G51" i="29"/>
  <c r="F51" i="29"/>
  <c r="E51" i="29"/>
  <c r="D51" i="29"/>
  <c r="C51" i="29"/>
  <c r="J50" i="29"/>
  <c r="I50" i="29"/>
  <c r="H50" i="29"/>
  <c r="G50" i="29"/>
  <c r="F50" i="29"/>
  <c r="E50" i="29"/>
  <c r="D50" i="29"/>
  <c r="C50" i="29"/>
  <c r="J49" i="29"/>
  <c r="I49" i="29"/>
  <c r="H49" i="29"/>
  <c r="G49" i="29"/>
  <c r="F49" i="29"/>
  <c r="E49" i="29"/>
  <c r="D49" i="29"/>
  <c r="C49" i="29"/>
  <c r="J46" i="29"/>
  <c r="I46" i="29"/>
  <c r="H46" i="29"/>
  <c r="G46" i="29"/>
  <c r="F46" i="29"/>
  <c r="E46" i="29"/>
  <c r="D46" i="29"/>
  <c r="C46" i="29"/>
  <c r="J45" i="29"/>
  <c r="I45" i="29"/>
  <c r="H45" i="29"/>
  <c r="G45" i="29"/>
  <c r="F45" i="29"/>
  <c r="E45" i="29"/>
  <c r="D45" i="29"/>
  <c r="C45" i="29"/>
  <c r="J44" i="29"/>
  <c r="I44" i="29"/>
  <c r="H44" i="29"/>
  <c r="G44" i="29"/>
  <c r="F44" i="29"/>
  <c r="E44" i="29"/>
  <c r="D44" i="29"/>
  <c r="C44" i="29"/>
  <c r="J41" i="29"/>
  <c r="I41" i="29"/>
  <c r="H41" i="29"/>
  <c r="G41" i="29"/>
  <c r="F41" i="29"/>
  <c r="E41" i="29"/>
  <c r="D41" i="29"/>
  <c r="C41" i="29"/>
  <c r="J40" i="29"/>
  <c r="I40" i="29"/>
  <c r="H40" i="29"/>
  <c r="G40" i="29"/>
  <c r="F40" i="29"/>
  <c r="E40" i="29"/>
  <c r="D40" i="29"/>
  <c r="C40" i="29"/>
  <c r="J39" i="29"/>
  <c r="I39" i="29"/>
  <c r="H39" i="29"/>
  <c r="G39" i="29"/>
  <c r="F39" i="29"/>
  <c r="E39" i="29"/>
  <c r="D39" i="29"/>
  <c r="C39" i="29"/>
  <c r="J38" i="29"/>
  <c r="I38" i="29"/>
  <c r="H38" i="29"/>
  <c r="G38" i="29"/>
  <c r="F38" i="29"/>
  <c r="E38" i="29"/>
  <c r="D38" i="29"/>
  <c r="C38" i="29"/>
  <c r="J37" i="29"/>
  <c r="I37" i="29"/>
  <c r="H37" i="29"/>
  <c r="G37" i="29"/>
  <c r="F37" i="29"/>
  <c r="E37" i="29"/>
  <c r="D37" i="29"/>
  <c r="C37" i="29"/>
  <c r="J36" i="29"/>
  <c r="I36" i="29"/>
  <c r="H36" i="29"/>
  <c r="G36" i="29"/>
  <c r="F36" i="29"/>
  <c r="E36" i="29"/>
  <c r="D36" i="29"/>
  <c r="H22" i="29"/>
  <c r="H20" i="29"/>
  <c r="H21" i="29"/>
  <c r="H23" i="29"/>
  <c r="H24" i="29"/>
  <c r="H25" i="29"/>
  <c r="H26" i="29"/>
  <c r="H27" i="29"/>
  <c r="H28" i="29"/>
  <c r="H29" i="29"/>
  <c r="H30" i="29"/>
  <c r="H31" i="29"/>
  <c r="H32" i="29"/>
  <c r="J19" i="29"/>
  <c r="I19" i="29"/>
  <c r="H19" i="29"/>
  <c r="G19" i="29"/>
  <c r="F19" i="29"/>
  <c r="E19" i="29"/>
  <c r="D19" i="29"/>
  <c r="C19" i="29"/>
  <c r="J18" i="29"/>
  <c r="I18" i="29"/>
  <c r="H18" i="29"/>
  <c r="G18" i="29"/>
  <c r="F18" i="29"/>
  <c r="E18" i="29"/>
  <c r="D18" i="29"/>
  <c r="C18" i="29"/>
  <c r="J17" i="29"/>
  <c r="I17" i="29"/>
  <c r="H17" i="29"/>
  <c r="G17" i="29"/>
  <c r="F17" i="29"/>
  <c r="E17" i="29"/>
  <c r="D17" i="29"/>
  <c r="C17" i="29"/>
  <c r="J16" i="29"/>
  <c r="I16" i="29"/>
  <c r="H16" i="29"/>
  <c r="G16" i="29"/>
  <c r="F16" i="29"/>
  <c r="E16" i="29"/>
  <c r="D16" i="29"/>
  <c r="C16" i="29"/>
  <c r="J15" i="29"/>
  <c r="I15" i="29"/>
  <c r="H15" i="29"/>
  <c r="G15" i="29"/>
  <c r="F15" i="29"/>
  <c r="E15" i="29"/>
  <c r="D15" i="29"/>
  <c r="C15" i="29"/>
  <c r="J14" i="29"/>
  <c r="I14" i="29"/>
  <c r="H14" i="29"/>
  <c r="G14" i="29"/>
  <c r="F14" i="29"/>
  <c r="E14" i="29"/>
  <c r="D14" i="29"/>
  <c r="C14" i="29"/>
  <c r="J13" i="29"/>
  <c r="I13" i="29"/>
  <c r="H13" i="29"/>
  <c r="G13" i="29"/>
  <c r="F13" i="29"/>
  <c r="E13" i="29"/>
  <c r="D13" i="29"/>
  <c r="C13" i="29"/>
  <c r="J12" i="29"/>
  <c r="I12" i="29"/>
  <c r="H12" i="29"/>
  <c r="G12" i="29"/>
  <c r="F12" i="29"/>
  <c r="E12" i="29"/>
  <c r="D12" i="29"/>
  <c r="C12" i="29"/>
  <c r="J11" i="29"/>
  <c r="I11" i="29"/>
  <c r="H11" i="29"/>
  <c r="G11" i="29"/>
  <c r="F11" i="29"/>
  <c r="E11" i="29"/>
  <c r="D11" i="29"/>
  <c r="C11" i="29"/>
  <c r="J10" i="29"/>
  <c r="I10" i="29"/>
  <c r="H10" i="29"/>
  <c r="G10" i="29"/>
  <c r="F10" i="29"/>
  <c r="E10" i="29"/>
  <c r="D10" i="29"/>
  <c r="C10" i="29"/>
  <c r="J9" i="29"/>
  <c r="I9" i="29"/>
  <c r="H9" i="29"/>
  <c r="G9" i="29"/>
  <c r="F9" i="29"/>
  <c r="E9" i="29"/>
  <c r="D9" i="29"/>
  <c r="J8" i="29"/>
  <c r="I8" i="29"/>
  <c r="H8" i="29"/>
  <c r="G8" i="29"/>
  <c r="F8" i="29"/>
  <c r="E8" i="29"/>
  <c r="D8" i="29"/>
  <c r="C8" i="29"/>
  <c r="J7" i="29"/>
  <c r="I7" i="29"/>
  <c r="H7" i="29"/>
  <c r="G7" i="29"/>
  <c r="F7" i="29"/>
  <c r="E7" i="29"/>
  <c r="D7" i="29"/>
  <c r="C7" i="29"/>
  <c r="J5" i="29"/>
  <c r="I5" i="29"/>
  <c r="H5" i="29"/>
  <c r="G5" i="29"/>
  <c r="F5" i="29"/>
  <c r="E5" i="29"/>
  <c r="D5" i="29"/>
  <c r="C5" i="29"/>
  <c r="C9" i="29"/>
  <c r="C268" i="5" l="1"/>
  <c r="C267" i="5"/>
  <c r="C266" i="5"/>
  <c r="C223" i="5"/>
  <c r="C222" i="5"/>
  <c r="C221" i="5"/>
  <c r="C220" i="5"/>
  <c r="C219" i="5"/>
  <c r="C218" i="5"/>
  <c r="C203" i="5"/>
  <c r="C195" i="5"/>
  <c r="C149" i="5"/>
  <c r="C148" i="5"/>
  <c r="C147" i="5"/>
  <c r="C146" i="5"/>
  <c r="C145" i="5"/>
  <c r="C143" i="5"/>
  <c r="C142" i="5"/>
  <c r="C139" i="5"/>
  <c r="C138" i="5"/>
  <c r="C137" i="5"/>
  <c r="C136" i="5"/>
  <c r="C135" i="5"/>
  <c r="C134" i="5"/>
  <c r="C133" i="5"/>
  <c r="C130" i="5"/>
  <c r="C129" i="5"/>
  <c r="C128" i="5"/>
  <c r="C127" i="5"/>
  <c r="C126" i="5"/>
  <c r="C125" i="5"/>
  <c r="C124" i="5"/>
  <c r="C117" i="5"/>
  <c r="C107" i="5"/>
  <c r="C106" i="5"/>
  <c r="C105" i="5"/>
  <c r="C104" i="5"/>
  <c r="C102" i="5"/>
  <c r="C101" i="5"/>
  <c r="C100" i="5"/>
  <c r="C99" i="5"/>
  <c r="C98" i="5"/>
  <c r="C97" i="5"/>
  <c r="C96" i="5"/>
  <c r="C95" i="5"/>
  <c r="C92" i="5"/>
  <c r="C91" i="5"/>
  <c r="C90" i="5"/>
  <c r="C89" i="5"/>
  <c r="C88" i="5"/>
  <c r="C87" i="5"/>
  <c r="C86" i="5"/>
  <c r="C85" i="5"/>
  <c r="C84" i="5"/>
  <c r="C79" i="5"/>
  <c r="C81" i="5"/>
  <c r="C80" i="5"/>
  <c r="C78" i="5"/>
  <c r="C77" i="5"/>
  <c r="C74" i="5"/>
  <c r="C73" i="5"/>
  <c r="C72" i="5"/>
  <c r="C71" i="5"/>
  <c r="C70" i="5"/>
  <c r="C69" i="5"/>
  <c r="C66" i="5"/>
  <c r="C65" i="5"/>
  <c r="C24" i="5"/>
  <c r="C20" i="5"/>
  <c r="C6" i="5"/>
  <c r="C21" i="5"/>
  <c r="C22" i="5"/>
  <c r="C23" i="5"/>
  <c r="C25" i="5"/>
  <c r="C26" i="5"/>
  <c r="C27" i="5"/>
  <c r="C28" i="5"/>
  <c r="C29" i="5"/>
  <c r="C30" i="5"/>
  <c r="C31" i="5"/>
  <c r="C32" i="5"/>
  <c r="C33" i="5"/>
  <c r="C34" i="5"/>
  <c r="C35" i="5"/>
  <c r="C36" i="5"/>
  <c r="C37" i="5"/>
  <c r="C38" i="5"/>
  <c r="C39" i="5"/>
  <c r="C17" i="5"/>
  <c r="C16" i="5"/>
  <c r="C15" i="5"/>
  <c r="C14" i="5"/>
  <c r="C7" i="5"/>
  <c r="F599" i="183"/>
  <c r="F65" i="5" s="1"/>
  <c r="F762" i="183"/>
  <c r="I65" i="5" s="1"/>
  <c r="H309" i="29" l="1"/>
  <c r="H308" i="29"/>
  <c r="H307" i="29"/>
  <c r="H306" i="29"/>
  <c r="E309" i="29"/>
  <c r="E308" i="29"/>
  <c r="E307" i="29"/>
  <c r="E306" i="29"/>
  <c r="D284" i="29"/>
  <c r="D283" i="29"/>
  <c r="D282" i="29"/>
  <c r="D278" i="29"/>
  <c r="J185" i="29"/>
  <c r="I185" i="29"/>
  <c r="H185" i="29"/>
  <c r="G185" i="29"/>
  <c r="F185" i="29"/>
  <c r="E185" i="29"/>
  <c r="D185" i="29"/>
  <c r="C185" i="29"/>
  <c r="F568" i="183"/>
  <c r="H169" i="29" s="1"/>
  <c r="H148" i="29"/>
  <c r="H146" i="29"/>
  <c r="H145" i="29"/>
  <c r="H144" i="29"/>
  <c r="H143" i="29"/>
  <c r="H142" i="29"/>
  <c r="E138" i="29"/>
  <c r="I126" i="29"/>
  <c r="G126" i="29"/>
  <c r="E101" i="29" l="1"/>
  <c r="E99" i="29"/>
  <c r="H111" i="29"/>
  <c r="H109" i="29"/>
  <c r="H108" i="29"/>
  <c r="H107" i="29"/>
  <c r="H106" i="29"/>
  <c r="H105" i="29"/>
  <c r="H98" i="29"/>
  <c r="H97" i="29"/>
  <c r="H96" i="29"/>
  <c r="H95" i="29"/>
  <c r="H94" i="29"/>
  <c r="H93" i="29"/>
  <c r="K66" i="5"/>
  <c r="K17" i="5"/>
  <c r="K16" i="5"/>
  <c r="K15" i="5"/>
  <c r="K14" i="5"/>
  <c r="J107" i="5"/>
  <c r="J106" i="5"/>
  <c r="J102" i="5"/>
  <c r="J100" i="5"/>
  <c r="J97" i="5"/>
  <c r="J96" i="5"/>
  <c r="J66" i="5"/>
  <c r="J17" i="5"/>
  <c r="J16" i="5"/>
  <c r="J15" i="5"/>
  <c r="J14" i="5"/>
  <c r="K11" i="5"/>
  <c r="J11" i="5"/>
  <c r="I66" i="5"/>
  <c r="I17" i="5"/>
  <c r="I16" i="5"/>
  <c r="I15" i="5"/>
  <c r="I14" i="5"/>
  <c r="H107" i="5"/>
  <c r="H106" i="5"/>
  <c r="H104" i="5"/>
  <c r="H103" i="5"/>
  <c r="H102" i="5"/>
  <c r="H99" i="5"/>
  <c r="H97" i="5"/>
  <c r="H96" i="5"/>
  <c r="H66" i="5"/>
  <c r="H17" i="5"/>
  <c r="H16" i="5"/>
  <c r="H15" i="5"/>
  <c r="H14" i="5"/>
  <c r="H11" i="5"/>
  <c r="H9" i="5"/>
  <c r="G17" i="5"/>
  <c r="G15" i="5"/>
  <c r="G14" i="5"/>
  <c r="G11" i="5"/>
  <c r="G7" i="5"/>
  <c r="F168" i="5"/>
  <c r="F167" i="5"/>
  <c r="F166" i="5"/>
  <c r="F165" i="5"/>
  <c r="F164" i="5"/>
  <c r="F163" i="5"/>
  <c r="F162" i="5"/>
  <c r="F161" i="5"/>
  <c r="F160" i="5"/>
  <c r="F159" i="5"/>
  <c r="F158" i="5"/>
  <c r="F157" i="5"/>
  <c r="F156" i="5"/>
  <c r="F130" i="5"/>
  <c r="F129" i="5"/>
  <c r="F128" i="5"/>
  <c r="F127" i="5"/>
  <c r="F126" i="5"/>
  <c r="F125" i="5"/>
  <c r="F124" i="5"/>
  <c r="F119" i="5"/>
  <c r="F118" i="5"/>
  <c r="F117" i="5"/>
  <c r="F113" i="5"/>
  <c r="F112" i="5"/>
  <c r="F111" i="5"/>
  <c r="F107" i="5"/>
  <c r="F106" i="5"/>
  <c r="F104" i="5"/>
  <c r="F102" i="5"/>
  <c r="F100" i="5"/>
  <c r="F99" i="5"/>
  <c r="F98" i="5"/>
  <c r="F97" i="5"/>
  <c r="F96" i="5"/>
  <c r="F62" i="5"/>
  <c r="F61" i="5"/>
  <c r="F60" i="5"/>
  <c r="F59" i="5"/>
  <c r="F58" i="5"/>
  <c r="F57" i="5"/>
  <c r="F56" i="5"/>
  <c r="F55" i="5"/>
  <c r="F54" i="5"/>
  <c r="F53" i="5"/>
  <c r="F52" i="5"/>
  <c r="F51" i="5"/>
  <c r="F50" i="5"/>
  <c r="F49" i="5"/>
  <c r="F48" i="5"/>
  <c r="F47" i="5"/>
  <c r="F46" i="5"/>
  <c r="F45" i="5"/>
  <c r="F44" i="5"/>
  <c r="F43" i="5"/>
  <c r="F42" i="5"/>
  <c r="F17" i="5"/>
  <c r="F16" i="5"/>
  <c r="F15" i="5"/>
  <c r="F14" i="5"/>
  <c r="F11" i="5"/>
  <c r="F7" i="5"/>
  <c r="E17" i="5"/>
  <c r="E16" i="5"/>
  <c r="E15" i="5"/>
  <c r="E14" i="5"/>
  <c r="E11" i="5"/>
  <c r="D102" i="5"/>
  <c r="D11" i="5"/>
  <c r="D9" i="5"/>
  <c r="D7" i="5"/>
  <c r="D6" i="5"/>
  <c r="F79" i="183"/>
  <c r="F78" i="183"/>
  <c r="C171" i="5" s="1"/>
  <c r="F88" i="183"/>
  <c r="C271" i="5" s="1"/>
  <c r="F87" i="183"/>
  <c r="C270" i="5" s="1"/>
  <c r="C265" i="5"/>
  <c r="C264" i="5"/>
  <c r="C263" i="5"/>
  <c r="C262" i="5"/>
  <c r="C261" i="5"/>
  <c r="C260"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7" i="5"/>
  <c r="C226" i="5"/>
  <c r="C215" i="5"/>
  <c r="C214" i="5"/>
  <c r="C213" i="5"/>
  <c r="C210" i="5"/>
  <c r="C209" i="5"/>
  <c r="C208" i="5"/>
  <c r="C207" i="5"/>
  <c r="C206" i="5"/>
  <c r="C205" i="5"/>
  <c r="C204" i="5"/>
  <c r="C200" i="5"/>
  <c r="C199" i="5"/>
  <c r="C198" i="5"/>
  <c r="C197" i="5"/>
  <c r="C196" i="5"/>
  <c r="C194" i="5"/>
  <c r="C193" i="5"/>
  <c r="C190" i="5"/>
  <c r="C189" i="5"/>
  <c r="C188" i="5"/>
  <c r="C187" i="5"/>
  <c r="C183" i="5"/>
  <c r="C182" i="5"/>
  <c r="C181" i="5"/>
  <c r="C180" i="5"/>
  <c r="C177" i="5"/>
  <c r="C176" i="5"/>
  <c r="C168" i="5"/>
  <c r="C167" i="5"/>
  <c r="C166" i="5"/>
  <c r="C165" i="5"/>
  <c r="C164" i="5"/>
  <c r="C163" i="5"/>
  <c r="C162" i="5"/>
  <c r="C161" i="5"/>
  <c r="C160" i="5"/>
  <c r="C159" i="5"/>
  <c r="C158" i="5"/>
  <c r="C157" i="5"/>
  <c r="C156" i="5"/>
  <c r="C155" i="5"/>
  <c r="C153" i="5"/>
  <c r="C152" i="5"/>
  <c r="C151" i="5"/>
  <c r="C120" i="5"/>
  <c r="C119" i="5"/>
  <c r="C118" i="5"/>
  <c r="C113" i="5"/>
  <c r="C112" i="5"/>
  <c r="C111" i="5"/>
  <c r="C11" i="5"/>
  <c r="C10" i="5"/>
  <c r="D31" i="3"/>
  <c r="H914" i="183" l="1"/>
  <c r="H913" i="183"/>
  <c r="H912" i="183"/>
  <c r="H911" i="183"/>
  <c r="H910" i="183"/>
  <c r="H909" i="183"/>
  <c r="H908" i="183"/>
  <c r="H907" i="183"/>
  <c r="H906" i="183"/>
  <c r="H905" i="183"/>
  <c r="H904" i="183"/>
  <c r="H903" i="183"/>
  <c r="H902" i="183"/>
  <c r="H901" i="183"/>
  <c r="H900" i="183"/>
  <c r="H899" i="183"/>
  <c r="H898" i="183"/>
  <c r="H897" i="183"/>
  <c r="H896" i="183"/>
  <c r="H895" i="183"/>
  <c r="H894" i="183"/>
  <c r="H893" i="183"/>
  <c r="H892" i="183"/>
  <c r="H891" i="183"/>
  <c r="H890" i="183"/>
  <c r="H889" i="183"/>
  <c r="H888" i="183"/>
  <c r="H887" i="183"/>
  <c r="H886" i="183"/>
  <c r="H885" i="183"/>
  <c r="H884" i="183"/>
  <c r="H883" i="183"/>
  <c r="H882" i="183"/>
  <c r="H881" i="183"/>
  <c r="H880" i="183"/>
  <c r="H879" i="183"/>
  <c r="H878" i="183"/>
  <c r="H877" i="183"/>
  <c r="H876" i="183"/>
  <c r="H875" i="183"/>
  <c r="H874" i="183"/>
  <c r="H873" i="183"/>
  <c r="H872" i="183"/>
  <c r="H871" i="183"/>
  <c r="H870" i="183"/>
  <c r="H869" i="183"/>
  <c r="H868" i="183"/>
  <c r="H867" i="183"/>
  <c r="H866" i="183"/>
  <c r="H865" i="183"/>
  <c r="H864" i="183"/>
  <c r="H863" i="183"/>
  <c r="H862" i="183"/>
  <c r="H861" i="183"/>
  <c r="H860" i="183"/>
  <c r="H859" i="183"/>
  <c r="H858" i="183"/>
  <c r="H857" i="183"/>
  <c r="H856" i="183"/>
  <c r="H855" i="183"/>
  <c r="H854" i="183"/>
  <c r="H853" i="183"/>
  <c r="H852" i="183"/>
  <c r="H851" i="183"/>
  <c r="H850" i="183"/>
  <c r="H849" i="183"/>
  <c r="H848" i="183"/>
  <c r="H847" i="183"/>
  <c r="H846" i="183"/>
  <c r="H845" i="183"/>
  <c r="H844" i="183"/>
  <c r="H843" i="183"/>
  <c r="H842" i="183"/>
  <c r="H841" i="183"/>
  <c r="H840" i="183"/>
  <c r="H839" i="183"/>
  <c r="H838" i="183"/>
  <c r="H837" i="183"/>
  <c r="H836" i="183"/>
  <c r="H835" i="183"/>
  <c r="H834" i="183"/>
  <c r="H833" i="183"/>
  <c r="H832" i="183"/>
  <c r="H831" i="183"/>
  <c r="H830" i="183"/>
  <c r="H829" i="183"/>
  <c r="H828" i="183"/>
  <c r="H827" i="183"/>
  <c r="H826" i="183"/>
  <c r="H825" i="183"/>
  <c r="H824" i="183"/>
  <c r="H823" i="183"/>
  <c r="H822" i="183"/>
  <c r="H821" i="183"/>
  <c r="H820" i="183"/>
  <c r="H819" i="183"/>
  <c r="H818" i="183"/>
  <c r="H817" i="183"/>
  <c r="H816" i="183"/>
  <c r="H815" i="183"/>
  <c r="H814" i="183"/>
  <c r="H813" i="183"/>
  <c r="H812" i="183"/>
  <c r="H811" i="183"/>
  <c r="H810" i="183"/>
  <c r="H809" i="183"/>
  <c r="H808" i="183"/>
  <c r="H807" i="183"/>
  <c r="H806" i="183"/>
  <c r="H805" i="183"/>
  <c r="H804" i="183"/>
  <c r="H803" i="183"/>
  <c r="H802" i="183"/>
  <c r="H801" i="183"/>
  <c r="H800" i="183"/>
  <c r="H799" i="183"/>
  <c r="H798" i="183"/>
  <c r="H797" i="183"/>
  <c r="H796" i="183"/>
  <c r="H795" i="183"/>
  <c r="H794" i="183"/>
  <c r="H793" i="183"/>
  <c r="H792" i="183"/>
  <c r="H791" i="183"/>
  <c r="H790" i="183"/>
  <c r="H789" i="183"/>
  <c r="H788" i="183"/>
  <c r="H787" i="183"/>
  <c r="H786" i="183"/>
  <c r="H785" i="183"/>
  <c r="H784" i="183"/>
  <c r="H783" i="183"/>
  <c r="H782" i="183"/>
  <c r="H781" i="183"/>
  <c r="H780" i="183"/>
  <c r="H779" i="183"/>
  <c r="H778" i="183"/>
  <c r="H777" i="183"/>
  <c r="H776" i="183"/>
  <c r="H775" i="183"/>
  <c r="H774" i="183"/>
  <c r="H773" i="183"/>
  <c r="H772" i="183"/>
  <c r="H771" i="183"/>
  <c r="H770" i="183"/>
  <c r="H769" i="183"/>
  <c r="H768" i="183"/>
  <c r="H767" i="183"/>
  <c r="H766" i="183"/>
  <c r="H765" i="183"/>
  <c r="H764" i="183"/>
  <c r="H763" i="183"/>
  <c r="H762" i="183"/>
  <c r="H761" i="183"/>
  <c r="H760" i="183"/>
  <c r="H759" i="183"/>
  <c r="H758" i="183"/>
  <c r="H757" i="183"/>
  <c r="H756" i="183"/>
  <c r="H755" i="183"/>
  <c r="H754" i="183"/>
  <c r="H753" i="183"/>
  <c r="H752" i="183"/>
  <c r="H751" i="183"/>
  <c r="H750" i="183"/>
  <c r="H749" i="183"/>
  <c r="H748" i="183"/>
  <c r="H747" i="183"/>
  <c r="H746" i="183"/>
  <c r="H745" i="183"/>
  <c r="H744" i="183"/>
  <c r="H743" i="183"/>
  <c r="H742" i="183"/>
  <c r="H741" i="183"/>
  <c r="H740" i="183"/>
  <c r="H739" i="183"/>
  <c r="H738" i="183"/>
  <c r="H737" i="183"/>
  <c r="H736" i="183"/>
  <c r="H735" i="183"/>
  <c r="H734" i="183"/>
  <c r="H733" i="183"/>
  <c r="H732" i="183"/>
  <c r="H731" i="183"/>
  <c r="H730" i="183"/>
  <c r="H729" i="183"/>
  <c r="H728" i="183"/>
  <c r="H727" i="183"/>
  <c r="H726" i="183"/>
  <c r="H725" i="183"/>
  <c r="H724" i="183"/>
  <c r="H723" i="183"/>
  <c r="H722" i="183"/>
  <c r="H721" i="183"/>
  <c r="H720" i="183"/>
  <c r="H719" i="183"/>
  <c r="H718" i="183"/>
  <c r="H717" i="183"/>
  <c r="H716" i="183"/>
  <c r="H715" i="183"/>
  <c r="H714" i="183"/>
  <c r="H713" i="183"/>
  <c r="H712" i="183"/>
  <c r="H711" i="183"/>
  <c r="H710" i="183"/>
  <c r="H709" i="183"/>
  <c r="H708" i="183"/>
  <c r="H707" i="183"/>
  <c r="H706" i="183"/>
  <c r="H705" i="183"/>
  <c r="H704" i="183"/>
  <c r="H703" i="183"/>
  <c r="H702" i="183"/>
  <c r="H701" i="183"/>
  <c r="H700" i="183"/>
  <c r="H699" i="183"/>
  <c r="H698" i="183"/>
  <c r="H697" i="183"/>
  <c r="H696" i="183"/>
  <c r="H695" i="183"/>
  <c r="H694" i="183"/>
  <c r="H693" i="183"/>
  <c r="H692" i="183"/>
  <c r="H691" i="183"/>
  <c r="H690" i="183"/>
  <c r="H689" i="183"/>
  <c r="H688" i="183"/>
  <c r="H687" i="183"/>
  <c r="H686" i="183"/>
  <c r="H685" i="183"/>
  <c r="H684" i="183"/>
  <c r="H683" i="183"/>
  <c r="H682" i="183"/>
  <c r="H681" i="183"/>
  <c r="H680" i="183"/>
  <c r="H679" i="183"/>
  <c r="H678" i="183"/>
  <c r="H677" i="183"/>
  <c r="H676" i="183"/>
  <c r="H675" i="183"/>
  <c r="H674" i="183"/>
  <c r="H673" i="183"/>
  <c r="H672" i="183"/>
  <c r="H671" i="183"/>
  <c r="H670" i="183"/>
  <c r="H669" i="183"/>
  <c r="H668" i="183"/>
  <c r="H667" i="183"/>
  <c r="H666" i="183"/>
  <c r="H665" i="183"/>
  <c r="H664" i="183"/>
  <c r="H663" i="183"/>
  <c r="H662" i="183"/>
  <c r="H661" i="183"/>
  <c r="H660" i="183"/>
  <c r="H659" i="183"/>
  <c r="H658" i="183"/>
  <c r="H657" i="183"/>
  <c r="H656" i="183"/>
  <c r="H655" i="183"/>
  <c r="H654" i="183"/>
  <c r="H653" i="183"/>
  <c r="H652" i="183"/>
  <c r="H651" i="183"/>
  <c r="H650" i="183"/>
  <c r="H649" i="183"/>
  <c r="H648" i="183"/>
  <c r="H647" i="183"/>
  <c r="H646" i="183"/>
  <c r="H645" i="183"/>
  <c r="H644" i="183"/>
  <c r="H643" i="183"/>
  <c r="H642" i="183"/>
  <c r="H641" i="183"/>
  <c r="H640" i="183"/>
  <c r="H639" i="183"/>
  <c r="H638" i="183"/>
  <c r="H637" i="183"/>
  <c r="H636" i="183"/>
  <c r="H635" i="183"/>
  <c r="H634" i="183"/>
  <c r="H633" i="183"/>
  <c r="H632" i="183"/>
  <c r="H631" i="183"/>
  <c r="H630" i="183"/>
  <c r="H629" i="183"/>
  <c r="H628" i="183"/>
  <c r="H627" i="183"/>
  <c r="H626" i="183"/>
  <c r="H625" i="183"/>
  <c r="H624" i="183"/>
  <c r="H623" i="183"/>
  <c r="H622" i="183"/>
  <c r="H621" i="183"/>
  <c r="H620" i="183"/>
  <c r="H619" i="183"/>
  <c r="H618" i="183"/>
  <c r="H617" i="183"/>
  <c r="H616" i="183"/>
  <c r="H615" i="183"/>
  <c r="H614" i="183"/>
  <c r="H613" i="183"/>
  <c r="H612" i="183"/>
  <c r="H611" i="183"/>
  <c r="H610" i="183"/>
  <c r="H609" i="183"/>
  <c r="H608" i="183"/>
  <c r="H607" i="183"/>
  <c r="H606" i="183"/>
  <c r="H605" i="183"/>
  <c r="H604" i="183"/>
  <c r="H603" i="183"/>
  <c r="H602" i="183"/>
  <c r="H601" i="183"/>
  <c r="H600" i="183"/>
  <c r="H599" i="183"/>
  <c r="H598" i="183"/>
  <c r="H597" i="183"/>
  <c r="H596" i="183"/>
  <c r="H595" i="183"/>
  <c r="H594" i="183"/>
  <c r="H593" i="183"/>
  <c r="H592" i="183"/>
  <c r="H591" i="183"/>
  <c r="H590" i="183"/>
  <c r="H589" i="183"/>
  <c r="H588" i="183"/>
  <c r="H587" i="183"/>
  <c r="H586" i="183"/>
  <c r="H585" i="183"/>
  <c r="H584" i="183"/>
  <c r="H583" i="183"/>
  <c r="H582" i="183"/>
  <c r="H581" i="183"/>
  <c r="H580" i="183"/>
  <c r="H579" i="183"/>
  <c r="H578" i="183"/>
  <c r="H577" i="183"/>
  <c r="H576" i="183"/>
  <c r="H575" i="183"/>
  <c r="H574" i="183"/>
  <c r="H573" i="183"/>
  <c r="H572" i="183"/>
  <c r="H571" i="183"/>
  <c r="H570" i="183"/>
  <c r="H569" i="183"/>
  <c r="H568" i="183"/>
  <c r="H567" i="183"/>
  <c r="H566" i="183"/>
  <c r="H565" i="183"/>
  <c r="H564" i="183"/>
  <c r="H563" i="183"/>
  <c r="H562" i="183"/>
  <c r="H561" i="183"/>
  <c r="H560" i="183"/>
  <c r="H559" i="183"/>
  <c r="H558" i="183"/>
  <c r="H557" i="183"/>
  <c r="H556" i="183"/>
  <c r="H555" i="183"/>
  <c r="H554" i="183"/>
  <c r="H553" i="183"/>
  <c r="H552" i="183"/>
  <c r="H551" i="183"/>
  <c r="H550" i="183"/>
  <c r="H549" i="183"/>
  <c r="H548" i="183"/>
  <c r="H547" i="183"/>
  <c r="H546" i="183"/>
  <c r="H545" i="183"/>
  <c r="H544" i="183"/>
  <c r="H543" i="183"/>
  <c r="H542" i="183"/>
  <c r="H541" i="183"/>
  <c r="H540" i="183"/>
  <c r="H539" i="183"/>
  <c r="H538" i="183"/>
  <c r="H537" i="183"/>
  <c r="H536" i="183"/>
  <c r="H535" i="183"/>
  <c r="H534" i="183"/>
  <c r="H533" i="183"/>
  <c r="H532" i="183"/>
  <c r="H531" i="183"/>
  <c r="H530" i="183"/>
  <c r="H529" i="183"/>
  <c r="H528" i="183"/>
  <c r="H527" i="183"/>
  <c r="H526" i="183"/>
  <c r="H525" i="183"/>
  <c r="H524" i="183"/>
  <c r="H523" i="183"/>
  <c r="H522" i="183"/>
  <c r="H521" i="183"/>
  <c r="H520" i="183"/>
  <c r="H519" i="183"/>
  <c r="H518" i="183"/>
  <c r="H517" i="183"/>
  <c r="H516" i="183"/>
  <c r="H515" i="183"/>
  <c r="H514" i="183"/>
  <c r="H513" i="183"/>
  <c r="H512" i="183"/>
  <c r="H511" i="183"/>
  <c r="H510" i="183"/>
  <c r="H509" i="183"/>
  <c r="H508" i="183"/>
  <c r="H507" i="183"/>
  <c r="H506" i="183"/>
  <c r="H505" i="183"/>
  <c r="H504" i="183"/>
  <c r="H503" i="183"/>
  <c r="H502" i="183"/>
  <c r="H501" i="183"/>
  <c r="H500" i="183"/>
  <c r="H499" i="183"/>
  <c r="H498" i="183"/>
  <c r="H497" i="183"/>
  <c r="H496" i="183"/>
  <c r="H495" i="183"/>
  <c r="H494" i="183"/>
  <c r="H493" i="183"/>
  <c r="H492" i="183"/>
  <c r="H491" i="183"/>
  <c r="H490" i="183"/>
  <c r="H489" i="183"/>
  <c r="H488" i="183"/>
  <c r="H487" i="183"/>
  <c r="H486" i="183"/>
  <c r="H485" i="183"/>
  <c r="H484" i="183"/>
  <c r="H483" i="183"/>
  <c r="H482" i="183"/>
  <c r="H481" i="183"/>
  <c r="H480" i="183"/>
  <c r="H479" i="183"/>
  <c r="H478" i="183"/>
  <c r="H477" i="183"/>
  <c r="H476" i="183"/>
  <c r="H475" i="183"/>
  <c r="H474" i="183"/>
  <c r="H473" i="183"/>
  <c r="H472" i="183"/>
  <c r="H471" i="183"/>
  <c r="H470" i="183"/>
  <c r="H469" i="183"/>
  <c r="H468" i="183"/>
  <c r="H467" i="183"/>
  <c r="H466" i="183"/>
  <c r="H465" i="183"/>
  <c r="H464" i="183"/>
  <c r="H463" i="183"/>
  <c r="H462" i="183"/>
  <c r="H461" i="183"/>
  <c r="H460" i="183"/>
  <c r="H459" i="183"/>
  <c r="H458" i="183"/>
  <c r="H457" i="183"/>
  <c r="H456" i="183"/>
  <c r="H455" i="183"/>
  <c r="H454" i="183"/>
  <c r="H453" i="183"/>
  <c r="H452" i="183"/>
  <c r="H451" i="183"/>
  <c r="H450" i="183"/>
  <c r="H449" i="183"/>
  <c r="H448" i="183"/>
  <c r="H447" i="183"/>
  <c r="H446" i="183"/>
  <c r="H445" i="183"/>
  <c r="H444" i="183"/>
  <c r="H443" i="183"/>
  <c r="H442" i="183"/>
  <c r="H441" i="183"/>
  <c r="H440" i="183"/>
  <c r="H439" i="183"/>
  <c r="H438" i="183"/>
  <c r="H437" i="183"/>
  <c r="H436" i="183"/>
  <c r="H435" i="183"/>
  <c r="H434" i="183"/>
  <c r="H433" i="183"/>
  <c r="H432" i="183"/>
  <c r="H431" i="183"/>
  <c r="H430" i="183"/>
  <c r="H429" i="183"/>
  <c r="H428" i="183"/>
  <c r="H427" i="183"/>
  <c r="H426" i="183"/>
  <c r="H425" i="183"/>
  <c r="H424" i="183"/>
  <c r="H423" i="183"/>
  <c r="H422" i="183"/>
  <c r="H421" i="183"/>
  <c r="H420" i="183"/>
  <c r="H419" i="183"/>
  <c r="H418" i="183"/>
  <c r="H417" i="183"/>
  <c r="H416" i="183"/>
  <c r="H415" i="183"/>
  <c r="H414" i="183"/>
  <c r="H413" i="183"/>
  <c r="H412" i="183"/>
  <c r="H411" i="183"/>
  <c r="H410" i="183"/>
  <c r="H409" i="183"/>
  <c r="H408" i="183"/>
  <c r="H407" i="183"/>
  <c r="H406" i="183"/>
  <c r="H405" i="183"/>
  <c r="H404" i="183"/>
  <c r="H403" i="183"/>
  <c r="H402" i="183"/>
  <c r="H401" i="183"/>
  <c r="H400" i="183"/>
  <c r="H399" i="183"/>
  <c r="H398" i="183"/>
  <c r="H397" i="183"/>
  <c r="H396" i="183"/>
  <c r="H395" i="183"/>
  <c r="H394" i="183"/>
  <c r="H393" i="183"/>
  <c r="H392" i="183"/>
  <c r="H391" i="183"/>
  <c r="H390" i="183"/>
  <c r="H389" i="183"/>
  <c r="H388" i="183"/>
  <c r="H387" i="183"/>
  <c r="H386" i="183"/>
  <c r="H385" i="183"/>
  <c r="H384" i="183"/>
  <c r="H383" i="183"/>
  <c r="H382" i="183"/>
  <c r="H381" i="183"/>
  <c r="H380" i="183"/>
  <c r="H379" i="183"/>
  <c r="H378" i="183"/>
  <c r="H377" i="183"/>
  <c r="H376" i="183"/>
  <c r="H375" i="183"/>
  <c r="H374" i="183"/>
  <c r="H373" i="183"/>
  <c r="H372" i="183"/>
  <c r="H371" i="183"/>
  <c r="H370" i="183"/>
  <c r="H369" i="183"/>
  <c r="H368" i="183"/>
  <c r="H367" i="183"/>
  <c r="H366" i="183"/>
  <c r="H365" i="183"/>
  <c r="H364" i="183"/>
  <c r="H363" i="183"/>
  <c r="H362" i="183"/>
  <c r="H361" i="183"/>
  <c r="H360" i="183"/>
  <c r="H359" i="183"/>
  <c r="H358" i="183"/>
  <c r="H357" i="183"/>
  <c r="H356" i="183"/>
  <c r="H355" i="183"/>
  <c r="H354" i="183"/>
  <c r="H353" i="183"/>
  <c r="H352" i="183"/>
  <c r="H351" i="183"/>
  <c r="H350" i="183"/>
  <c r="H349" i="183"/>
  <c r="H348" i="183"/>
  <c r="H347" i="183"/>
  <c r="H346" i="183"/>
  <c r="H345" i="183"/>
  <c r="H344" i="183"/>
  <c r="H343" i="183"/>
  <c r="H342" i="183"/>
  <c r="H341" i="183"/>
  <c r="H340" i="183"/>
  <c r="H339" i="183"/>
  <c r="H338" i="183"/>
  <c r="H337" i="183"/>
  <c r="H336" i="183"/>
  <c r="H335" i="183"/>
  <c r="H334" i="183"/>
  <c r="H333" i="183"/>
  <c r="H332" i="183"/>
  <c r="H331" i="183"/>
  <c r="H330" i="183"/>
  <c r="H329" i="183"/>
  <c r="H328" i="183"/>
  <c r="H327" i="183"/>
  <c r="H326" i="183"/>
  <c r="H325" i="183"/>
  <c r="H324" i="183"/>
  <c r="H323" i="183"/>
  <c r="H322" i="183"/>
  <c r="H321" i="183"/>
  <c r="H320" i="183"/>
  <c r="H319" i="183"/>
  <c r="H318" i="183"/>
  <c r="H317" i="183"/>
  <c r="H316" i="183"/>
  <c r="H315" i="183"/>
  <c r="H314" i="183"/>
  <c r="H313" i="183"/>
  <c r="H312" i="183"/>
  <c r="H311" i="183"/>
  <c r="H310" i="183"/>
  <c r="H309" i="183"/>
  <c r="H308" i="183"/>
  <c r="H307" i="183"/>
  <c r="H306" i="183"/>
  <c r="H305" i="183"/>
  <c r="H304" i="183"/>
  <c r="H303" i="183"/>
  <c r="H302" i="183"/>
  <c r="H301" i="183"/>
  <c r="H300" i="183"/>
  <c r="H299" i="183"/>
  <c r="H298" i="183"/>
  <c r="H297" i="183"/>
  <c r="H296" i="183"/>
  <c r="H295" i="183"/>
  <c r="H294" i="183"/>
  <c r="H293" i="183"/>
  <c r="H292" i="183"/>
  <c r="H291" i="183"/>
  <c r="H290" i="183"/>
  <c r="H289" i="183"/>
  <c r="H288" i="183"/>
  <c r="H287" i="183"/>
  <c r="H286" i="183"/>
  <c r="H285" i="183"/>
  <c r="H284" i="183"/>
  <c r="H283" i="183"/>
  <c r="H282" i="183"/>
  <c r="H281" i="183"/>
  <c r="H280" i="183"/>
  <c r="H279" i="183"/>
  <c r="H278" i="183"/>
  <c r="H277" i="183"/>
  <c r="H276" i="183"/>
  <c r="H275" i="183"/>
  <c r="H274" i="183"/>
  <c r="H273" i="183"/>
  <c r="H272" i="183"/>
  <c r="H271" i="183"/>
  <c r="H270" i="183"/>
  <c r="H269" i="183"/>
  <c r="H268" i="183"/>
  <c r="H267" i="183"/>
  <c r="H266" i="183"/>
  <c r="H265" i="183"/>
  <c r="H264" i="183"/>
  <c r="H263" i="183"/>
  <c r="H262" i="183"/>
  <c r="H261" i="183"/>
  <c r="H260" i="183"/>
  <c r="H259" i="183"/>
  <c r="H258" i="183"/>
  <c r="H257" i="183"/>
  <c r="H256" i="183"/>
  <c r="H255" i="183"/>
  <c r="H254" i="183"/>
  <c r="H253" i="183"/>
  <c r="H252" i="183"/>
  <c r="H251" i="183"/>
  <c r="H250" i="183"/>
  <c r="H249" i="183"/>
  <c r="H248" i="183"/>
  <c r="H247" i="183"/>
  <c r="H246" i="183"/>
  <c r="H245" i="183"/>
  <c r="H244" i="183"/>
  <c r="H243" i="183"/>
  <c r="H242" i="183"/>
  <c r="H241" i="183"/>
  <c r="H240" i="183"/>
  <c r="H239" i="183"/>
  <c r="H238" i="183"/>
  <c r="H237" i="183"/>
  <c r="H236" i="183"/>
  <c r="H235" i="183"/>
  <c r="H234" i="183"/>
  <c r="H233" i="183"/>
  <c r="H232" i="183"/>
  <c r="H231" i="183"/>
  <c r="H230" i="183"/>
  <c r="H229" i="183"/>
  <c r="H228" i="183"/>
  <c r="H227" i="183"/>
  <c r="H226" i="183"/>
  <c r="H225" i="183"/>
  <c r="H224" i="183"/>
  <c r="H223" i="183"/>
  <c r="H222" i="183"/>
  <c r="H221" i="183"/>
  <c r="H220" i="183"/>
  <c r="H219" i="183"/>
  <c r="H218" i="183"/>
  <c r="H217" i="183"/>
  <c r="H216" i="183"/>
  <c r="H215" i="183"/>
  <c r="H214" i="183"/>
  <c r="H213" i="183"/>
  <c r="H212" i="183"/>
  <c r="H211" i="183"/>
  <c r="H210" i="183"/>
  <c r="H209" i="183"/>
  <c r="H208" i="183"/>
  <c r="H207" i="183"/>
  <c r="H206" i="183"/>
  <c r="H205" i="183"/>
  <c r="H204" i="183"/>
  <c r="H203" i="183"/>
  <c r="H202" i="183"/>
  <c r="H201" i="183"/>
  <c r="H200" i="183"/>
  <c r="H199" i="183"/>
  <c r="H198" i="183"/>
  <c r="H197" i="183"/>
  <c r="H196" i="183"/>
  <c r="H195" i="183"/>
  <c r="H194" i="183"/>
  <c r="H193" i="183"/>
  <c r="H192" i="183"/>
  <c r="H191" i="183"/>
  <c r="H190" i="183"/>
  <c r="H189" i="183"/>
  <c r="H188" i="183"/>
  <c r="H187" i="183"/>
  <c r="H186" i="183"/>
  <c r="H185" i="183"/>
  <c r="H184" i="183"/>
  <c r="H183" i="183"/>
  <c r="H182" i="183"/>
  <c r="H181" i="183"/>
  <c r="H180" i="183"/>
  <c r="H179" i="183"/>
  <c r="H178" i="183"/>
  <c r="H177" i="183"/>
  <c r="H176" i="183"/>
  <c r="H175" i="183"/>
  <c r="H174" i="183"/>
  <c r="H173" i="183"/>
  <c r="H172" i="183"/>
  <c r="H171" i="183"/>
  <c r="H170" i="183"/>
  <c r="H169" i="183"/>
  <c r="H168" i="183"/>
  <c r="H167" i="183"/>
  <c r="H166" i="183"/>
  <c r="H165" i="183"/>
  <c r="H164" i="183"/>
  <c r="H163" i="183"/>
  <c r="H162" i="183"/>
  <c r="H161" i="183"/>
  <c r="H160" i="183"/>
  <c r="H159" i="183"/>
  <c r="H158" i="183"/>
  <c r="H157" i="183"/>
  <c r="H156" i="183"/>
  <c r="H155" i="183"/>
  <c r="H154" i="183"/>
  <c r="H153" i="183"/>
  <c r="H152" i="183"/>
  <c r="H151" i="183"/>
  <c r="H150" i="183"/>
  <c r="H149" i="183"/>
  <c r="H148" i="183"/>
  <c r="H147" i="183"/>
  <c r="H146" i="183"/>
  <c r="H145" i="183"/>
  <c r="H144" i="183"/>
  <c r="H143" i="183"/>
  <c r="H142" i="183"/>
  <c r="H141" i="183"/>
  <c r="H140" i="183"/>
  <c r="H139" i="183"/>
  <c r="H138" i="183"/>
  <c r="H137" i="183"/>
  <c r="H136" i="183"/>
  <c r="H135" i="183"/>
  <c r="H134" i="183"/>
  <c r="H133" i="183"/>
  <c r="H132" i="183"/>
  <c r="H131" i="183"/>
  <c r="H130" i="183"/>
  <c r="H129" i="183"/>
  <c r="H128" i="183"/>
  <c r="H127" i="183"/>
  <c r="H126" i="183"/>
  <c r="H125" i="183"/>
  <c r="H124" i="183"/>
  <c r="H123" i="183"/>
  <c r="H122" i="183"/>
  <c r="H121" i="183"/>
  <c r="H120" i="183"/>
  <c r="H119" i="183"/>
  <c r="H118" i="183"/>
  <c r="H117" i="183"/>
  <c r="H116" i="183"/>
  <c r="H115" i="183"/>
  <c r="H114" i="183"/>
  <c r="H113" i="183"/>
  <c r="H112" i="183"/>
  <c r="H111" i="183"/>
  <c r="H110" i="183"/>
  <c r="H109" i="183"/>
  <c r="H108" i="183"/>
  <c r="H107" i="183"/>
  <c r="H106" i="183"/>
  <c r="H105" i="183"/>
  <c r="H104" i="183"/>
  <c r="H103" i="183"/>
  <c r="H102" i="183"/>
  <c r="H101" i="183"/>
  <c r="H100" i="183"/>
  <c r="H99" i="183"/>
  <c r="H98" i="183"/>
  <c r="H97" i="183"/>
  <c r="H96" i="183"/>
  <c r="H95" i="183"/>
  <c r="H94" i="183"/>
  <c r="H93" i="183"/>
  <c r="H92" i="183"/>
  <c r="H91" i="183"/>
  <c r="H90" i="183"/>
  <c r="H89" i="183"/>
  <c r="H88" i="183"/>
  <c r="H87" i="183"/>
  <c r="H86" i="183"/>
  <c r="H85" i="183"/>
  <c r="H84" i="183"/>
  <c r="H83" i="183"/>
  <c r="H82" i="183"/>
  <c r="H81" i="183"/>
  <c r="H80" i="183"/>
  <c r="H79" i="183"/>
  <c r="H78" i="183"/>
  <c r="H77" i="183"/>
  <c r="H76" i="183"/>
  <c r="H75" i="183"/>
  <c r="H74" i="183"/>
  <c r="H73" i="183"/>
  <c r="H72" i="183"/>
  <c r="H71" i="183"/>
  <c r="H70" i="183"/>
  <c r="H69" i="183"/>
  <c r="H68" i="183"/>
  <c r="H67" i="183"/>
  <c r="H66" i="183"/>
  <c r="H65" i="183"/>
  <c r="H64" i="183"/>
  <c r="H63" i="183"/>
  <c r="H62" i="183"/>
  <c r="H61" i="183"/>
  <c r="H60" i="183"/>
  <c r="H59" i="183"/>
  <c r="H58" i="183"/>
  <c r="H57" i="183"/>
  <c r="H56" i="183"/>
  <c r="H55" i="183"/>
  <c r="H54" i="183"/>
  <c r="H53" i="183"/>
  <c r="H52" i="183"/>
  <c r="H51" i="183"/>
  <c r="H50" i="183"/>
  <c r="H49" i="183"/>
  <c r="H48" i="183"/>
  <c r="H47" i="183"/>
  <c r="H46" i="183"/>
  <c r="H45" i="183"/>
  <c r="H44" i="183"/>
  <c r="H43" i="183"/>
  <c r="H42" i="183"/>
  <c r="H41" i="183"/>
  <c r="H40" i="183"/>
  <c r="H39" i="183"/>
  <c r="H38" i="183"/>
  <c r="H37" i="183"/>
  <c r="H36" i="183"/>
  <c r="H35" i="183"/>
  <c r="H34" i="183"/>
  <c r="H33" i="183"/>
  <c r="H32" i="183"/>
  <c r="H31" i="183"/>
  <c r="H30" i="183"/>
  <c r="H29" i="183"/>
  <c r="H28" i="183"/>
  <c r="H27" i="183"/>
  <c r="H26" i="183"/>
  <c r="H25" i="183"/>
  <c r="H24" i="183"/>
  <c r="H23" i="183"/>
  <c r="H22" i="183"/>
  <c r="H21" i="183"/>
  <c r="H20" i="183"/>
  <c r="H19" i="183"/>
  <c r="H18" i="183"/>
  <c r="H17" i="183"/>
  <c r="H16" i="183"/>
  <c r="H15" i="183"/>
  <c r="H14" i="183"/>
  <c r="H13" i="183"/>
  <c r="H12" i="183"/>
  <c r="H11" i="183"/>
  <c r="H10" i="183"/>
  <c r="H9" i="183"/>
  <c r="H8" i="183"/>
  <c r="H7" i="183"/>
  <c r="H6" i="183"/>
  <c r="H5" i="183"/>
  <c r="H4" i="183"/>
  <c r="H3" i="18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I34" i="182" s="1"/>
  <c r="H12" i="182"/>
  <c r="J11" i="182"/>
  <c r="I11" i="182"/>
  <c r="H11" i="182"/>
  <c r="J34" i="182" l="1"/>
  <c r="H34" i="182"/>
  <c r="K34" i="182" s="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E41" i="181"/>
  <c r="F41" i="181" s="1"/>
  <c r="G41" i="181" s="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E32" i="181"/>
  <c r="F32" i="181" s="1"/>
  <c r="G32" i="181" s="1"/>
  <c r="F31" i="181"/>
  <c r="G31" i="181" s="1"/>
  <c r="E31" i="181"/>
  <c r="E30" i="181"/>
  <c r="F30" i="181" s="1"/>
  <c r="G30" i="181" s="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3" l="1"/>
  <c r="B2" i="174"/>
  <c r="A2" i="170"/>
  <c r="B2" i="177"/>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D7769" i="106" s="1"/>
  <c r="B7768" i="106"/>
  <c r="B7766" i="106"/>
  <c r="D7766" i="106" s="1"/>
  <c r="B7765" i="106"/>
  <c r="D7765" i="106" s="1"/>
  <c r="B7764" i="106"/>
  <c r="D7764" i="106" s="1"/>
  <c r="J85" i="28"/>
  <c r="B7758" i="106" s="1"/>
  <c r="D7758" i="106" s="1"/>
  <c r="J88" i="28"/>
  <c r="K6" i="29"/>
  <c r="B7763" i="106" s="1"/>
  <c r="B7762" i="106"/>
  <c r="D7762" i="106" s="1"/>
  <c r="K12" i="12"/>
  <c r="K23" i="12"/>
  <c r="K24" i="12" s="1"/>
  <c r="B7733" i="106" s="1"/>
  <c r="D7733" i="106" s="1"/>
  <c r="J12" i="12"/>
  <c r="J21" i="12"/>
  <c r="J23" i="12" s="1"/>
  <c r="B7729" i="106"/>
  <c r="D7729" i="106" s="1"/>
  <c r="B7734" i="106"/>
  <c r="B7726" i="106"/>
  <c r="D7726" i="106" s="1"/>
  <c r="D76" i="36"/>
  <c r="F162" i="34"/>
  <c r="B30" i="36"/>
  <c r="B33" i="36" s="1"/>
  <c r="B43" i="36" s="1"/>
  <c r="B56" i="36" s="1"/>
  <c r="B66" i="36" s="1"/>
  <c r="B70" i="36" s="1"/>
  <c r="B74" i="36" s="1"/>
  <c r="D73" i="36"/>
  <c r="C191" i="5"/>
  <c r="C201" i="5"/>
  <c r="C211" i="5"/>
  <c r="B5260" i="106" s="1"/>
  <c r="D5260" i="106" s="1"/>
  <c r="C216" i="5"/>
  <c r="C224" i="5"/>
  <c r="C228" i="5"/>
  <c r="C259" i="5"/>
  <c r="B6833" i="106" s="1"/>
  <c r="D6833" i="106" s="1"/>
  <c r="B7761" i="106"/>
  <c r="D7761" i="106" s="1"/>
  <c r="L127" i="29"/>
  <c r="L129" i="29" s="1"/>
  <c r="L139" i="29"/>
  <c r="L149" i="29"/>
  <c r="I7" i="145"/>
  <c r="I6" i="145"/>
  <c r="D78" i="36"/>
  <c r="K75" i="29"/>
  <c r="K130" i="29"/>
  <c r="F56" i="34" s="1"/>
  <c r="K185" i="29"/>
  <c r="K122" i="29"/>
  <c r="F15" i="145" s="1"/>
  <c r="F19" i="145" s="1"/>
  <c r="K67" i="29"/>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K97" i="29"/>
  <c r="B7005" i="106" s="1"/>
  <c r="D7005" i="106" s="1"/>
  <c r="K98" i="29"/>
  <c r="B7007" i="106" s="1"/>
  <c r="D7007" i="106" s="1"/>
  <c r="K99" i="29"/>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B7084" i="106" s="1"/>
  <c r="D7084" i="106" s="1"/>
  <c r="K250" i="29"/>
  <c r="B7086" i="106" s="1"/>
  <c r="D7086" i="106" s="1"/>
  <c r="K251" i="29"/>
  <c r="B7088" i="106" s="1"/>
  <c r="D7088" i="106" s="1"/>
  <c r="K252" i="29"/>
  <c r="B7090" i="106" s="1"/>
  <c r="D7090" i="106" s="1"/>
  <c r="K253" i="29"/>
  <c r="K254" i="29"/>
  <c r="B7094" i="106" s="1"/>
  <c r="D7094" i="106" s="1"/>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c r="D1869" i="106" s="1"/>
  <c r="F11" i="8"/>
  <c r="B1870" i="106" s="1"/>
  <c r="D1870" i="106" s="1"/>
  <c r="F8" i="8"/>
  <c r="B1871" i="106"/>
  <c r="D1871" i="106" s="1"/>
  <c r="F9" i="8"/>
  <c r="B1872" i="106" s="1"/>
  <c r="D1872" i="106" s="1"/>
  <c r="F10" i="8"/>
  <c r="B1873" i="106" s="1"/>
  <c r="D1873" i="106" s="1"/>
  <c r="F14" i="8"/>
  <c r="B1874" i="106" s="1"/>
  <c r="D1874" i="106" s="1"/>
  <c r="F13" i="8"/>
  <c r="B3688" i="106" s="1"/>
  <c r="D3688" i="106" s="1"/>
  <c r="F17" i="8"/>
  <c r="B1876" i="106" s="1"/>
  <c r="D1876" i="106" s="1"/>
  <c r="F18" i="8"/>
  <c r="B1877" i="106"/>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c r="B6349" i="106"/>
  <c r="D6349" i="106" s="1"/>
  <c r="B6350" i="106"/>
  <c r="D6350" i="106" s="1"/>
  <c r="B6353" i="106"/>
  <c r="D6353" i="106" s="1"/>
  <c r="B6354" i="106"/>
  <c r="D6354" i="106" s="1"/>
  <c r="B6355" i="106"/>
  <c r="D6355" i="106" s="1"/>
  <c r="B6356" i="106"/>
  <c r="D6356" i="106"/>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c r="B6371" i="106"/>
  <c r="D6371" i="106" s="1"/>
  <c r="B6372" i="106"/>
  <c r="D6372" i="106" s="1"/>
  <c r="B6373" i="106"/>
  <c r="D6373" i="106" s="1"/>
  <c r="B6374" i="106"/>
  <c r="D6374" i="106"/>
  <c r="B6375" i="106"/>
  <c r="D6375" i="106" s="1"/>
  <c r="B6376" i="106"/>
  <c r="D6376" i="106" s="1"/>
  <c r="B6377" i="106"/>
  <c r="D6377" i="106" s="1"/>
  <c r="B6378" i="106"/>
  <c r="D6378" i="106"/>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c r="B6655" i="106"/>
  <c r="D6655" i="106" s="1"/>
  <c r="B6656" i="106"/>
  <c r="D6656" i="106"/>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c r="B6668" i="106"/>
  <c r="D6668" i="106" s="1"/>
  <c r="B6669" i="106"/>
  <c r="D6669" i="106" s="1"/>
  <c r="B6670" i="106"/>
  <c r="D6670" i="106" s="1"/>
  <c r="B6671" i="106"/>
  <c r="D6671" i="106"/>
  <c r="B6672" i="106"/>
  <c r="D6672" i="106" s="1"/>
  <c r="B6673" i="106"/>
  <c r="D6673" i="106"/>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c r="B6722" i="106"/>
  <c r="D6722" i="106" s="1"/>
  <c r="B6723" i="106"/>
  <c r="D6723" i="106"/>
  <c r="B6724" i="106"/>
  <c r="D6724" i="106" s="1"/>
  <c r="B6725" i="106"/>
  <c r="D6725" i="106"/>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1" i="106"/>
  <c r="D7001" i="106" s="1"/>
  <c r="B7002" i="106"/>
  <c r="D7002" i="106" s="1"/>
  <c r="B7003" i="106"/>
  <c r="D7003" i="106" s="1"/>
  <c r="B7004" i="106"/>
  <c r="D7004" i="106" s="1"/>
  <c r="B7006" i="106"/>
  <c r="D7006" i="106" s="1"/>
  <c r="B7008" i="106"/>
  <c r="D7008" i="106" s="1"/>
  <c r="B7009" i="106"/>
  <c r="D7009" i="106" s="1"/>
  <c r="B7010" i="106"/>
  <c r="D7010" i="106" s="1"/>
  <c r="B7011" i="106"/>
  <c r="D7011"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5" i="106"/>
  <c r="D7075" i="106" s="1"/>
  <c r="B7077" i="106"/>
  <c r="D7077" i="106" s="1"/>
  <c r="B7078" i="106"/>
  <c r="D7078" i="106" s="1"/>
  <c r="B7079" i="106"/>
  <c r="D7079" i="106" s="1"/>
  <c r="B7081" i="106"/>
  <c r="D7081" i="106" s="1"/>
  <c r="B7082" i="106"/>
  <c r="D7082" i="106" s="1"/>
  <c r="B7083" i="106"/>
  <c r="D7083" i="106" s="1"/>
  <c r="B7085" i="106"/>
  <c r="D7085" i="106" s="1"/>
  <c r="B7087" i="106"/>
  <c r="D7087" i="106" s="1"/>
  <c r="B7089" i="106"/>
  <c r="D7089" i="106" s="1"/>
  <c r="B7091" i="106"/>
  <c r="D7091" i="106" s="1"/>
  <c r="B7092" i="106"/>
  <c r="D7092" i="106" s="1"/>
  <c r="B7093" i="106"/>
  <c r="D7093"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I26" i="12"/>
  <c r="B7741" i="106" s="1"/>
  <c r="D7741" i="106" s="1"/>
  <c r="K26" i="12"/>
  <c r="B7743" i="106" s="1"/>
  <c r="D7743"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3"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2" i="36"/>
  <c r="D69" i="36"/>
  <c r="D71" i="36"/>
  <c r="D72" i="36"/>
  <c r="D79" i="36"/>
  <c r="B64" i="127"/>
  <c r="B65" i="127"/>
  <c r="D26" i="108"/>
  <c r="F26" i="108"/>
  <c r="D27" i="108"/>
  <c r="E27" i="108"/>
  <c r="G27" i="108"/>
  <c r="G28" i="108"/>
  <c r="E29" i="108"/>
  <c r="D37" i="108"/>
  <c r="E31" i="108"/>
  <c r="G31" i="108"/>
  <c r="E33" i="108"/>
  <c r="G33" i="108"/>
  <c r="E34" i="108"/>
  <c r="E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F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F62" i="34"/>
  <c r="C63" i="34"/>
  <c r="D63" i="34"/>
  <c r="C64" i="34"/>
  <c r="F64" i="34"/>
  <c r="F66" i="34"/>
  <c r="C67" i="34"/>
  <c r="D67" i="34"/>
  <c r="F67" i="34"/>
  <c r="C68" i="34"/>
  <c r="D68" i="34"/>
  <c r="C69" i="34"/>
  <c r="D69" i="34"/>
  <c r="C70" i="34"/>
  <c r="D70" i="34"/>
  <c r="F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c r="D5526" i="106" s="1"/>
  <c r="F108" i="5"/>
  <c r="B5587" i="106" s="1"/>
  <c r="D5587" i="106" s="1"/>
  <c r="G108" i="5"/>
  <c r="B5737" i="106"/>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G172" i="5" s="1"/>
  <c r="G144" i="5"/>
  <c r="B5756" i="106" s="1"/>
  <c r="D5756" i="106" s="1"/>
  <c r="G154" i="5"/>
  <c r="C144" i="5"/>
  <c r="B5165" i="106" s="1"/>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I173" i="5"/>
  <c r="B4216" i="106" s="1"/>
  <c r="D4216"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c r="D6400" i="106" s="1"/>
  <c r="K178" i="5"/>
  <c r="B4951" i="106" s="1"/>
  <c r="D4951" i="106" s="1"/>
  <c r="C184" i="5"/>
  <c r="B5232" i="106" s="1"/>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F128" i="34" s="1"/>
  <c r="G191" i="5"/>
  <c r="B5246" i="106"/>
  <c r="D5246" i="106" s="1"/>
  <c r="G201" i="5"/>
  <c r="B6409" i="106" s="1"/>
  <c r="D6409" i="106" s="1"/>
  <c r="D211" i="5"/>
  <c r="B5444" i="106" s="1"/>
  <c r="D5444" i="106" s="1"/>
  <c r="F211" i="5"/>
  <c r="B5677" i="106" s="1"/>
  <c r="D5677" i="106" s="1"/>
  <c r="G211" i="5"/>
  <c r="B5803" i="106" s="1"/>
  <c r="D5803" i="106" s="1"/>
  <c r="D216" i="5"/>
  <c r="B4412" i="106"/>
  <c r="D4412" i="106" s="1"/>
  <c r="F216" i="5"/>
  <c r="B4413" i="106" s="1"/>
  <c r="D4413" i="106" s="1"/>
  <c r="G216" i="5"/>
  <c r="B4414" i="106"/>
  <c r="D4414" i="106" s="1"/>
  <c r="B5286" i="106"/>
  <c r="D5286" i="106" s="1"/>
  <c r="D224" i="5"/>
  <c r="B5470" i="106" s="1"/>
  <c r="D5470" i="106" s="1"/>
  <c r="F224" i="5"/>
  <c r="B5703" i="106" s="1"/>
  <c r="D5703" i="106" s="1"/>
  <c r="G224" i="5"/>
  <c r="B5829" i="106" s="1"/>
  <c r="D5829" i="106" s="1"/>
  <c r="B5304" i="106"/>
  <c r="D5304" i="106" s="1"/>
  <c r="D228" i="5"/>
  <c r="B5488" i="106" s="1"/>
  <c r="D5488" i="106" s="1"/>
  <c r="G228" i="5"/>
  <c r="G259" i="5"/>
  <c r="B6837" i="106" s="1"/>
  <c r="D6837"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D5" i="4"/>
  <c r="B3406" i="106" s="1"/>
  <c r="D3406" i="106" s="1"/>
  <c r="F14" i="4"/>
  <c r="B2597" i="106" s="1"/>
  <c r="D2597" i="106" s="1"/>
  <c r="B2633" i="106"/>
  <c r="D2633" i="106" s="1"/>
  <c r="D7" i="118"/>
  <c r="D8" i="118"/>
  <c r="D9" i="118"/>
  <c r="H14" i="118"/>
  <c r="H19" i="118"/>
  <c r="H24" i="118"/>
  <c r="H28" i="118"/>
  <c r="H29" i="118"/>
  <c r="D11" i="37"/>
  <c r="D22" i="37"/>
  <c r="J22" i="37"/>
  <c r="L22" i="37"/>
  <c r="D24" i="37"/>
  <c r="B4270" i="106" s="1"/>
  <c r="D4270" i="106" s="1"/>
  <c r="F136" i="34"/>
  <c r="B5847" i="106"/>
  <c r="D5847" i="106" s="1"/>
  <c r="B5752" i="106"/>
  <c r="D5752" i="106" s="1"/>
  <c r="K274" i="5"/>
  <c r="G173" i="5" l="1"/>
  <c r="B5778" i="106" s="1"/>
  <c r="D5778" i="106" s="1"/>
  <c r="B5770" i="106"/>
  <c r="D5770" i="106" s="1"/>
  <c r="H76" i="4"/>
  <c r="B3298" i="106" s="1"/>
  <c r="D3298" i="106" s="1"/>
  <c r="B7041" i="106"/>
  <c r="D7041" i="106" s="1"/>
  <c r="J77" i="4"/>
  <c r="B6262" i="106" s="1"/>
  <c r="D6262" i="106" s="1"/>
  <c r="D6103" i="106"/>
  <c r="F21" i="8"/>
  <c r="I274" i="5"/>
  <c r="L367" i="29"/>
  <c r="L5" i="11"/>
  <c r="H173" i="5"/>
  <c r="G5" i="4"/>
  <c r="B3409" i="106" s="1"/>
  <c r="D3409" i="106" s="1"/>
  <c r="K173" i="5"/>
  <c r="K6" i="4" s="1"/>
  <c r="B3570" i="106" s="1"/>
  <c r="D3570" i="106" s="1"/>
  <c r="B2895" i="106"/>
  <c r="D2895" i="106" s="1"/>
  <c r="L33" i="3"/>
  <c r="F131" i="34"/>
  <c r="G14" i="4"/>
  <c r="B2609" i="106" s="1"/>
  <c r="D2609" i="106" s="1"/>
  <c r="D14" i="4"/>
  <c r="B2570" i="106" s="1"/>
  <c r="D2570" i="106" s="1"/>
  <c r="B2805" i="106"/>
  <c r="D2805" i="106" s="1"/>
  <c r="G39" i="108"/>
  <c r="F71" i="34"/>
  <c r="F49" i="34"/>
  <c r="G35" i="108"/>
  <c r="D31" i="108"/>
  <c r="F35" i="34"/>
  <c r="G38" i="108"/>
  <c r="D68" i="36"/>
  <c r="L342" i="29"/>
  <c r="L312" i="29"/>
  <c r="B131" i="106"/>
  <c r="D131" i="106" s="1"/>
  <c r="N21" i="3"/>
  <c r="B282" i="106" s="1"/>
  <c r="D282" i="106" s="1"/>
  <c r="H365" i="29"/>
  <c r="B7242" i="106" s="1"/>
  <c r="D7242" i="106" s="1"/>
  <c r="I342" i="29"/>
  <c r="B7222" i="106" s="1"/>
  <c r="D7222" i="106" s="1"/>
  <c r="F130" i="34"/>
  <c r="H112" i="29"/>
  <c r="B7018" i="106" s="1"/>
  <c r="D7018" i="106" s="1"/>
  <c r="F50" i="34"/>
  <c r="F42" i="34"/>
  <c r="F46" i="34"/>
  <c r="F44" i="34"/>
  <c r="G29" i="108"/>
  <c r="F41" i="34"/>
  <c r="F45" i="34"/>
  <c r="F37" i="108"/>
  <c r="B2724" i="106"/>
  <c r="D2724" i="106" s="1"/>
  <c r="D36" i="108"/>
  <c r="D41" i="108" s="1"/>
  <c r="E43" i="108" s="1"/>
  <c r="E26" i="108"/>
  <c r="F72" i="34"/>
  <c r="F34" i="34"/>
  <c r="E30" i="108"/>
  <c r="B7076" i="106"/>
  <c r="D7076" i="106" s="1"/>
  <c r="B1274" i="106"/>
  <c r="D1274" i="106" s="1"/>
  <c r="F36" i="108"/>
  <c r="E38" i="108"/>
  <c r="G30" i="108"/>
  <c r="G26" i="108"/>
  <c r="B6995" i="106"/>
  <c r="D6995" i="106" s="1"/>
  <c r="B1124" i="106"/>
  <c r="D1124" i="106" s="1"/>
  <c r="F127" i="34"/>
  <c r="D13" i="7"/>
  <c r="B3726" i="106" s="1"/>
  <c r="D3726" i="106" s="1"/>
  <c r="L13" i="11"/>
  <c r="L15" i="11"/>
  <c r="B3459" i="106" s="1"/>
  <c r="D3459" i="106" s="1"/>
  <c r="N22" i="3"/>
  <c r="B283" i="106" s="1"/>
  <c r="D283" i="106" s="1"/>
  <c r="H33" i="118"/>
  <c r="K184" i="29"/>
  <c r="F13" i="4" s="1"/>
  <c r="B2596" i="106" s="1"/>
  <c r="D2596" i="106" s="1"/>
  <c r="F172" i="5"/>
  <c r="B5644" i="106" s="1"/>
  <c r="D5644" i="106" s="1"/>
  <c r="J352" i="29"/>
  <c r="J367" i="29" s="1"/>
  <c r="B7245" i="106" s="1"/>
  <c r="D7245" i="106" s="1"/>
  <c r="K350" i="29"/>
  <c r="B3670" i="106" s="1"/>
  <c r="D3670" i="106" s="1"/>
  <c r="B3649" i="106"/>
  <c r="D3649" i="106" s="1"/>
  <c r="G367" i="29"/>
  <c r="B3650" i="106" s="1"/>
  <c r="D3650" i="106" s="1"/>
  <c r="B7235" i="106"/>
  <c r="D7235" i="106" s="1"/>
  <c r="B3647" i="106"/>
  <c r="D3647" i="106" s="1"/>
  <c r="C352" i="29"/>
  <c r="C342" i="29"/>
  <c r="B7216" i="106" s="1"/>
  <c r="D7216" i="106" s="1"/>
  <c r="K285" i="29"/>
  <c r="B1410" i="106"/>
  <c r="D1410" i="106" s="1"/>
  <c r="G210" i="29"/>
  <c r="B1329" i="106"/>
  <c r="D1329" i="106" s="1"/>
  <c r="F61" i="34"/>
  <c r="B1223" i="106"/>
  <c r="D1223" i="106" s="1"/>
  <c r="G15" i="145"/>
  <c r="C14" i="4"/>
  <c r="B2558" i="106" s="1"/>
  <c r="D2558" i="106" s="1"/>
  <c r="F52" i="34"/>
  <c r="F28" i="108"/>
  <c r="E28" i="108"/>
  <c r="F36" i="34"/>
  <c r="H109" i="5"/>
  <c r="B6025" i="106" s="1"/>
  <c r="D6025" i="106" s="1"/>
  <c r="G109" i="5"/>
  <c r="E109" i="5"/>
  <c r="E4" i="4" s="1"/>
  <c r="B2630" i="106" s="1"/>
  <c r="D2630" i="106" s="1"/>
  <c r="D109" i="5"/>
  <c r="B5356" i="106" s="1"/>
  <c r="D5356" i="106" s="1"/>
  <c r="B4411" i="106"/>
  <c r="D4411" i="106" s="1"/>
  <c r="B5096" i="106"/>
  <c r="D5096" i="106" s="1"/>
  <c r="F106" i="34"/>
  <c r="C172" i="5"/>
  <c r="B5214" i="106" s="1"/>
  <c r="D5214" i="106" s="1"/>
  <c r="F111" i="34"/>
  <c r="C109" i="5"/>
  <c r="B5121" i="106" s="1"/>
  <c r="D5121" i="106" s="1"/>
  <c r="B1746" i="106"/>
  <c r="D1746" i="106" s="1"/>
  <c r="D12" i="7"/>
  <c r="B1769" i="106" s="1"/>
  <c r="D1769" i="106" s="1"/>
  <c r="D4" i="7"/>
  <c r="B1760" i="106" s="1"/>
  <c r="D1760" i="106" s="1"/>
  <c r="D11" i="7"/>
  <c r="B1768" i="106" s="1"/>
  <c r="D1768" i="106" s="1"/>
  <c r="D7" i="7"/>
  <c r="B1763" i="106" s="1"/>
  <c r="D1763" i="106" s="1"/>
  <c r="D15" i="7"/>
  <c r="B1772" i="106" s="1"/>
  <c r="D1772" i="106" s="1"/>
  <c r="D5" i="7"/>
  <c r="B1761" i="106" s="1"/>
  <c r="D1761" i="106" s="1"/>
  <c r="D9" i="7"/>
  <c r="B1767" i="106" s="1"/>
  <c r="D1767" i="106" s="1"/>
  <c r="K28" i="118"/>
  <c r="O27" i="118" s="1"/>
  <c r="O29" i="118" s="1"/>
  <c r="D17" i="7"/>
  <c r="B4104" i="106" s="1"/>
  <c r="D410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F6" i="4" s="1"/>
  <c r="B2593" i="106" s="1"/>
  <c r="D259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D352" i="29"/>
  <c r="D367" i="29" s="1"/>
  <c r="B3629" i="106" s="1"/>
  <c r="D3629" i="106" s="1"/>
  <c r="I76" i="4"/>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G6" i="4"/>
  <c r="B2604" i="106" s="1"/>
  <c r="D2604" i="106" s="1"/>
  <c r="B6022" i="106"/>
  <c r="D6022" i="106" s="1"/>
  <c r="D44" i="36"/>
  <c r="E273" i="5"/>
  <c r="B6835" i="106"/>
  <c r="D6835" i="106" s="1"/>
  <c r="G273" i="5"/>
  <c r="B4398" i="106"/>
  <c r="D4398" i="106" s="1"/>
  <c r="B5537" i="106"/>
  <c r="D5537" i="106" s="1"/>
  <c r="E173" i="5"/>
  <c r="I109" i="5"/>
  <c r="L279" i="29"/>
  <c r="L295" i="29" s="1"/>
  <c r="L74" i="29"/>
  <c r="K33" i="29"/>
  <c r="B720" i="106"/>
  <c r="D720" i="106" s="1"/>
  <c r="B7618" i="106"/>
  <c r="L14" i="11"/>
  <c r="B7623" i="106" s="1"/>
  <c r="D7252" i="106"/>
  <c r="D7250" i="106"/>
  <c r="B7230" i="106"/>
  <c r="D7230" i="106" s="1"/>
  <c r="I352" i="29"/>
  <c r="I367" i="29" s="1"/>
  <c r="B7215" i="106"/>
  <c r="D7215" i="106"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K77" i="4"/>
  <c r="B3587" i="106" s="1"/>
  <c r="D3587" i="106" s="1"/>
  <c r="B3296" i="106"/>
  <c r="D3296" i="106" s="1"/>
  <c r="H77" i="4"/>
  <c r="B3299" i="106" s="1"/>
  <c r="D3299" i="106" s="1"/>
  <c r="G77" i="4"/>
  <c r="B3261" i="106" s="1"/>
  <c r="D3261" i="106" s="1"/>
  <c r="L12" i="11"/>
  <c r="L8" i="1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J7" i="4"/>
  <c r="D274" i="5"/>
  <c r="B7270" i="106"/>
  <c r="B2059" i="106" l="1"/>
  <c r="D2059" i="106" s="1"/>
  <c r="M19" i="3"/>
  <c r="B276" i="106" s="1"/>
  <c r="D276" i="106" s="1"/>
  <c r="F274" i="5"/>
  <c r="F275" i="5" s="1"/>
  <c r="B5720" i="106" s="1"/>
  <c r="D5720" i="106" s="1"/>
  <c r="B2058" i="106"/>
  <c r="D2058" i="106" s="1"/>
  <c r="M18" i="3"/>
  <c r="B275" i="106" s="1"/>
  <c r="D275" i="106" s="1"/>
  <c r="B2057" i="106"/>
  <c r="D2057" i="106" s="1"/>
  <c r="M17" i="3"/>
  <c r="B274" i="106" s="1"/>
  <c r="D274" i="106" s="1"/>
  <c r="L34" i="3"/>
  <c r="B2914" i="106"/>
  <c r="D2914" i="106" s="1"/>
  <c r="B5906" i="106"/>
  <c r="D5906" i="106" s="1"/>
  <c r="H6" i="4"/>
  <c r="B2656" i="106" s="1"/>
  <c r="D2656" i="106" s="1"/>
  <c r="B1879" i="106"/>
  <c r="D1879" i="106" s="1"/>
  <c r="H22" i="37"/>
  <c r="B2060" i="106"/>
  <c r="D2060" i="106" s="1"/>
  <c r="M20" i="3"/>
  <c r="B2864" i="106" s="1"/>
  <c r="D2864" i="106" s="1"/>
  <c r="B2056" i="106"/>
  <c r="D2056" i="106" s="1"/>
  <c r="M16" i="3"/>
  <c r="K365" i="29"/>
  <c r="L114" i="29"/>
  <c r="F41" i="108"/>
  <c r="G43" i="108" s="1"/>
  <c r="B1381" i="106"/>
  <c r="D1381" i="106" s="1"/>
  <c r="B1266" i="106"/>
  <c r="D1266" i="106" s="1"/>
  <c r="B1328" i="106"/>
  <c r="D1328" i="106" s="1"/>
  <c r="B5653" i="106"/>
  <c r="D5653" i="106" s="1"/>
  <c r="B3628" i="106"/>
  <c r="D3628" i="106" s="1"/>
  <c r="L16" i="11"/>
  <c r="B2061" i="106" s="1"/>
  <c r="D2061" i="106" s="1"/>
  <c r="B2031" i="106"/>
  <c r="D2031" i="106" s="1"/>
  <c r="K352" i="29"/>
  <c r="K367" i="29" s="1"/>
  <c r="B3621" i="106"/>
  <c r="D3621" i="106" s="1"/>
  <c r="C367" i="29"/>
  <c r="B3622" i="106" s="1"/>
  <c r="D3622" i="106" s="1"/>
  <c r="H367" i="29"/>
  <c r="B3660" i="106" s="1"/>
  <c r="D3660" i="106" s="1"/>
  <c r="K342" i="29"/>
  <c r="F13" i="34" s="1"/>
  <c r="F73" i="34"/>
  <c r="G15" i="4"/>
  <c r="B6032" i="106" s="1"/>
  <c r="D6032" i="106" s="1"/>
  <c r="B3724" i="106"/>
  <c r="D3724" i="106" s="1"/>
  <c r="B1365" i="106"/>
  <c r="D1365" i="106" s="1"/>
  <c r="F65" i="34"/>
  <c r="B1317" i="106"/>
  <c r="D1317" i="106" s="1"/>
  <c r="C114" i="29"/>
  <c r="B757" i="106" s="1"/>
  <c r="D757" i="106" s="1"/>
  <c r="H4" i="4"/>
  <c r="B2655" i="106" s="1"/>
  <c r="D2655" i="106" s="1"/>
  <c r="B6024" i="106"/>
  <c r="D6024" i="106" s="1"/>
  <c r="G4" i="4"/>
  <c r="B2603" i="106" s="1"/>
  <c r="D2603" i="106" s="1"/>
  <c r="B5527" i="106"/>
  <c r="D5527" i="106" s="1"/>
  <c r="D4" i="4"/>
  <c r="B2564" i="106" s="1"/>
  <c r="D2564" i="106" s="1"/>
  <c r="C173" i="5"/>
  <c r="B5223" i="106" s="1"/>
  <c r="D5223" i="106" s="1"/>
  <c r="C4" i="4"/>
  <c r="B2551" i="106" s="1"/>
  <c r="D2551" i="106" s="1"/>
  <c r="D19" i="7"/>
  <c r="B1775" i="106" s="1"/>
  <c r="D1775"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B5719" i="106"/>
  <c r="D5719" i="106" s="1"/>
  <c r="G22" i="108"/>
  <c r="B1119" i="106"/>
  <c r="D1119" i="106" s="1"/>
  <c r="E22" i="108"/>
  <c r="G12" i="145"/>
  <c r="G19" i="145" s="1"/>
  <c r="J20" i="145" s="1"/>
  <c r="E19" i="145"/>
  <c r="B5915" i="106"/>
  <c r="D5915" i="106" s="1"/>
  <c r="B6222" i="106"/>
  <c r="D6222" i="106" s="1"/>
  <c r="D7" i="4"/>
  <c r="B5507" i="106"/>
  <c r="D5507" i="106" s="1"/>
  <c r="B7298" i="106"/>
  <c r="B7299" i="106"/>
  <c r="B2916" i="106" l="1"/>
  <c r="D2916" i="106" s="1"/>
  <c r="L41" i="3"/>
  <c r="F7" i="4"/>
  <c r="B2594" i="106" s="1"/>
  <c r="D2594" i="106" s="1"/>
  <c r="B273" i="106"/>
  <c r="D273" i="106" s="1"/>
  <c r="M23" i="3"/>
  <c r="B7224" i="106"/>
  <c r="D7224" i="106" s="1"/>
  <c r="K13" i="4"/>
  <c r="B3572" i="106" s="1"/>
  <c r="D3572" i="106" s="1"/>
  <c r="B3672" i="106"/>
  <c r="D3672" i="106" s="1"/>
  <c r="B1145" i="106"/>
  <c r="D1145" i="106" s="1"/>
  <c r="H8" i="4"/>
  <c r="C6" i="4"/>
  <c r="B2553" i="106" s="1"/>
  <c r="D2553" i="106" s="1"/>
  <c r="J17" i="4"/>
  <c r="B6227" i="106" s="1"/>
  <c r="D6227" i="106" s="1"/>
  <c r="J8" i="4"/>
  <c r="J10" i="4" s="1"/>
  <c r="B6225" i="106" s="1"/>
  <c r="D6225" i="106" s="1"/>
  <c r="F8" i="4"/>
  <c r="F10" i="4" s="1"/>
  <c r="B4125" i="106" s="1"/>
  <c r="D4125" i="106" s="1"/>
  <c r="E41" i="108"/>
  <c r="E44" i="108" s="1"/>
  <c r="E45" i="108" s="1"/>
  <c r="G41" i="108"/>
  <c r="G44" i="108" s="1"/>
  <c r="G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5508" i="106"/>
  <c r="D5508" i="106" s="1"/>
  <c r="B2567" i="106"/>
  <c r="D2567" i="106" s="1"/>
  <c r="B2917" i="106" l="1"/>
  <c r="D2917" i="106" s="1"/>
  <c r="D53" i="36"/>
  <c r="B279" i="106"/>
  <c r="D279" i="106" s="1"/>
  <c r="M40" i="3"/>
  <c r="B6223" i="106"/>
  <c r="D6223" i="106" s="1"/>
  <c r="J19" i="4"/>
  <c r="B6229" i="106" s="1"/>
  <c r="D6229" i="106" s="1"/>
  <c r="H10" i="4"/>
  <c r="B4127" i="106" s="1"/>
  <c r="D4127" i="106" s="1"/>
  <c r="B2658" i="106"/>
  <c r="D2658" i="106" s="1"/>
  <c r="D8" i="4"/>
  <c r="D10" i="4" s="1"/>
  <c r="B4123" i="106" s="1"/>
  <c r="D4123" i="106" s="1"/>
  <c r="J20" i="4"/>
  <c r="J78" i="4" s="1"/>
  <c r="F76" i="34"/>
  <c r="B2595" i="106"/>
  <c r="D2595" i="106" s="1"/>
  <c r="D10" i="171"/>
  <c r="D19" i="171" s="1"/>
  <c r="D32" i="171" s="1"/>
  <c r="D49" i="171" s="1"/>
  <c r="D8" i="146"/>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B280" i="106" l="1"/>
  <c r="D280" i="106" s="1"/>
  <c r="M41" i="3"/>
  <c r="C8" i="146"/>
  <c r="B2568" i="106"/>
  <c r="D2568" i="106" s="1"/>
  <c r="D20" i="4"/>
  <c r="D78" i="4" s="1"/>
  <c r="H13" i="118"/>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B281" i="106" l="1"/>
  <c r="D281" i="106" s="1"/>
  <c r="D54" i="36"/>
  <c r="F179" i="34"/>
  <c r="F79" i="34"/>
  <c r="F8" i="146"/>
  <c r="B2574" i="106"/>
  <c r="D2574" i="106" s="1"/>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D64" i="36"/>
  <c r="J82" i="4"/>
  <c r="B6266" i="106"/>
  <c r="D6266" i="106" s="1"/>
  <c r="D81" i="4"/>
  <c r="B3239" i="106"/>
  <c r="D3239" i="106" s="1"/>
  <c r="F181" i="34" l="1"/>
  <c r="F183" i="34" s="1"/>
  <c r="F10" i="146"/>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O17" i="118" l="1"/>
  <c r="O20" i="118" s="1"/>
  <c r="O35" i="118" s="1"/>
  <c r="O37" i="118" s="1"/>
  <c r="K20" i="118"/>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comments5.xml><?xml version="1.0" encoding="utf-8"?>
<comments xmlns="http://schemas.openxmlformats.org/spreadsheetml/2006/main">
  <authors>
    <author>Fielding</author>
  </authors>
  <commentList>
    <comment ref="A2" authorId="0" shapeId="0">
      <text>
        <r>
          <rPr>
            <sz val="9"/>
            <color indexed="81"/>
            <rFont val="Tahoma"/>
            <family val="2"/>
          </rPr>
          <t xml:space="preserve">Fielding:
</t>
        </r>
        <r>
          <rPr>
            <u/>
            <sz val="9"/>
            <color indexed="81"/>
            <rFont val="Tahoma"/>
            <family val="2"/>
          </rPr>
          <t>COPY TO AFR and UPDATE ACCOUNT NUMBERS TO MATCH AFR BY FINDING AND REPLACING "A000", "E000", "E300","R000" &amp; REPLACE WITH "-". REMOVE "CR". SPLIT THE FIRST COLUMN TO ONLY SHOW FIRST THREE SETS OF NUMBERS. MAKE JOURNAL ENTRY ADJUSTMENTS ON THE TB NOT THE AFR</t>
        </r>
      </text>
    </comment>
  </commentList>
</comments>
</file>

<file path=xl/sharedStrings.xml><?xml version="1.0" encoding="utf-8"?>
<sst xmlns="http://schemas.openxmlformats.org/spreadsheetml/2006/main" count="7739" uniqueCount="3455">
  <si>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</si>
  <si>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</si>
  <si>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</si>
  <si>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</si>
  <si>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</si>
  <si>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</si>
  <si>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</si>
  <si>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</si>
  <si>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</si>
  <si>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</si>
  <si>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</si>
  <si>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</si>
  <si>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</si>
  <si>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</si>
  <si>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</si>
  <si>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</si>
  <si>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</si>
  <si>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</si>
  <si>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</si>
  <si>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</si>
  <si>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</si>
  <si>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</si>
  <si>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</si>
  <si>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</si>
  <si>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</si>
  <si>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</si>
  <si>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</si>
  <si>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</si>
  <si>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</si>
  <si>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</si>
  <si>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</si>
  <si>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</si>
  <si>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</si>
  <si>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</si>
  <si>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</si>
  <si>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</si>
  <si>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</si>
  <si>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</si>
  <si>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</si>
  <si>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</si>
  <si>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</si>
  <si>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</si>
  <si>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</si>
  <si>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</si>
  <si>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</si>
  <si>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</si>
  <si>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</si>
  <si>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</si>
  <si>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</si>
  <si>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</si>
  <si>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</si>
  <si>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</si>
  <si>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</si>
  <si>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</si>
  <si>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</si>
  <si>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</si>
  <si>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</si>
  <si>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</si>
  <si>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</si>
  <si>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</si>
  <si>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</si>
  <si>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</si>
  <si>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</si>
  <si>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</si>
  <si>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</si>
  <si>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</si>
  <si>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</si>
  <si>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</si>
  <si>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</si>
  <si>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</si>
  <si>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</si>
  <si>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</si>
  <si>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</si>
  <si>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</si>
  <si>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</si>
  <si>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</si>
  <si>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</si>
  <si>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</si>
  <si>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</si>
  <si>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</si>
  <si>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</si>
  <si>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</si>
  <si>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</si>
  <si>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</si>
  <si>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</si>
  <si>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</si>
  <si>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</si>
  <si>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</si>
  <si>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</si>
  <si>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</si>
  <si>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</si>
  <si>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</si>
  <si>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</si>
  <si>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</si>
  <si>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</si>
  <si>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</si>
  <si>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</si>
  <si>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</si>
  <si>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</si>
  <si>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</si>
  <si>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</si>
  <si>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</si>
  <si>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</si>
  <si>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</si>
  <si>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</si>
  <si>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</si>
  <si>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</si>
  <si>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</si>
  <si>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</si>
  <si>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</si>
  <si>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</si>
  <si>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</si>
  <si>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</si>
  <si>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</si>
  <si>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</si>
  <si>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</si>
  <si>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</si>
  <si>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</si>
  <si>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</si>
  <si>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</si>
  <si>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</si>
  <si>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</si>
  <si>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</si>
  <si>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</si>
  <si>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</si>
  <si>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</si>
  <si>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</si>
  <si>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</si>
  <si>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</si>
  <si>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</si>
  <si>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</si>
  <si>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</si>
  <si>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</si>
  <si>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</si>
  <si>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</si>
  <si>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</si>
  <si>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</si>
  <si>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</si>
  <si>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</si>
  <si>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</si>
  <si>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</si>
  <si>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</si>
  <si>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</si>
  <si>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</si>
  <si>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</si>
  <si>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</si>
  <si>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</si>
  <si>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</si>
  <si>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</si>
  <si>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</si>
  <si>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</si>
  <si>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</si>
  <si>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</si>
  <si>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</si>
  <si>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</si>
  <si>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</si>
  <si>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</si>
  <si>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</si>
  <si>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</si>
  <si>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</si>
  <si>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</si>
  <si>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</si>
  <si>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</si>
  <si>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</si>
  <si>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</si>
  <si>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</si>
  <si>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</si>
  <si>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</si>
  <si>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</si>
  <si>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</si>
  <si>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</si>
  <si>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</si>
  <si>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</si>
  <si>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</si>
  <si>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</si>
  <si>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</si>
  <si>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</si>
  <si>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</si>
  <si>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</si>
  <si>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</si>
  <si>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</si>
  <si>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</si>
  <si>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</si>
  <si>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</si>
  <si>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</si>
  <si>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</si>
  <si>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</si>
  <si>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</si>
  <si>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</si>
  <si>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</si>
  <si>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</si>
  <si>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</si>
  <si>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</si>
  <si>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</si>
  <si>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</si>
  <si>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</si>
  <si>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</si>
  <si>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</si>
  <si>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</si>
  <si>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</si>
  <si>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</si>
  <si>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</si>
  <si>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</si>
  <si>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</si>
  <si>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</si>
  <si>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</si>
  <si>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</si>
  <si>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</si>
  <si>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</si>
  <si>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</si>
  <si>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</si>
  <si>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</si>
  <si>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</si>
  <si>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</si>
  <si>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</si>
  <si>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</si>
  <si>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</si>
  <si>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</si>
  <si>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</si>
  <si>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</si>
  <si>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</si>
  <si>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</si>
  <si>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</si>
  <si>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</si>
  <si>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</si>
  <si>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</si>
  <si>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</si>
  <si>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</si>
  <si>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</si>
  <si>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</si>
  <si>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</si>
  <si>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</si>
  <si>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</si>
  <si>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</si>
  <si>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</si>
  <si>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</si>
  <si>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</si>
  <si>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</si>
  <si>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</si>
  <si>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</si>
  <si>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</si>
  <si>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</si>
  <si>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</si>
  <si>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</si>
  <si>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</si>
  <si>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</si>
  <si>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</si>
  <si>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</si>
  <si>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</si>
  <si>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</si>
  <si>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</si>
  <si>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</si>
  <si>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</si>
  <si>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</si>
  <si>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</si>
  <si>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</si>
  <si>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</si>
  <si>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</si>
  <si>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</si>
  <si>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</si>
  <si>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</si>
  <si>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</si>
  <si>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</si>
  <si>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</si>
  <si>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</si>
  <si>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</si>
  <si>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</si>
  <si>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</si>
  <si>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</si>
  <si>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</si>
  <si>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</si>
  <si>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</si>
  <si>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</si>
  <si>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</si>
  <si>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</si>
  <si>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</si>
  <si>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</si>
  <si>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</si>
  <si>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</si>
  <si>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</si>
  <si>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</si>
  <si>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</si>
  <si>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</si>
  <si>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</si>
  <si>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</si>
  <si>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</si>
  <si>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</si>
  <si>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</si>
  <si>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</si>
  <si>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</si>
  <si>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</si>
  <si>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</si>
  <si>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</si>
  <si>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</si>
  <si>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</si>
  <si>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</si>
  <si>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</si>
  <si>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</si>
  <si>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</si>
  <si>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</si>
  <si>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</si>
  <si>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</si>
  <si>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</si>
  <si>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</si>
  <si>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</si>
  <si>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</si>
  <si>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</si>
  <si>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</si>
  <si>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</si>
  <si>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</si>
  <si>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</si>
  <si>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</si>
  <si>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</si>
  <si>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</si>
  <si>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</si>
  <si>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</si>
  <si>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</si>
  <si>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</si>
  <si>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</si>
  <si>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</si>
  <si>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</si>
  <si>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</si>
  <si>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</si>
  <si>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</si>
  <si>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</si>
  <si>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</si>
  <si>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</si>
  <si>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</si>
  <si>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</si>
  <si>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</si>
  <si>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</si>
  <si>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</si>
  <si>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</si>
  <si>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</si>
  <si>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</si>
  <si>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</si>
  <si>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</si>
  <si>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</si>
  <si>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</si>
  <si>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</si>
  <si>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</si>
  <si>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</si>
  <si>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</si>
  <si>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</si>
  <si>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</si>
  <si>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</si>
  <si>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</si>
  <si>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</si>
  <si>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</si>
  <si>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</si>
  <si>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</si>
  <si>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</si>
  <si>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</si>
  <si>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</si>
  <si>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</si>
  <si>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</si>
  <si>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</si>
  <si>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</si>
  <si>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</si>
  <si>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</si>
  <si>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</si>
  <si>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</si>
  <si>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</si>
  <si>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</si>
  <si>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</si>
  <si>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</si>
  <si>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</si>
  <si>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</si>
  <si>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</si>
  <si>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</si>
  <si>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</si>
  <si>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</si>
  <si>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</si>
  <si>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</si>
  <si>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</si>
  <si>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</si>
  <si>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</si>
  <si>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</si>
  <si>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</si>
  <si>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</si>
  <si>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</si>
  <si>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</si>
  <si>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</si>
  <si>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</si>
  <si>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</si>
  <si>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</si>
  <si>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</si>
  <si>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</si>
  <si>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</si>
  <si>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</si>
  <si>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</si>
  <si>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</si>
  <si>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</si>
  <si>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</si>
  <si>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</si>
  <si>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</si>
  <si>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</si>
  <si>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</si>
  <si>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</si>
  <si>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</si>
  <si>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</si>
  <si>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</si>
  <si>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</si>
  <si>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</si>
  <si>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</si>
  <si>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</si>
  <si>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</si>
  <si>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</si>
  <si>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</si>
  <si>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</si>
  <si>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</si>
  <si>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</si>
  <si>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</si>
  <si>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</si>
  <si>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</si>
  <si>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</si>
  <si>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</si>
  <si>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</si>
  <si>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</si>
  <si>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</si>
  <si>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</si>
  <si>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</si>
  <si>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</si>
  <si>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</si>
  <si>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</si>
  <si>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</si>
  <si>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</si>
  <si>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</si>
  <si>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</si>
  <si>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</si>
  <si>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</si>
  <si>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</si>
  <si>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</si>
  <si>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</si>
  <si>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</si>
  <si>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</si>
  <si>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</si>
  <si>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</si>
  <si>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</si>
  <si>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</si>
  <si>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</si>
  <si>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</si>
  <si>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</si>
  <si>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</si>
  <si>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</si>
  <si>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</si>
  <si>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</si>
  <si>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</si>
  <si>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</si>
  <si>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</si>
  <si>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</si>
  <si>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</si>
  <si>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</si>
  <si>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</si>
  <si>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</si>
  <si>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</si>
  <si>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</si>
  <si>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</si>
  <si>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</si>
  <si>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</si>
  <si>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</si>
  <si>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</si>
  <si>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</si>
  <si>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</si>
  <si>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</si>
  <si>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</si>
  <si>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</si>
  <si>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</si>
  <si>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</si>
  <si>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</si>
  <si>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</si>
  <si>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</si>
  <si>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</si>
  <si>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</si>
  <si>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</si>
  <si>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</si>
  <si>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</si>
  <si>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</si>
  <si>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</si>
  <si>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</si>
  <si>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</si>
  <si>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</si>
  <si>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</si>
  <si>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</si>
  <si>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</si>
  <si>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</si>
  <si>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</si>
  <si>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</si>
  <si>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</si>
  <si>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</si>
  <si>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</si>
  <si>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</si>
  <si>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</si>
  <si>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</si>
  <si>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</si>
  <si>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</si>
  <si>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</si>
  <si>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</si>
  <si>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</si>
  <si>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</si>
  <si>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</si>
  <si>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</si>
  <si>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</si>
  <si>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</si>
  <si>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</si>
  <si>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</si>
  <si>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</si>
  <si>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</si>
  <si>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</si>
  <si>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</si>
  <si>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</si>
  <si>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</si>
  <si>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</si>
  <si>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</si>
  <si>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</si>
  <si>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</si>
  <si>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</si>
  <si>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</si>
  <si>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</si>
  <si>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</si>
  <si>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</si>
  <si>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</si>
  <si>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</si>
  <si>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</si>
  <si>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</si>
  <si>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</si>
  <si>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</si>
  <si>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</si>
  <si>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</si>
  <si>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</si>
  <si>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</si>
  <si>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</si>
  <si>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</si>
  <si>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</si>
  <si>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</si>
  <si>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</si>
  <si>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</si>
  <si>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</si>
  <si>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</si>
  <si>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</si>
  <si>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</si>
  <si>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</si>
  <si>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</si>
  <si>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</si>
  <si>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</si>
  <si>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</si>
  <si>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</si>
  <si>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</si>
  <si>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</si>
  <si>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</si>
  <si>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</si>
  <si>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</si>
  <si>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</si>
  <si>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</si>
  <si>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</si>
  <si>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</si>
  <si>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</si>
  <si>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</si>
  <si>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</si>
  <si>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</si>
  <si>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</si>
  <si>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</si>
  <si>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</si>
  <si>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</si>
  <si>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</si>
  <si>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</si>
  <si>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</si>
  <si>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</si>
  <si>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</si>
  <si>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</si>
  <si>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</si>
  <si>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</si>
  <si>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</si>
  <si>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</si>
  <si>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</si>
  <si>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</si>
  <si>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</si>
  <si>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</si>
  <si>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</si>
  <si>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</si>
  <si>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</si>
  <si>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</si>
  <si>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</si>
  <si>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</si>
  <si>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</si>
  <si>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</si>
  <si>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</si>
  <si>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</si>
  <si>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</si>
  <si>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</si>
  <si>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</si>
  <si>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</si>
  <si>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</si>
  <si>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</si>
  <si>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</si>
  <si>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</si>
  <si>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</si>
  <si>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</si>
  <si>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</si>
  <si>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</si>
  <si>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</si>
  <si>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</si>
  <si>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</si>
  <si>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</si>
  <si>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</si>
  <si>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</si>
  <si>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</si>
  <si>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</si>
  <si>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</si>
  <si>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</si>
  <si>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</si>
  <si>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</si>
  <si>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</si>
  <si>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</si>
  <si>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</si>
  <si>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</si>
  <si>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</si>
  <si>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</si>
  <si>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</si>
  <si>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</si>
  <si>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</si>
  <si>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</si>
  <si>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</si>
  <si>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</si>
  <si>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</si>
  <si>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</si>
  <si>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</si>
  <si>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</si>
  <si>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</si>
  <si>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</si>
  <si>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</si>
  <si>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</si>
  <si>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</si>
  <si>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</si>
  <si>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</si>
  <si>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</si>
  <si>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</si>
  <si>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</si>
  <si>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</si>
  <si>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</si>
  <si>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</si>
  <si>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</si>
  <si>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</si>
  <si>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</si>
  <si>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</si>
  <si>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</si>
  <si>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</si>
  <si>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</si>
  <si>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</si>
  <si>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</si>
  <si>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</si>
  <si>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</si>
  <si>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</si>
  <si>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</si>
  <si>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</si>
  <si>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</si>
  <si>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</si>
  <si>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</si>
  <si>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</si>
  <si>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</si>
  <si>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</si>
  <si>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</si>
  <si>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</si>
  <si>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</si>
  <si>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</si>
  <si>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</si>
  <si>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</si>
  <si>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</si>
  <si>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</si>
  <si>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</si>
  <si>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</si>
  <si>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</si>
  <si>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</si>
  <si>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</si>
  <si>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</si>
  <si>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</si>
  <si>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</si>
  <si>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</si>
  <si>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</si>
  <si>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</si>
  <si>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</si>
  <si>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</si>
  <si>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</si>
  <si>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</si>
  <si>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</si>
  <si>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</si>
  <si>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</si>
  <si>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</si>
  <si>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</si>
  <si>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</si>
  <si>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</si>
  <si>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</si>
  <si>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</si>
  <si>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</si>
  <si>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</si>
  <si>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</si>
  <si>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</si>
  <si>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</si>
  <si>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</si>
  <si>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</si>
  <si>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</si>
  <si>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</si>
  <si>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</si>
  <si>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</si>
  <si>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</si>
  <si>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</si>
  <si>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</si>
  <si>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</si>
  <si>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</si>
  <si>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</si>
  <si>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</si>
  <si>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</si>
  <si>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</si>
  <si>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</si>
  <si>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</si>
  <si>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</si>
  <si>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</si>
  <si>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</si>
  <si>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</si>
  <si>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</si>
  <si>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</si>
  <si>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</si>
  <si>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</si>
  <si>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</si>
  <si>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</si>
  <si>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</si>
  <si>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</si>
  <si>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</si>
  <si>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</si>
  <si>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</si>
  <si>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</si>
  <si>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</si>
  <si>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</si>
  <si>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</si>
  <si>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</si>
  <si>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</si>
  <si>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</si>
  <si>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</si>
  <si>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</si>
  <si>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</si>
  <si>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</si>
  <si>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</si>
  <si>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</si>
  <si>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</si>
  <si>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</si>
  <si>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</si>
  <si>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</si>
  <si>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</si>
  <si>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</si>
  <si>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</si>
  <si>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</si>
  <si>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</si>
  <si>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</si>
  <si>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</si>
  <si>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</si>
  <si>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</si>
  <si>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</si>
  <si>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</si>
  <si>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</si>
  <si>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</si>
  <si>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</si>
  <si>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</si>
  <si>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</si>
  <si>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</si>
  <si>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</si>
  <si>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</si>
  <si>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</si>
  <si>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</si>
  <si>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</si>
  <si>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</si>
  <si>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</si>
  <si>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</si>
  <si>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</si>
  <si>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</si>
  <si>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</si>
  <si>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</si>
  <si>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</si>
  <si>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</si>
  <si>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</si>
  <si>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</si>
  <si>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</si>
  <si>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</si>
  <si>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</si>
  <si>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</si>
  <si>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</si>
  <si>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</si>
  <si>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</si>
  <si>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</si>
  <si>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</si>
  <si>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</si>
  <si>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</si>
  <si>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</si>
  <si>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</si>
  <si>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</si>
  <si>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</si>
  <si>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</si>
  <si>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</si>
  <si>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</si>
  <si>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</si>
  <si>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</si>
  <si>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</si>
  <si>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</si>
  <si>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</si>
  <si>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</si>
  <si>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</si>
  <si>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</si>
  <si>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</si>
  <si>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</si>
  <si>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</si>
  <si>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</si>
  <si>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</si>
  <si>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</si>
  <si>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</si>
  <si>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</si>
  <si>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</si>
  <si>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</si>
  <si>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</si>
  <si>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</si>
  <si>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</si>
  <si>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</si>
  <si>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</si>
  <si>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</si>
  <si>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</si>
  <si>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</si>
  <si>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</si>
  <si>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</si>
  <si>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</si>
  <si>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</si>
  <si>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</si>
  <si>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</si>
  <si>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</si>
  <si>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</si>
  <si>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</si>
  <si>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</si>
  <si>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</si>
  <si>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</si>
  <si>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</si>
  <si>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</si>
  <si>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</si>
  <si>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</si>
  <si>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</si>
  <si>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</si>
  <si>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</si>
  <si>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</si>
  <si>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</si>
  <si>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</si>
  <si>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</si>
  <si>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</si>
  <si>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</si>
  <si>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</si>
  <si>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</si>
  <si>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</si>
  <si>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</si>
  <si>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</si>
  <si>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</si>
  <si>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</si>
  <si>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</si>
  <si>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</si>
  <si>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</si>
  <si>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</si>
  <si>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</si>
  <si>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</si>
  <si>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</si>
  <si>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</si>
  <si>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</si>
  <si>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</si>
  <si>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</si>
  <si>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</si>
  <si>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</si>
  <si>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</si>
  <si>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</si>
  <si>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</si>
  <si>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</si>
  <si>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</si>
  <si>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</si>
  <si>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</si>
  <si>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</si>
  <si>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</si>
  <si>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</si>
  <si>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</si>
  <si>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</si>
  <si>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</si>
  <si>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</si>
  <si>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</si>
  <si>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</si>
  <si>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</si>
  <si>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</si>
  <si>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</si>
  <si>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</si>
  <si>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</si>
  <si>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</si>
  <si>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</si>
  <si>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</si>
  <si>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</si>
  <si>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</si>
  <si>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</si>
  <si>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</si>
  <si>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</si>
  <si>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</si>
  <si>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</si>
  <si>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</si>
  <si>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</si>
  <si>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</si>
  <si>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</si>
  <si>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</si>
  <si>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</si>
  <si>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</si>
  <si>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</si>
  <si>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</si>
  <si>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</si>
  <si>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</si>
  <si>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</si>
  <si>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</si>
  <si>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</si>
  <si>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</si>
  <si>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</si>
  <si>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</si>
  <si>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</si>
  <si>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</si>
  <si>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</si>
  <si>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</si>
  <si>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</si>
  <si>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</si>
  <si>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</si>
  <si>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</si>
  <si>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</si>
  <si>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</si>
  <si>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</si>
  <si>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</si>
  <si>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</si>
  <si>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</si>
  <si>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</si>
  <si>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</si>
  <si>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</si>
  <si>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</si>
  <si>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</si>
  <si>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</si>
  <si>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</si>
  <si>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</si>
  <si>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</si>
  <si>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</si>
  <si>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</si>
  <si>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</si>
  <si>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</si>
  <si>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</si>
  <si>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</si>
  <si>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</si>
  <si>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</si>
  <si>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</si>
  <si>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</si>
  <si>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</si>
  <si>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</si>
  <si>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</si>
  <si>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</si>
  <si>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</si>
  <si>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</si>
  <si>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</si>
  <si>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</si>
  <si>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</si>
  <si>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</si>
  <si>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</si>
  <si>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</si>
  <si>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</si>
  <si>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</si>
  <si>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</si>
  <si>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</si>
  <si>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</si>
  <si>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</si>
  <si>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</si>
  <si>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</si>
  <si>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</si>
  <si>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</si>
  <si>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</si>
  <si>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</si>
  <si>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</si>
  <si>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</si>
  <si>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</si>
  <si>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</si>
  <si>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</si>
  <si>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</si>
  <si>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</si>
  <si>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</si>
  <si>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</si>
  <si>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</si>
  <si>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</si>
  <si>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</si>
  <si>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</si>
  <si>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</si>
  <si>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</si>
  <si>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</si>
  <si>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</si>
  <si>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</si>
  <si>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</si>
  <si>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</si>
  <si>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</si>
  <si>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</si>
  <si>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</si>
  <si>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</si>
  <si>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</si>
  <si>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</si>
  <si>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</si>
  <si>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</si>
  <si>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</si>
  <si>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</si>
  <si>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</si>
  <si>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</si>
  <si>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</si>
  <si>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</si>
  <si>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</si>
  <si>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</si>
  <si>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</si>
  <si>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</si>
  <si>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</si>
  <si>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</si>
  <si>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</si>
  <si>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</si>
  <si>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</si>
  <si>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</si>
  <si>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</si>
  <si>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</si>
  <si>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</si>
  <si>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</si>
  <si>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</si>
  <si>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</si>
  <si>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</si>
  <si>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</si>
  <si>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</si>
  <si>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</si>
  <si>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</si>
  <si>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</si>
  <si>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</si>
  <si>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</si>
  <si>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</si>
  <si>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</si>
  <si>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</si>
  <si>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</si>
  <si>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</si>
  <si>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</si>
  <si>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</si>
  <si>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</si>
  <si>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</si>
  <si>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</si>
  <si>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</si>
  <si>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</si>
  <si>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</si>
  <si>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</si>
  <si>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</si>
  <si>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</si>
  <si>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</si>
  <si>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</si>
  <si>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</si>
  <si>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</si>
  <si>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</si>
  <si>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</si>
  <si>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</si>
  <si>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</si>
  <si>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</si>
  <si>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</si>
  <si>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</si>
  <si>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</si>
  <si>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</si>
  <si>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</si>
  <si>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</si>
  <si>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</si>
  <si>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</si>
  <si>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</si>
  <si>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</si>
  <si>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</si>
  <si>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</si>
  <si>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</si>
  <si>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</si>
  <si>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</si>
  <si>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</si>
  <si>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</si>
  <si>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</si>
  <si>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</si>
  <si>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</si>
  <si>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</si>
  <si>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</si>
  <si>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</si>
  <si>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</si>
  <si>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</si>
  <si>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</si>
  <si>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</si>
  <si>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</si>
  <si>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</si>
  <si>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</si>
  <si>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</si>
  <si>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</si>
  <si>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</si>
  <si>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</si>
  <si>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</si>
  <si>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</si>
  <si>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</si>
  <si>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</si>
  <si>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</si>
  <si>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</si>
  <si>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</si>
  <si>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</si>
  <si>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</si>
  <si>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</si>
  <si>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</si>
  <si>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</si>
  <si>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</si>
  <si>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</si>
  <si>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</si>
  <si>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</si>
  <si>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</si>
  <si>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</si>
  <si>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</si>
  <si>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</si>
  <si>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</si>
  <si>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</si>
  <si>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</si>
  <si>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</si>
  <si>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</si>
  <si>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</si>
  <si>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</si>
  <si>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</si>
  <si>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</si>
  <si>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</si>
  <si>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</si>
  <si>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</si>
  <si>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</si>
  <si>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</si>
  <si>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</si>
  <si>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</si>
  <si>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</si>
  <si>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</si>
  <si>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</si>
  <si>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</si>
  <si>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</si>
  <si>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</si>
  <si>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</si>
  <si>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</si>
  <si>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</si>
  <si>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</si>
  <si>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</si>
  <si>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</si>
  <si>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</si>
  <si>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</si>
  <si>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</si>
  <si>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</si>
  <si>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</si>
  <si>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</si>
  <si>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</si>
  <si>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</si>
  <si>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</si>
  <si>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</si>
  <si>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</si>
  <si>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</si>
  <si>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</si>
  <si>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</si>
  <si>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</si>
  <si>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</si>
  <si>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</si>
  <si>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</si>
  <si>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</si>
  <si>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</si>
  <si>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</si>
  <si>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</si>
  <si>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</si>
  <si>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</si>
  <si>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</si>
  <si>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</si>
  <si>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</si>
  <si>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</si>
  <si>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</si>
  <si>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</si>
  <si>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</si>
  <si>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</si>
  <si>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</si>
  <si>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</si>
  <si>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</si>
  <si>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</si>
  <si>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</si>
  <si>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</si>
  <si>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</si>
  <si>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</si>
  <si>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</si>
  <si>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</si>
  <si>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</si>
  <si>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</si>
  <si>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</si>
  <si>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</si>
  <si>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</si>
  <si>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</si>
  <si>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</si>
  <si>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</si>
  <si>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</si>
  <si>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</si>
  <si>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</si>
  <si>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</si>
  <si>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</si>
  <si>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</si>
  <si>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</si>
  <si>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</si>
  <si>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</si>
  <si>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</si>
  <si>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</si>
  <si>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</si>
  <si>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</si>
  <si>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</si>
  <si>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</si>
  <si>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</si>
  <si>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</si>
  <si>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</si>
  <si>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</si>
  <si>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</si>
  <si>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</si>
  <si>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</si>
  <si>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</si>
  <si>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</si>
  <si>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</si>
  <si>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</si>
  <si>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</si>
  <si>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</si>
  <si>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</si>
  <si>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</si>
  <si>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</si>
  <si>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</si>
  <si>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</si>
  <si>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</si>
  <si>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</si>
  <si>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</si>
  <si>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</si>
  <si>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</si>
  <si>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</si>
  <si>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</si>
  <si>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</si>
  <si>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</si>
  <si>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</si>
  <si>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</si>
  <si>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</si>
  <si>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</si>
  <si>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</si>
  <si>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</si>
  <si>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</si>
  <si>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</si>
  <si>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</si>
  <si>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</si>
  <si>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</si>
  <si>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</si>
  <si>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</si>
  <si>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</si>
  <si>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</si>
  <si>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</si>
  <si>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</si>
  <si>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</si>
  <si>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</si>
  <si>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</si>
  <si>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</si>
  <si>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</si>
  <si>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</si>
  <si>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</si>
  <si>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</si>
  <si>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</si>
  <si>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</si>
  <si>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</si>
  <si>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</si>
  <si>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</si>
  <si>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</si>
  <si>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</si>
  <si>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</si>
  <si>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</si>
  <si>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</si>
  <si>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</si>
  <si>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</si>
  <si>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</si>
  <si>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</si>
  <si>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</si>
  <si>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</si>
  <si>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</si>
  <si>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</si>
  <si>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</si>
  <si>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</si>
  <si>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</si>
  <si>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</si>
  <si>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</si>
  <si>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</si>
  <si>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</si>
  <si>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</si>
  <si>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</si>
  <si>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</si>
  <si>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</si>
  <si>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</si>
  <si>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</si>
  <si>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</si>
  <si>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</si>
  <si>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</si>
  <si>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</si>
  <si>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</si>
  <si>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</si>
  <si>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</si>
  <si>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</si>
  <si>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</si>
  <si>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</si>
  <si>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</si>
  <si>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</si>
  <si>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</si>
  <si>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</si>
  <si>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</si>
  <si>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</si>
  <si>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</si>
  <si>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</si>
  <si>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</si>
  <si>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</si>
  <si>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</si>
  <si>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</si>
  <si>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</si>
  <si>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</si>
  <si>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</si>
  <si>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</si>
  <si>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</si>
  <si>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</si>
  <si>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</si>
  <si>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</si>
  <si>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</si>
  <si>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</si>
  <si>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</si>
  <si>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</si>
  <si>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</si>
  <si>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</si>
  <si>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</si>
  <si>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</si>
  <si>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</si>
  <si>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</si>
  <si>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</si>
  <si>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</si>
  <si>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</si>
  <si>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</si>
  <si>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</si>
  <si>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</si>
  <si>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</si>
  <si>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</si>
  <si>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</si>
  <si>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</si>
  <si>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</si>
  <si>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</si>
  <si>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</si>
  <si>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</si>
  <si>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</si>
  <si>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</si>
  <si>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</si>
  <si>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</si>
  <si>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</si>
  <si>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</si>
  <si>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</si>
  <si>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</si>
  <si>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</si>
  <si>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</si>
  <si>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</si>
  <si>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</si>
  <si>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</si>
  <si>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</si>
  <si>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</si>
  <si>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</si>
  <si>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</si>
  <si>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</si>
  <si>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</si>
  <si>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</si>
  <si>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</si>
  <si>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</si>
  <si>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</si>
  <si>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</si>
  <si>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</si>
  <si>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</si>
  <si>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</si>
  <si>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</si>
  <si>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</si>
  <si>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</si>
  <si>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</si>
  <si>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</si>
  <si>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</si>
  <si>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</si>
  <si>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</si>
  <si>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</si>
  <si>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</si>
  <si>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</si>
  <si>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</si>
  <si>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</si>
  <si>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</si>
  <si>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</si>
  <si>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</si>
  <si>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</si>
  <si>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</si>
  <si>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</si>
  <si>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</si>
  <si>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</si>
  <si>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</si>
  <si>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</si>
  <si>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</si>
  <si>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</si>
  <si>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</si>
  <si>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</si>
  <si>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</si>
  <si>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</si>
  <si>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</si>
  <si>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</si>
  <si>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</si>
  <si>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</si>
  <si>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</si>
  <si>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</si>
  <si>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</si>
  <si>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</si>
  <si>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</si>
  <si>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</si>
  <si>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</si>
  <si>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</si>
  <si>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</si>
  <si>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</si>
  <si>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</si>
  <si>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</si>
  <si>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</si>
  <si>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</si>
  <si>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</si>
  <si>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</si>
  <si>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</si>
  <si>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</si>
  <si>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</si>
  <si>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</si>
  <si>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</si>
  <si>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</si>
  <si>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</si>
  <si>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</si>
  <si>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</si>
  <si>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</si>
  <si>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</si>
  <si>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</si>
  <si>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</si>
  <si>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</si>
  <si>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</si>
  <si>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</si>
  <si>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</si>
  <si>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</si>
  <si>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</si>
  <si>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</si>
  <si>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</si>
  <si>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</si>
  <si>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</si>
  <si>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</si>
  <si>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</si>
  <si>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</si>
  <si>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</si>
  <si>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</si>
  <si>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</si>
  <si>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</si>
  <si>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</si>
  <si>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</si>
  <si>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</si>
  <si>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</si>
  <si>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</si>
  <si>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</si>
  <si>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</si>
  <si>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</si>
  <si>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</si>
  <si>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</si>
  <si>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</si>
  <si>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</si>
  <si>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</si>
  <si>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</si>
  <si>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</si>
  <si>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</si>
  <si>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</si>
  <si>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</si>
  <si>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</si>
  <si>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</si>
  <si>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</si>
  <si>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</si>
  <si>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</si>
  <si>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</si>
  <si>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</si>
  <si>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</si>
  <si>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</si>
  <si>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</si>
  <si>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</si>
  <si>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</si>
  <si>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</si>
  <si>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</si>
  <si>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</si>
  <si>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</si>
  <si>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</si>
  <si>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</si>
  <si>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</si>
  <si>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</si>
  <si>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</si>
  <si>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</si>
  <si>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</si>
  <si>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</si>
  <si>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</si>
  <si>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</si>
  <si>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</si>
  <si>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</si>
  <si>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</si>
  <si>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</si>
  <si>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</si>
  <si>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</si>
  <si>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</si>
  <si>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</si>
  <si>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</si>
  <si>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</si>
  <si>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</si>
  <si>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</si>
  <si>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</si>
  <si>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</si>
  <si>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</si>
  <si>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</si>
  <si>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</si>
  <si>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</si>
  <si>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</si>
  <si>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</si>
  <si>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</si>
  <si>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</si>
  <si>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</si>
  <si>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</si>
  <si>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</si>
  <si>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</si>
  <si>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</si>
  <si>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</si>
  <si>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</si>
  <si>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</si>
  <si>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</si>
  <si>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</si>
  <si>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</si>
  <si>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</si>
  <si>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</si>
  <si>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</si>
  <si>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</si>
  <si>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</si>
  <si>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</si>
  <si>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</si>
  <si>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</si>
  <si>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</si>
  <si>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</si>
  <si>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</si>
  <si>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</si>
  <si>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</si>
  <si>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</si>
  <si>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</si>
  <si>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</si>
  <si>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</si>
  <si>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</si>
  <si>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</si>
  <si>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</si>
  <si>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</si>
  <si>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</si>
  <si>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</si>
  <si>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</si>
  <si>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</si>
  <si>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</si>
  <si>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</si>
  <si>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</si>
  <si>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</si>
  <si>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</si>
  <si>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</si>
  <si>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</si>
  <si>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</si>
  <si>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</si>
  <si>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</si>
  <si>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</si>
  <si>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</si>
  <si>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</si>
  <si>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</si>
  <si>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</si>
  <si>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</si>
  <si>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</si>
  <si>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</si>
  <si>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</si>
  <si>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</si>
  <si>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</si>
  <si>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</si>
  <si>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</si>
  <si>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</si>
  <si>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</si>
  <si>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</si>
  <si>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</si>
  <si>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</si>
  <si>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</si>
  <si>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</si>
  <si>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</si>
  <si>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</si>
  <si>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</si>
  <si>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</si>
  <si>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</si>
  <si>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</si>
  <si>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</si>
  <si>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</si>
  <si>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</si>
  <si>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</si>
  <si>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</si>
  <si>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</si>
  <si>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</si>
  <si>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</si>
  <si>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</si>
  <si>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</si>
  <si>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</si>
  <si>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</si>
  <si>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</si>
  <si>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</si>
  <si>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</si>
  <si>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</si>
  <si>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</si>
  <si>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</si>
  <si>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</si>
  <si>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</si>
  <si>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</si>
  <si>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</si>
  <si>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</si>
  <si>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</si>
  <si>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</si>
  <si>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</si>
  <si>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</si>
  <si>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</si>
  <si>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</si>
  <si>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</si>
  <si>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</si>
  <si>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</si>
  <si>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</si>
  <si>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</si>
  <si>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</si>
  <si>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</si>
  <si>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</si>
  <si>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</si>
  <si>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</si>
  <si>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</si>
  <si>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</si>
  <si>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</si>
  <si>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</si>
  <si>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</si>
  <si>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</si>
  <si>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</si>
  <si>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</si>
  <si>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</si>
  <si>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</si>
  <si>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</si>
  <si>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</si>
  <si>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</si>
  <si>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</si>
  <si>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</si>
  <si>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</si>
  <si>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</si>
  <si>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</si>
  <si>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</si>
  <si>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</si>
  <si>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</si>
  <si>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</si>
  <si>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</si>
  <si>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</si>
  <si>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</si>
  <si>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</si>
  <si>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</si>
  <si>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</si>
  <si>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</si>
  <si>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</si>
  <si>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</si>
  <si>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</si>
  <si>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</si>
  <si>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</si>
  <si>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</si>
  <si>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</si>
  <si>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</si>
  <si>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</si>
  <si>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</si>
  <si>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</si>
  <si>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</si>
  <si>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</si>
  <si>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</si>
  <si>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</si>
  <si>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</si>
  <si>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</si>
  <si>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</si>
  <si>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</si>
  <si>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</si>
  <si>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</si>
  <si>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</si>
  <si>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</si>
  <si>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</si>
  <si>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</si>
  <si>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</si>
  <si>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</si>
  <si>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</si>
  <si>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</si>
  <si>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</si>
  <si>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</si>
  <si>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</si>
  <si>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</si>
  <si>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</si>
  <si>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</si>
  <si>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</si>
  <si>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</si>
  <si>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</si>
  <si>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</si>
  <si>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</si>
  <si>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</si>
  <si>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</si>
  <si>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</si>
  <si>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</si>
  <si>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</si>
  <si>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</si>
  <si>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</si>
  <si>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</si>
  <si>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</si>
  <si>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</si>
  <si>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</si>
  <si>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</si>
  <si>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</si>
  <si>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</si>
  <si>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</si>
  <si>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</si>
  <si>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</si>
  <si>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</si>
  <si>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</si>
  <si>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</si>
  <si>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</si>
  <si>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</si>
  <si>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</si>
  <si>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</si>
  <si>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</si>
  <si>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</si>
  <si>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</si>
  <si>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</si>
  <si>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</si>
  <si>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</si>
  <si>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</si>
  <si>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</si>
  <si>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</si>
  <si>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</si>
  <si>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</si>
  <si>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</si>
  <si>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</si>
  <si>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</si>
  <si>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</si>
  <si>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</si>
  <si>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</si>
  <si>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</si>
  <si>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</si>
  <si>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</si>
  <si>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</si>
  <si>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</si>
  <si>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</si>
  <si>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</si>
  <si>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</si>
  <si>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</si>
  <si>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</si>
  <si>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</si>
  <si>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</si>
  <si>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</si>
  <si>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</si>
  <si>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</si>
  <si>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</si>
  <si>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</si>
  <si>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</si>
  <si>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</si>
  <si>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</si>
  <si>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</si>
  <si>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</si>
  <si>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</si>
  <si>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</si>
  <si>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</si>
  <si>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</si>
  <si>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</si>
  <si>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</si>
  <si>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</si>
  <si>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</si>
  <si>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</si>
  <si>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</si>
  <si>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</si>
  <si>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</si>
  <si>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</si>
  <si>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</si>
  <si>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</si>
  <si>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</si>
  <si>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</si>
  <si>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</si>
  <si>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</si>
  <si>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</si>
  <si>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</si>
  <si>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</si>
  <si>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</si>
  <si>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</si>
  <si>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</si>
  <si>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</si>
  <si>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</si>
  <si>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</si>
  <si>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</si>
  <si>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</si>
  <si>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</si>
  <si>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</si>
  <si>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</si>
  <si>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</si>
  <si>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</si>
  <si>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</si>
  <si>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</si>
  <si>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</si>
  <si>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</si>
  <si>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</si>
  <si>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</si>
  <si>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</si>
  <si>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</si>
  <si>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</si>
  <si>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</si>
  <si>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</si>
  <si>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</si>
  <si>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</si>
  <si>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</si>
  <si>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</si>
  <si>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</si>
  <si>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</si>
  <si>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</si>
  <si>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</si>
  <si>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</si>
  <si>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</si>
  <si>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</si>
  <si>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</si>
  <si>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</si>
  <si>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</si>
  <si>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</si>
  <si>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</si>
  <si>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</si>
  <si>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</si>
  <si>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</si>
  <si>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</si>
  <si>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</si>
  <si>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</si>
  <si>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</si>
  <si>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</si>
  <si>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</si>
  <si>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</si>
  <si>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</si>
  <si>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</si>
  <si>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</si>
  <si>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</si>
  <si>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</si>
  <si>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</si>
  <si>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</si>
  <si>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</si>
  <si>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</si>
  <si>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</si>
  <si>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</si>
  <si>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</si>
  <si>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</si>
  <si>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</si>
  <si>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</si>
  <si>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</si>
  <si>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</si>
  <si>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</si>
  <si>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</si>
  <si>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</si>
  <si>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</si>
  <si>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</si>
  <si>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</si>
  <si>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</si>
  <si>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</si>
  <si>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</si>
  <si>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</si>
  <si>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</si>
  <si>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</si>
  <si>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</si>
  <si>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</si>
  <si>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</si>
  <si>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</si>
  <si>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</si>
  <si>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</si>
  <si>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</si>
  <si>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</si>
  <si>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</si>
  <si>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</si>
  <si>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</si>
  <si>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</si>
  <si>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</si>
  <si>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</si>
  <si>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</si>
  <si>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</si>
  <si>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</si>
  <si>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</si>
  <si>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</si>
  <si>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</si>
  <si>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</si>
  <si>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</si>
  <si>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</si>
  <si>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</si>
  <si>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</si>
  <si>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</si>
  <si>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</si>
  <si>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</si>
  <si>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</si>
  <si>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</si>
  <si>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</si>
  <si>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</si>
  <si>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</si>
  <si>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</si>
  <si>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</si>
  <si>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</si>
  <si>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</si>
  <si>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</si>
  <si>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</si>
  <si>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</si>
  <si>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</si>
  <si>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</si>
  <si>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</si>
  <si>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</si>
  <si>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</si>
  <si>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</si>
  <si>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</si>
  <si>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</si>
  <si>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</si>
  <si>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</si>
  <si>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</si>
  <si>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</si>
  <si>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</si>
  <si>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</si>
  <si>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</si>
  <si>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</si>
  <si>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</si>
  <si>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</si>
  <si>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</si>
  <si>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</si>
  <si>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</si>
  <si>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</si>
  <si>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</si>
  <si>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</si>
  <si>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</si>
  <si>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</si>
  <si>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</si>
  <si>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</si>
  <si>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</si>
  <si>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</si>
  <si>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</si>
  <si>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</si>
  <si>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</si>
  <si>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</si>
  <si>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</si>
  <si>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</si>
  <si>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</si>
  <si>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</si>
  <si>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</si>
  <si>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</si>
  <si>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</si>
  <si>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</si>
  <si>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</si>
  <si>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</si>
  <si>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</si>
  <si>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</si>
  <si>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</si>
  <si>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</si>
  <si>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</si>
  <si>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</si>
  <si>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</si>
  <si>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</si>
  <si>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</si>
  <si>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</si>
  <si>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</si>
  <si>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</si>
  <si>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</si>
  <si>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</si>
  <si>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</si>
  <si>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</si>
  <si>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</si>
  <si>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</si>
  <si>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</si>
  <si>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</si>
  <si>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</si>
  <si>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</si>
  <si>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</si>
  <si>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</si>
  <si>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</si>
  <si>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</si>
  <si>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</si>
  <si>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</si>
  <si>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</si>
  <si>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</si>
  <si>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</si>
  <si>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</si>
  <si>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</si>
  <si>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</si>
  <si>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</si>
  <si>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</si>
  <si>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</si>
  <si>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</si>
  <si>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</si>
  <si>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</si>
  <si>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</si>
  <si>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</si>
  <si>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</si>
  <si>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</si>
  <si>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</si>
  <si>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</si>
  <si>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</si>
  <si>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</si>
  <si>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</si>
  <si>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</si>
  <si>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</si>
  <si>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</si>
  <si>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</si>
  <si>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</si>
  <si>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</si>
  <si>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</si>
  <si>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</si>
  <si>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</si>
  <si>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</si>
  <si>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</si>
  <si>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</si>
  <si>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</si>
  <si>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</si>
  <si>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</si>
  <si>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</si>
  <si>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</si>
  <si>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</si>
  <si>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</si>
  <si>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</si>
  <si>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</si>
  <si>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</si>
  <si>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</si>
  <si>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</si>
  <si>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</si>
  <si>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</si>
  <si>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</si>
  <si>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</si>
  <si>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</si>
  <si>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</si>
  <si>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</si>
  <si>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</si>
  <si>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</si>
  <si>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</si>
  <si>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</si>
  <si>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</si>
  <si>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</si>
  <si>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</si>
  <si>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</si>
  <si>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</si>
  <si>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</si>
  <si>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</si>
  <si>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</si>
  <si>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</si>
  <si>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</si>
  <si>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</si>
  <si>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</si>
  <si>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</si>
  <si>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</si>
  <si>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</si>
  <si>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</si>
  <si>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</si>
  <si>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</si>
  <si>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</si>
  <si>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</si>
  <si>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</si>
  <si>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</si>
  <si>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</si>
  <si>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</si>
  <si>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</si>
  <si>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</si>
  <si>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</si>
  <si>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</si>
  <si>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</si>
  <si>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</si>
  <si>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</si>
  <si>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</si>
  <si>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</si>
  <si>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</si>
  <si>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</si>
  <si>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</si>
  <si>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</si>
  <si>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</si>
  <si>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</si>
  <si>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</si>
  <si>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</si>
  <si>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</si>
  <si>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</si>
  <si>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</si>
  <si>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</si>
  <si>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</si>
  <si>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</si>
  <si>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</si>
  <si>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</si>
  <si>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</si>
  <si>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</si>
  <si>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Roenfeldt &amp; Lockas, P.C.</t>
  </si>
  <si>
    <t>1100 Columbus Street</t>
  </si>
  <si>
    <t>Ottawa</t>
  </si>
  <si>
    <t>Illinois</t>
  </si>
  <si>
    <t>815-433-0464</t>
  </si>
  <si>
    <t>815-433-6464</t>
  </si>
  <si>
    <t>admin@roenfeldtlockas.com</t>
  </si>
  <si>
    <t>Duane K. Lockas, C.P.A.</t>
  </si>
  <si>
    <t>LaSalle</t>
  </si>
  <si>
    <t>Ottawa Township High School</t>
  </si>
  <si>
    <t>211 East Main Street</t>
  </si>
  <si>
    <t>Michael Cushing</t>
  </si>
  <si>
    <t>mcushing@ottawahigh.com</t>
  </si>
  <si>
    <t>x</t>
  </si>
  <si>
    <t>Debits</t>
  </si>
  <si>
    <t>Credits</t>
  </si>
  <si>
    <t>Net</t>
  </si>
  <si>
    <t>Ending Balance</t>
  </si>
  <si>
    <t>DO NOT DELETE COLUMN - FORMULAS</t>
  </si>
  <si>
    <t>ED/CASH</t>
  </si>
  <si>
    <t>ED/CASH INS</t>
  </si>
  <si>
    <t>ED/CASH PCS</t>
  </si>
  <si>
    <t>ED/CASH INS CK</t>
  </si>
  <si>
    <t>ED/STUDENT ACTIVIT</t>
  </si>
  <si>
    <t>16.98CR</t>
  </si>
  <si>
    <t>ED/FLEX PLAN</t>
  </si>
  <si>
    <t>ED/IMPREST</t>
  </si>
  <si>
    <t>ED/LOAN TO ED</t>
  </si>
  <si>
    <t>0.01CR</t>
  </si>
  <si>
    <t>ED/SWEEP ACCT</t>
  </si>
  <si>
    <t>ED/BOND RES PRIN</t>
  </si>
  <si>
    <t>ED/BND RES INT</t>
  </si>
  <si>
    <t>ED/ACCOUNT</t>
  </si>
  <si>
    <t>988.00CR</t>
  </si>
  <si>
    <t>ED/TEACHER</t>
  </si>
  <si>
    <t>ED/FEDERAL</t>
  </si>
  <si>
    <t>ED/STATE W</t>
  </si>
  <si>
    <t>ED/MUNCPAL</t>
  </si>
  <si>
    <t>ED/ANNUITI</t>
  </si>
  <si>
    <t>ED/EMPLOYE</t>
  </si>
  <si>
    <t>ED/FICA PA</t>
  </si>
  <si>
    <t>ED/MEDICAR</t>
  </si>
  <si>
    <t>ED/OTHR PA</t>
  </si>
  <si>
    <t>ED/UNION DUES</t>
  </si>
  <si>
    <t>ED/LOCAL 73</t>
  </si>
  <si>
    <t>ED/MISC DED</t>
  </si>
  <si>
    <t>111.23CR</t>
  </si>
  <si>
    <t>ED/WAGE GARNISHMNT</t>
  </si>
  <si>
    <t>ED/FLEX HEALTH</t>
  </si>
  <si>
    <t>ED/EXPEND DEBIT</t>
  </si>
  <si>
    <t>101.82CR</t>
  </si>
  <si>
    <t>ED/RESERVE ENC</t>
  </si>
  <si>
    <t>63.50CR</t>
  </si>
  <si>
    <t>ED/FUND BAL</t>
  </si>
  <si>
    <t>9,154,471.78CR</t>
  </si>
  <si>
    <t>Count     30</t>
  </si>
  <si>
    <t>ED/DIST/REG/NON-CAT</t>
  </si>
  <si>
    <t>ED/DIST/REG/OTHER</t>
  </si>
  <si>
    <t>Count     55</t>
  </si>
  <si>
    <t>ED/DIST/SAL TEA/GRANT 17/18/TITLE I</t>
  </si>
  <si>
    <t>ED/DIST/SAL TEA/GRANT1718/TITLE I</t>
  </si>
  <si>
    <t>ED/DIST/Extended day/GRANT 17/18/TITLE I</t>
  </si>
  <si>
    <t>ED/DIST/Extended day/GRANT1718/TITLE I</t>
  </si>
  <si>
    <t>ED/DIST/SATURDAY SUCCES/GRANT 17/18/TITLE I</t>
  </si>
  <si>
    <t>ED/DIST/SAL AIDES/GRANT 17/18/TITLE I</t>
  </si>
  <si>
    <t>ED/DIST/SAL AIDES/GRANT1718/TITLE I</t>
  </si>
  <si>
    <t>ED/DIST/TRS/GRANT 17/18/TITLE I</t>
  </si>
  <si>
    <t>ED/DIST/TRS/GRANT1718/TITLE I</t>
  </si>
  <si>
    <t>ED/DIST/TRS FED/GRANT 17/18/TITLE I</t>
  </si>
  <si>
    <t>ED/DIST/TRS FED/GRANT1718/TITLE I</t>
  </si>
  <si>
    <t>ED/DIST/THIS EMPLR/GRANT 17/18/TITLE I</t>
  </si>
  <si>
    <t>ED/DIST/THIS EMPLR/GRANT1718/TITLE I</t>
  </si>
  <si>
    <t>ED/DIST/GRP INS/GRANT 17/18/TITLE I</t>
  </si>
  <si>
    <t>ED/DIST/GRP INS/GRANT1718/TITLE I</t>
  </si>
  <si>
    <t>ED/DIST/PROF &amp;/GRANT 17/18/TITLE I</t>
  </si>
  <si>
    <t>ED/DIST/TRAVEL/GRANT 17/18/TITLE I</t>
  </si>
  <si>
    <t>ED/DIST/TRAVEL/GRANT1718/TITLE I</t>
  </si>
  <si>
    <t>ED/DIST/SUPPLIE/GRANT 17/18/TITLE I</t>
  </si>
  <si>
    <t>ED/DIST/TEXTBOO/GRANT 17/18/TITLE I</t>
  </si>
  <si>
    <t>ED/DIST/EQUIPME/GRANT 17/18/TITLE I</t>
  </si>
  <si>
    <t>ED/DIST/SAL TEA/GRANT 17/18/TITLE II</t>
  </si>
  <si>
    <t>ED/DIST/TRS/GRANT 17/18/TITLE II</t>
  </si>
  <si>
    <t>ED/DIST/TRS FED/GRANT 17/18/TITLE II</t>
  </si>
  <si>
    <t>ED/DIST/THIS EMPLR/SPEC ED/LEASE</t>
  </si>
  <si>
    <t>ED/DIST/THIS EMPLR/GRANT 17/18/TITLE II</t>
  </si>
  <si>
    <t>ED/DIST/GRP INS/GRANT 17/18/TITLE II</t>
  </si>
  <si>
    <t>ED/DIST/SUB TEA/GRANT 17/18/TITLE II</t>
  </si>
  <si>
    <t>ED/DIST/PROF &amp;/GRANT 17/18/TITLE II</t>
  </si>
  <si>
    <t>ED/DIST/TRAVEL/GRANT 17/18/TITLE II</t>
  </si>
  <si>
    <t>ED/DIST/TRAVEL/GRANT1718/TITLE II</t>
  </si>
  <si>
    <t>ED/DIST/INTERGOV AGRMNT/GRANT1718/TITLE II</t>
  </si>
  <si>
    <t>ED/HS/SAL TEA/TEACHER/NON-CAT</t>
  </si>
  <si>
    <t>ED/HS/RETIR INCENTIVE/TEACHER/NON-CAT</t>
  </si>
  <si>
    <t>ED/HS/SAL AIDES/TEACHER/NON-CAT</t>
  </si>
  <si>
    <t>ED/HS/SUB TEA/TEACHER/NON-CAT</t>
  </si>
  <si>
    <t>ED/HS/SAT SUPVRY/TEACHER/NON-CAT</t>
  </si>
  <si>
    <t>ED/HS/TRS/TEACHER/NON-CAT</t>
  </si>
  <si>
    <t>ED/HS/TRS FED/TEACHER/NON-CAT</t>
  </si>
  <si>
    <t>ED/HS/THIS EMPLR/TEACHER/NON-CAT</t>
  </si>
  <si>
    <t>ED/HS/GRP INS/TEACHER/NON-CAT</t>
  </si>
  <si>
    <t>ED/HS/TUITION/TEACHER/NON-CAT</t>
  </si>
  <si>
    <t>ED/HS/PROF &amp;/COMPUTER/NON-CAT</t>
  </si>
  <si>
    <t>ED/HS/SOFTWARE AGRMNT/COMPUTER/NON-CAT</t>
  </si>
  <si>
    <t>ED/HS/REPR &amp; MAINT/MUSIC/NON-CAT</t>
  </si>
  <si>
    <t>ED/HS/REPR &amp; MAINT/SCIENCE/NON-CAT</t>
  </si>
  <si>
    <t>ED/HS/COPR RENT/REG/NON-CAT</t>
  </si>
  <si>
    <t>ED/HS/TRAVEL/REG/NON-CAT</t>
  </si>
  <si>
    <t>ED/HS/TRAVEL/MUSIC/NON-CAT</t>
  </si>
  <si>
    <t>ED/HS/TRAVEL/BAND/NON-CAT</t>
  </si>
  <si>
    <t>ED/HS/POSTAGE/REG/NON-CAT</t>
  </si>
  <si>
    <t>ED/HS/POST METER/REP/REG/NON-CAT</t>
  </si>
  <si>
    <t>ED/HS/PRINTIN/REG/NON-CAT</t>
  </si>
  <si>
    <t>ED/HS/SUPPLIE/REG/NON-CAT</t>
  </si>
  <si>
    <t>ED/HS/SUPPLIE/ART/NON-CAT</t>
  </si>
  <si>
    <t>ED/HS/SUPPLIE/FORGN LANG/NON-CAT</t>
  </si>
  <si>
    <t>ED/HS/SUPPLIE/MATH/NON-CAT</t>
  </si>
  <si>
    <t>ED/HS/SUPPLIE/MUSIC/NON-CAT</t>
  </si>
  <si>
    <t>ED/HS/SUPPLIE/SCIENCE/NON-CAT</t>
  </si>
  <si>
    <t>ED/HS/SUPPLIE/BAND/NON-CAT</t>
  </si>
  <si>
    <t>ED/HS/SUPPLIE/SOC STUDY/NON-CAT</t>
  </si>
  <si>
    <t>ED/HS/SUPPLIE/P.E./NON-CAT</t>
  </si>
  <si>
    <t>ED/HS/SUPPLIE/TRAINER/NON-CAT</t>
  </si>
  <si>
    <t>ED/HS/SUPPLIE/FR ACADEMY/NON-CAT</t>
  </si>
  <si>
    <t>ED/HS/TEXTBOO/REG/NON-CAT</t>
  </si>
  <si>
    <t>ED/HS/TEXTBOO/REFUND/NON-CAT</t>
  </si>
  <si>
    <t>ED/HS/SOFTWAR/COMPUTER/NON-CAT</t>
  </si>
  <si>
    <t>ED/HS/OTHER S/REG/NON-CAT</t>
  </si>
  <si>
    <t>ED/HS/EQUIPME/BAND/NON-CAT</t>
  </si>
  <si>
    <t>ED/HS/DUES AN/REG/NON-CAT</t>
  </si>
  <si>
    <t>ED/HS/SAL TEA/SPEC ED/NON-CAT</t>
  </si>
  <si>
    <t>ED/HS/SAL TEA/SPEC ED/STEP</t>
  </si>
  <si>
    <t>ED/HS/SAL AIDES/SPEC ED/NON-CAT</t>
  </si>
  <si>
    <t>ED/HS/SAL AIDES/SPEC ED/LEASE</t>
  </si>
  <si>
    <t>ED/HS/SAL AIDES/SPEC ED/STEP</t>
  </si>
  <si>
    <t>ED/HS/SUB TEA/SPEC ED/NON-CAT</t>
  </si>
  <si>
    <t>ED/HS/SUB TEA/SPEC ED/LEASE</t>
  </si>
  <si>
    <t>ED/HS/TUTOR/HOMEBND/SPEC ED/NON-CAT</t>
  </si>
  <si>
    <t>ED/HS/SUB AIDES/SPEC ED/NON-CAT</t>
  </si>
  <si>
    <t>ED/HS/TRS/SPEC ED/NON-CAT</t>
  </si>
  <si>
    <t>ED/HS/TRS/SPEC ED/LEASE</t>
  </si>
  <si>
    <t>ED/HS/TRS/SPEC ED/STEP</t>
  </si>
  <si>
    <t>ED/HS/TRS FED/SPEC ED/LEASE</t>
  </si>
  <si>
    <t>ED/HS/THIS EMPLR/SPEC ED/NON-CAT</t>
  </si>
  <si>
    <t>ED/HS/THIS EMPLR/SPEC ED/LEASE</t>
  </si>
  <si>
    <t>ED/HS/THIS EMPLR/SPEC ED/STEP</t>
  </si>
  <si>
    <t>ED/HS/GRP INS/SPEC ED/NON-CAT</t>
  </si>
  <si>
    <t>ED/HS/GRP INS/SPEC ED/LEASE</t>
  </si>
  <si>
    <t>ED/HS/TUITION/SPEC ED/NON-CAT</t>
  </si>
  <si>
    <t>ED/HS/PROF &amp;/SPEC ED/NON-CAT</t>
  </si>
  <si>
    <t>ED/HS/PROF &amp;/SPEC ED/LEASE</t>
  </si>
  <si>
    <t>ED/HS/HOSP TUTOR/SPEC ED/NON-CAT</t>
  </si>
  <si>
    <t>ED/HS/ONLINE DATA RES/SPEC ED/MEDICAID</t>
  </si>
  <si>
    <t>ED/HS/CONTRACTED SERV/SPEC ED/NON-CAT</t>
  </si>
  <si>
    <t>ED/HS/ADVERTI/SPEC ED/NON-CAT</t>
  </si>
  <si>
    <t>ED/HS/SUPPLIE/SPEC ED/NON-CAT</t>
  </si>
  <si>
    <t>ED/HS/SUPPLIE/SPEC ED/LEASE</t>
  </si>
  <si>
    <t>ED/HS/SUPPLIE/SPEC ED/MEDICAID</t>
  </si>
  <si>
    <t>ED/HS/FOODS SUPPLIES/SPEC ED/NON-CAT</t>
  </si>
  <si>
    <t>ED/HS/TEXTBOO/SPEC ED/NON-CAT</t>
  </si>
  <si>
    <t>ED/HS/EQUIPME/SPEC ED/NON-CAT</t>
  </si>
  <si>
    <t>ED/HS/EQUIPME/SPEC ED/MEDICAID</t>
  </si>
  <si>
    <t>ED/HS/SAL TEA/VOC/NON-CAT</t>
  </si>
  <si>
    <t>ED/HS/TRS/VOC/NON-CAT</t>
  </si>
  <si>
    <t>ED/HS/THIS EMPLR/VOC/NON-CAT</t>
  </si>
  <si>
    <t>ED/HS/GRP INS/VOC/NON-CAT</t>
  </si>
  <si>
    <t>ED/HS/REPR &amp; MAINT/VOC/NON-CAT</t>
  </si>
  <si>
    <t>ED/HS/SUPPLIE/VOC AG/NON-CAT</t>
  </si>
  <si>
    <t>ED/HS/SUPPLIE/BUSINESS/NON-CAT</t>
  </si>
  <si>
    <t>ED/HS/SUPPLIE/IND ARTS/NON-CAT</t>
  </si>
  <si>
    <t>ED/HS/SUPPLIE/GRANT 17/18/AG GRANT</t>
  </si>
  <si>
    <t>ED/HS/FOODS SUPPLIES/HOME EC/NON-CAT</t>
  </si>
  <si>
    <t>ED/HS/SALARY SEC/ATHL DIR/NON-CAT</t>
  </si>
  <si>
    <t>ED/HS/SAL ATHLETIC/DIRECTOR/NON-CAT</t>
  </si>
  <si>
    <t>ED/HS/SAL ATHLETIC/TEACHER/NON-CAT</t>
  </si>
  <si>
    <t>ED/HS/SAL ATHLETIC/NON-CERT/NON-CAT</t>
  </si>
  <si>
    <t>ED/HS/ACT SUP SAL/REG/NON-CAT</t>
  </si>
  <si>
    <t>ED/HS/TRS/REG/NON-CAT</t>
  </si>
  <si>
    <t>ED/HS/TRS/DIRECTOR/NON-CAT</t>
  </si>
  <si>
    <t>ED/HS/THIS EMPLR/REG/NON-CAT</t>
  </si>
  <si>
    <t>ED/HS/THIS EMPLR/DIRECTOR/NON-CAT</t>
  </si>
  <si>
    <t>ED/HS/GRP INS/DIRECTOR/NON-CAT</t>
  </si>
  <si>
    <t>ED/HS/PROF &amp;/XCURR/NON-CAT</t>
  </si>
  <si>
    <t>ED/HS/WRKS/OFFIC/BASEBALL/NON-CAT</t>
  </si>
  <si>
    <t>ED/HS/WRKS/OFFIC/BSKTBL BOYS/NON-CAT</t>
  </si>
  <si>
    <t>ED/HS/WRKS/OFFIC/BSKTBL GIRLS/NON-CAT</t>
  </si>
  <si>
    <t>ED/HS/WRKS/OFFIC/XCOUNTRY/NON-CAT</t>
  </si>
  <si>
    <t>ED/HS/WRKS/OFFIC/FB/NON-CAT</t>
  </si>
  <si>
    <t>ED/HS/WRKS/OFFIC/SOCCER/NON-CAT</t>
  </si>
  <si>
    <t>ED/HS/WRKS/OFFIC/SOFTBALL/NON-CAT</t>
  </si>
  <si>
    <t>ED/HS/WRKS/OFFIC/B TRACK/NON-CAT</t>
  </si>
  <si>
    <t>ED/HS/WRKS/OFFIC/G TRACK/NON-CAT</t>
  </si>
  <si>
    <t>ED/HS/WRKS/OFFIC/VOLLEYBALL/NON-CAT</t>
  </si>
  <si>
    <t>ED/HS/WRKS/OFFIC/WRSTLG/NON-CAT</t>
  </si>
  <si>
    <t>ED/HS/WRKS/OFFIC/G SOCCER/NON-CAT</t>
  </si>
  <si>
    <t>ED/HS/ACL DRG TEST/XCURR/NON-CAT</t>
  </si>
  <si>
    <t>ED/HS/OTHR PR/FB/NON-CAT</t>
  </si>
  <si>
    <t>ED/HS/TRAVEL/ATHL DIR/NON-CAT</t>
  </si>
  <si>
    <t>ED/HS/TRAVEL/XCURR/NON-CAT</t>
  </si>
  <si>
    <t>ED/HS/TRAVEL/TEACHER/NON-CAT</t>
  </si>
  <si>
    <t>ED/HS/POSTAGE/ATHL DIR/NON-CAT</t>
  </si>
  <si>
    <t>ED/HS/PRINTIN/XCURR/NON-CAT</t>
  </si>
  <si>
    <t>ED/HS/SUPPLIE/BASEBALL/NON-CAT</t>
  </si>
  <si>
    <t>ED/HS/SUPPLIE/BSKTBL BOYS/NON-CAT</t>
  </si>
  <si>
    <t>ED/HS/SUPPLIE/BSKTBL GIRLS/NON-CAT</t>
  </si>
  <si>
    <t>ED/HS/SUPPLIE/CHEERLEADERS/NON-CAT</t>
  </si>
  <si>
    <t>ED/HS/SUPPLIE/XCOUNTRY/NON-CAT</t>
  </si>
  <si>
    <t>ED/HS/SUPPLIE/FB/NON-CAT</t>
  </si>
  <si>
    <t>ED/HS/SUPPLIE/GOLF/NON-CAT</t>
  </si>
  <si>
    <t>ED/HS/SUPPLIE/POMERETTES/NON-CAT</t>
  </si>
  <si>
    <t>ED/HS/SUPPLIE/SOCCER/NON-CAT</t>
  </si>
  <si>
    <t>ED/HS/SUPPLIE/SOFTBALL/NON-CAT</t>
  </si>
  <si>
    <t>ED/HS/SUPPLIE/B TENNIS/NON-CAT</t>
  </si>
  <si>
    <t>ED/HS/SUPPLIE/G TENNIS/NON-CAT</t>
  </si>
  <si>
    <t>ED/HS/SUPPLIE/B TRACK/NON-CAT</t>
  </si>
  <si>
    <t>ED/HS/SUPPLIE/G TRACK/NON-CAT</t>
  </si>
  <si>
    <t>ED/HS/SUPPLIE/VOLLEYBALL/NON-CAT</t>
  </si>
  <si>
    <t>ED/HS/SUPPLIE/WRSTLG/NON-CAT</t>
  </si>
  <si>
    <t>ED/HS/SUPPLIE/ATHL DIR/NON-CAT</t>
  </si>
  <si>
    <t>ED/HS/SUPPLIE/BOWLING/NON-CAT</t>
  </si>
  <si>
    <t>ED/HS/UNIFORMS/ATHL DIR/NON-CAT</t>
  </si>
  <si>
    <t>ED/HS/DUES AN/BSKTBL BOYS/NON-CAT</t>
  </si>
  <si>
    <t>ED/HS/DUES AN/BSKTBL GIRLS/NON-CAT</t>
  </si>
  <si>
    <t>ED/HS/DUES AN/XCOUNTRY/NON-CAT</t>
  </si>
  <si>
    <t>ED/HS/DUES AN/GOLF/NON-CAT</t>
  </si>
  <si>
    <t>ED/HS/DUES AN/SOCCER/NON-CAT</t>
  </si>
  <si>
    <t>ED/HS/DUES AN/B TENNIS/NON-CAT</t>
  </si>
  <si>
    <t>ED/HS/DUES AN/G TENNIS/NON-CAT</t>
  </si>
  <si>
    <t>ED/HS/DUES AN/B TRACK/NON-CAT</t>
  </si>
  <si>
    <t>ED/HS/DUES AN/G TRACK/NON-CAT</t>
  </si>
  <si>
    <t>ED/HS/DUES AN/VOLLEYBALL/NON-CAT</t>
  </si>
  <si>
    <t>ED/HS/DUES AN/WRSTLG/NON-CAT</t>
  </si>
  <si>
    <t>ED/HS/DUES AN/XCURR/NON-CAT</t>
  </si>
  <si>
    <t>ED/HS/DUES AN/BOWLING/NON-CAT</t>
  </si>
  <si>
    <t>ED/HS/WRKS/OFFIC/SPEECH/NON-CAT</t>
  </si>
  <si>
    <t>ED/HS/TRAVEL/MATH/NON-CAT</t>
  </si>
  <si>
    <t>ED/HS/SUPPLIE/CHESS/NON-CAT</t>
  </si>
  <si>
    <t>ED/HS/SUPPLIE/FINE ARTS/NON-CAT</t>
  </si>
  <si>
    <t>ED/HS/SUPPLIE/PLAY/MUSICAL/NON-CAT</t>
  </si>
  <si>
    <t>ED/HS/SUPPLIE/SPEECH/NON-CAT</t>
  </si>
  <si>
    <t>ED/HS/DUES AN/CHESS/NON-CAT</t>
  </si>
  <si>
    <t>ED/HS/DUES AN/SPEECH/NON-CAT</t>
  </si>
  <si>
    <t>ED/HS/SAL TEA/TEACHER/SUMMER SCHOOL</t>
  </si>
  <si>
    <t>ED/HS/TRS/TEACHER/SUMMER SCHOOL</t>
  </si>
  <si>
    <t>ED/HS/THIS EMPLR/TEACHER/SUMMER SCHOOL</t>
  </si>
  <si>
    <t>ED/HS/SAL TEA/DRIVER ED/DRIVER ED</t>
  </si>
  <si>
    <t>ED/HS/TRS/DRIVER ED/DRIVER ED</t>
  </si>
  <si>
    <t>ED/HS/THIS EMPLR/DRIVER ED/DRIVER ED</t>
  </si>
  <si>
    <t>ED/HS/GRP INS/DRIVER ED/DRIVER ED</t>
  </si>
  <si>
    <t>ED/HS/REPR &amp; MAINT/DRIVER ED/DRIVER ED</t>
  </si>
  <si>
    <t>ED/HS/RENTALS/DRIVER ED/DRIVER ED</t>
  </si>
  <si>
    <t>ED/HS/SUPPLIE/DRIVER ED/DRIVER ED</t>
  </si>
  <si>
    <t>ED/HS/SAL TEA/TEACHER/TPI GRANT</t>
  </si>
  <si>
    <t>ED/HS/TRS/TEACHER/TPI GRANT</t>
  </si>
  <si>
    <t>ED/HS/THIS EMPLR/TEACHER/TPI GRANT</t>
  </si>
  <si>
    <t>ED/HS/TRAVEL/TEACHER/TPI GRANT</t>
  </si>
  <si>
    <t>ED/HS/SAL ATT/SECRETARY/NON-CAT</t>
  </si>
  <si>
    <t>ED/HS/GRP INS/SECRETARY/NON-CAT</t>
  </si>
  <si>
    <t>ED/HS/TRAVEL/SECRETARY/NON-CAT</t>
  </si>
  <si>
    <t>ED/HS/SUPPLIE/SECRETARY/NON-CAT</t>
  </si>
  <si>
    <t>ED/HS/SAL TEA/GUID/NON-CAT</t>
  </si>
  <si>
    <t>ED/HS/SAL TEA/SOC WRK/NON-CAT</t>
  </si>
  <si>
    <t>ED/HS/SALARY SEC/GUID/NON-CAT</t>
  </si>
  <si>
    <t>ED/HS/TRS/GUID/NON-CAT</t>
  </si>
  <si>
    <t>ED/HS/TRS/SOC WRK/NON-CAT</t>
  </si>
  <si>
    <t>ED/HS/THIS EMPLR/GUID/NON-CAT</t>
  </si>
  <si>
    <t>ED/HS/THIS EMPLR/SOC WRK/NON-CAT</t>
  </si>
  <si>
    <t>ED/HS/GRP INS/GUID/NON-CAT</t>
  </si>
  <si>
    <t>ED/HS/GRP INS/SOC WRK/NON-CAT</t>
  </si>
  <si>
    <t>ED/HS/SUPPLIE/GUID/NON-CAT</t>
  </si>
  <si>
    <t>ED/HS/SUPPLIE/SOC WRK/NON-CAT</t>
  </si>
  <si>
    <t>ED/HS/ST ID SUPPLIES/GUID/NON-CAT</t>
  </si>
  <si>
    <t>ED/HS/DUES AN/GUID/NON-CAT</t>
  </si>
  <si>
    <t>ED/HS/SALARIES/NURSE/NON-CAT</t>
  </si>
  <si>
    <t>ED/HS/TRS/NURSE/NON-CAT</t>
  </si>
  <si>
    <t>ED/HS/THIS EMPLR/NURSE/NON-CAT</t>
  </si>
  <si>
    <t>ED/HS/GRP INS/NURSE/NON-CAT</t>
  </si>
  <si>
    <t>ED/HS/TRAVEL/NURSE/NON-CAT</t>
  </si>
  <si>
    <t>ED/HS/SUPPLIE/NURSE/NON-CAT</t>
  </si>
  <si>
    <t>ED/HS/SAL TEA/PSYCH/NON-CAT</t>
  </si>
  <si>
    <t>ED/HS/SALARY SEC/PSYCH/NON-CAT</t>
  </si>
  <si>
    <t>ED/HS/TRS/PSYCH/NON-CAT</t>
  </si>
  <si>
    <t>ED/HS/THIS EMPLR/PSYCH/NON-CAT</t>
  </si>
  <si>
    <t>ED/HS/GRP INS/PSYCH/NON-CAT</t>
  </si>
  <si>
    <t>ED/HS/PROF &amp;/PSYCH/NON-CAT</t>
  </si>
  <si>
    <t>ED/HS/TRAVEL/PSYCH/NON-CAT</t>
  </si>
  <si>
    <t>ED/HS/SUPPLIE/PSYCH/NON-CAT</t>
  </si>
  <si>
    <t>ED/HS/SAL TEA/SPEECH/INTERP/NON-CAT</t>
  </si>
  <si>
    <t>ED/HS/TRS/SPEECH/INTERP/NON-CAT</t>
  </si>
  <si>
    <t>ED/HS/THIS EMPLR/SPEECH/INTERP/NON-CAT</t>
  </si>
  <si>
    <t>ED/HS/GRP INS/SPEECH/INTERP/NON-CAT</t>
  </si>
  <si>
    <t>ED/HS/SUPPLIE/SPEECH/INTERP/NON-CAT</t>
  </si>
  <si>
    <t>ED/HS/Dir Sp Needs/SPEC ED/NON-CAT</t>
  </si>
  <si>
    <t>ED/HS/SALARIES/MONITOR/NON-CAT</t>
  </si>
  <si>
    <t>ED/HS/SALARIES/TXTBK WORKER/NON-CAT</t>
  </si>
  <si>
    <t>ED/HS/TRAVEL/SPEC ED/NON-CAT</t>
  </si>
  <si>
    <t>ED/HS/GRP INS/SPEC ED/TITLE I</t>
  </si>
  <si>
    <t>ED/HS/GRP INS/SPEC ED/TITLE II</t>
  </si>
  <si>
    <t>ED/HS/TRAVEL/SPEC ED/LEASE</t>
  </si>
  <si>
    <t>ED/HS/TRAVEL/GRANT 17/18/TITLE II</t>
  </si>
  <si>
    <t>ED/HS/SAL TEA/LIBRARY/NON-CAT</t>
  </si>
  <si>
    <t>ED/HS/TRS/LIBRARY/NON-CAT</t>
  </si>
  <si>
    <t>ED/HS/THIS EMPLR/LIBRARY/NON-CAT</t>
  </si>
  <si>
    <t>ED/HS/GRP INS/LIBRARY/NON-CAT</t>
  </si>
  <si>
    <t>ED/HS/ONLINE DATA RES/LIBRARY/NON-CAT</t>
  </si>
  <si>
    <t>ED/HS/PURC SRV TECH/LIBRARY/NON-CAT</t>
  </si>
  <si>
    <t>ED/HS/SUPPLIE/LIBRARY/NON-CAT</t>
  </si>
  <si>
    <t>ED/HS/LIBRARY/LIBRARY/NON-CAT</t>
  </si>
  <si>
    <t>ED/HS/AV MATERIALS/LIBRARY/NON-CAT</t>
  </si>
  <si>
    <t>ED/HS/E BOOKS/LIBRARY/NON-CAT</t>
  </si>
  <si>
    <t>ED/HS/PERIODI/LIBRARY/NON-CAT</t>
  </si>
  <si>
    <t>ED/HS/PROF &amp;/BOARD OF ED/NON-CAT</t>
  </si>
  <si>
    <t>ED/HS/INS ADM/BOARD OF ED/NON-CAT</t>
  </si>
  <si>
    <t>ED/HS/AUDIT/F/BOARD OF ED/NON-CAT</t>
  </si>
  <si>
    <t>ED/HS/LEGAL S/BOARD OF ED/NON-CAT</t>
  </si>
  <si>
    <t>ED/HS/TRAVEL/BOARD OF ED/NON-CAT</t>
  </si>
  <si>
    <t>ED/HS/ADVERTI/BOARD OF ED/NON-CAT</t>
  </si>
  <si>
    <t>ED/HS/SUPPLIE/BOARD OF ED/NON-CAT</t>
  </si>
  <si>
    <t>ED/HS/DUES AN/BOARD OF ED/NON-CAT</t>
  </si>
  <si>
    <t>ED/HS/EARLY TEACH RET/BOARD OF ED/NON-CAT</t>
  </si>
  <si>
    <t>ED/HS/NON TEACH RETIR/BOARD OF ED/NON-CAT</t>
  </si>
  <si>
    <t>ED/HS/SAL ADMIN/SUPER/NON-CAT</t>
  </si>
  <si>
    <t>ED/HS/SALARY SEC/SUPER/NON-CAT</t>
  </si>
  <si>
    <t>ED/HS/TRS/SUPER/NON-CAT</t>
  </si>
  <si>
    <t>ED/HS/THIS EMPLR/SUPER/NON-CAT</t>
  </si>
  <si>
    <t>ED/HS/GRP INS/SUPER/NON-CAT</t>
  </si>
  <si>
    <t>ED/HS/TUITION/SUPER/NON-CAT</t>
  </si>
  <si>
    <t>ED/HS/TRAVEL/SUPER/NON-CAT</t>
  </si>
  <si>
    <t>ED/HS/SUPPLIE/SUPER/NON-CAT</t>
  </si>
  <si>
    <t>ED/HS/DUES AN/SUPER/NON-CAT</t>
  </si>
  <si>
    <t>ED/HS/SAL ADMIN/PRINCIPAL/NON-CAT</t>
  </si>
  <si>
    <t>ED/HS/SALARY SEC/SECRETARY/NON-CAT</t>
  </si>
  <si>
    <t>ED/HS/TRS/PRINCIPAL/NON-CAT</t>
  </si>
  <si>
    <t>ED/HS/THIS EMPLR/PRINCIPAL/NON-CAT</t>
  </si>
  <si>
    <t>ED/HS/GRP INS/PRINCIPAL/NON-CAT</t>
  </si>
  <si>
    <t>ED/HS/TRAVEL/PRINCIPAL/NON-CAT</t>
  </si>
  <si>
    <t>ED/HS/SUPPLIE/PRINCIPAL/NON-CAT</t>
  </si>
  <si>
    <t>ED/HS/COMMENCEMENT/PRINCIPAL/NON-CAT</t>
  </si>
  <si>
    <t>ED/HS/DUES AN/PRINCIPAL/NON-CAT</t>
  </si>
  <si>
    <t>ED/HS/SALARY CLERICAL/BOOKKEEPER/NON-CAT</t>
  </si>
  <si>
    <t>ED/HS/GRP INS/BOOKKEEPER/NON-CAT</t>
  </si>
  <si>
    <t>ED/HS/TRAVEL/BOOKKEEPER/NON-CAT</t>
  </si>
  <si>
    <t>ED/HS/SUPPLIE/BOOKKEEPER/NON-CAT</t>
  </si>
  <si>
    <t>ED/HS/SOFTWAR/BOOKKEEPER/NON-CAT</t>
  </si>
  <si>
    <t>ED/HS/DUES AN/BOOKKEEPER/NON-CAT</t>
  </si>
  <si>
    <t>ED/HS/OTHR PR/SECURITY/NON-CAT</t>
  </si>
  <si>
    <t>ED/HS/OTHR PR/CONTRACTED/NON-CAT</t>
  </si>
  <si>
    <t>ED/HS/DUES AN/CONTRACTED/NON-CAT</t>
  </si>
  <si>
    <t>ED/HS/PROF &amp;/MED EXAM/BCKGRD/NON-CAT</t>
  </si>
  <si>
    <t>ED/HS/SUPPLIE/AWARDS &amp; RECOG/NON-CAT</t>
  </si>
  <si>
    <t>ED/HS/SALARIES/COMPUTER/NON-CAT</t>
  </si>
  <si>
    <t>ED/HS/GRP INS/COMPUTER/NON-CAT</t>
  </si>
  <si>
    <t>ED/HS/REPR &amp; MAINT/COMPUTER/NON-CAT</t>
  </si>
  <si>
    <t>ED/HS/SUPPLIE/COMPUTER/NON-CAT</t>
  </si>
  <si>
    <t>ED/HS/EQUIPME/LEASE/NON-CAT</t>
  </si>
  <si>
    <t>ED/HS/SAL TEA/SPEC ED/LEASE</t>
  </si>
  <si>
    <t>ED/HS/TUITION/VOC/NON-CAT</t>
  </si>
  <si>
    <t>ED/HS/PROF &amp;/REG/NON-CAT</t>
  </si>
  <si>
    <t>ED/HS/OTHER O/LEASE/NON-CAT</t>
  </si>
  <si>
    <t>ED/HS/OTHER O/VOC/NON-CAT</t>
  </si>
  <si>
    <t>ED/HS/TUITION/SAFE SCHOOLS/NON-CAT</t>
  </si>
  <si>
    <t>ED/HS/TEXTBOO/VOC/NON-CAT</t>
  </si>
  <si>
    <t>ED/HS/TUITION/REG/ORPHANAGE 18-3</t>
  </si>
  <si>
    <t>Count    384</t>
  </si>
  <si>
    <t>Count    439</t>
  </si>
  <si>
    <t>O &amp; M/CASH</t>
  </si>
  <si>
    <t>O &amp; M/CASH INS</t>
  </si>
  <si>
    <t>O &amp; M/CASH PCS</t>
  </si>
  <si>
    <t>O &amp; M/CASH INS CK</t>
  </si>
  <si>
    <t>O &amp; M/FLEX PLAN</t>
  </si>
  <si>
    <t>O &amp; M/SWEEP ACCT</t>
  </si>
  <si>
    <t>O &amp; M/ACCOUNT</t>
  </si>
  <si>
    <t>O &amp; M/FEDERAL</t>
  </si>
  <si>
    <t>O &amp; M/STATE W</t>
  </si>
  <si>
    <t>O &amp; M/MUNCPAL</t>
  </si>
  <si>
    <t>O &amp; M/ANNUITI</t>
  </si>
  <si>
    <t>O &amp; M/EMPLOYE</t>
  </si>
  <si>
    <t>223.93CR</t>
  </si>
  <si>
    <t>O &amp; M/FICA PA</t>
  </si>
  <si>
    <t>O &amp; M/MEDICAR</t>
  </si>
  <si>
    <t>O &amp; M/OTHR PA</t>
  </si>
  <si>
    <t>O &amp; M/LOCAL 73</t>
  </si>
  <si>
    <t>O &amp; M/FLEX HEALTH</t>
  </si>
  <si>
    <t>O &amp; M/RESERVE ENC</t>
  </si>
  <si>
    <t>15,923.23CR</t>
  </si>
  <si>
    <t>O &amp; M/FUND BAL</t>
  </si>
  <si>
    <t>558,588.76CR</t>
  </si>
  <si>
    <t>Count     20</t>
  </si>
  <si>
    <t>O &amp; M/DIST/REG/NON-CAT</t>
  </si>
  <si>
    <t>Count     10</t>
  </si>
  <si>
    <t>O &amp; M/DIST/SAL CUST/REG/NON-CAT</t>
  </si>
  <si>
    <t>O &amp; M/DIST/GRP INS/REG/NON-CAT</t>
  </si>
  <si>
    <t>O &amp; M/DIST/OTHR PR/REG/NON-CAT</t>
  </si>
  <si>
    <t>O &amp; M/DIST/SANITAT/REG/NON-CAT</t>
  </si>
  <si>
    <t>O &amp; M/DIST/REPR &amp; MAINT/REG/NON-CAT</t>
  </si>
  <si>
    <t>O &amp; M/DIST/TRAVEL/REG/NON-CAT</t>
  </si>
  <si>
    <t>O &amp; M/DIST/TELEPHONE/REG/NON-CAT</t>
  </si>
  <si>
    <t>O &amp; M/DIST/DATA LINES/REG/NON-CAT</t>
  </si>
  <si>
    <t>O &amp; M/DIST/WATER/REG/NON-CAT</t>
  </si>
  <si>
    <t>O &amp; M/DIST/CUST SUP/CUSTODIAL/NON-CAT</t>
  </si>
  <si>
    <t>O &amp; M/DIST/FURN SUP/REG/NON-CAT</t>
  </si>
  <si>
    <t>O &amp; M/DIST/MAINT SUP/REG/NON-CAT</t>
  </si>
  <si>
    <t>O &amp; M/DIST/NATURAL/REG/NON-CAT</t>
  </si>
  <si>
    <t>O &amp; M/DIST/ELECTRI/REG/NON-CAT</t>
  </si>
  <si>
    <t>O &amp; M/DIST/UNIFORMS/REG/NON-CAT</t>
  </si>
  <si>
    <t>O &amp; M/DIST/EQUIPME/MAINT/NON-CAT</t>
  </si>
  <si>
    <t>O &amp; M/DIST/EQUIPME/FURNITURE/NON-CAT</t>
  </si>
  <si>
    <t>Count     17</t>
  </si>
  <si>
    <t>Count     27</t>
  </si>
  <si>
    <t>DEBT SERVICES/CASH</t>
  </si>
  <si>
    <t>DEBT SERVICES/SWEEP ACCT</t>
  </si>
  <si>
    <t>DEBT SERVICES/ACCOUNT</t>
  </si>
  <si>
    <t>DEBT SERVICES/FUND BAL</t>
  </si>
  <si>
    <t>6,041.29CR</t>
  </si>
  <si>
    <t>Count      4</t>
  </si>
  <si>
    <t>DEBT SERVICES/DIST/REG/NON-CAT</t>
  </si>
  <si>
    <t>Count      5</t>
  </si>
  <si>
    <t>DEBT SERVICES/DIST/INT LS BONDS/REG/2014 ISSUE</t>
  </si>
  <si>
    <t>DEBT SERVICES/DIST/INT LS BONDS/REG/2018 ISSUE</t>
  </si>
  <si>
    <t>DEBT SERVICES/DIST/INT WC  BONDS/REG/Series 2013</t>
  </si>
  <si>
    <t>DEBT SERVICES/DIST/INT WC  BONDS/REG/2014 ISSUE</t>
  </si>
  <si>
    <t>DEBT SERVICES/DIST/16 BOND INTERES/REG/2016 WORK CASH</t>
  </si>
  <si>
    <t>DEBT SERVICES/DIST/LEASE INTEREST/REG/NON-CAT</t>
  </si>
  <si>
    <t>DEBT SERVICES/DIST/PRIN WC BONDS/REG/Series 2013</t>
  </si>
  <si>
    <t>DEBT SERVICES/DIST/PRIN WC BONDS/REG/2016 WORK CASH</t>
  </si>
  <si>
    <t>DEBT SERVICES/DIST/REDEMPT/REG/NON-CAT</t>
  </si>
  <si>
    <t>DEBT SERVICES/DIST/DUES AN/REG/NON-CAT</t>
  </si>
  <si>
    <t>Count     11</t>
  </si>
  <si>
    <t>Count     16</t>
  </si>
  <si>
    <t>TRANSP/CASH</t>
  </si>
  <si>
    <t>TRANSP/CASH INS</t>
  </si>
  <si>
    <t>TRANSP/CASH PCS</t>
  </si>
  <si>
    <t>TRANSP/CASH INS CK</t>
  </si>
  <si>
    <t>TRANSP/IMPREST</t>
  </si>
  <si>
    <t>TRANSP/SWEEP ACCT</t>
  </si>
  <si>
    <t>TRANSP/ACCOUNT</t>
  </si>
  <si>
    <t>TRANSP/TEACHER</t>
  </si>
  <si>
    <t>TRANSP/FEDERAL</t>
  </si>
  <si>
    <t>TRANSP/STATE W</t>
  </si>
  <si>
    <t>TRANSP/ANNUITI</t>
  </si>
  <si>
    <t>TRANSP/MEDICAR</t>
  </si>
  <si>
    <t>TRANSP/OTHR PA</t>
  </si>
  <si>
    <t>TRANSP/FLEX PLAN</t>
  </si>
  <si>
    <t>655.16CR</t>
  </si>
  <si>
    <t>TRANSP/FUND BAL</t>
  </si>
  <si>
    <t>1,009,551.58CR</t>
  </si>
  <si>
    <t>Count     15</t>
  </si>
  <si>
    <t>TRANSP/DIST/REG/NON-CAT</t>
  </si>
  <si>
    <t>TRANSP/DIST/SAL ADMIN/DIRECTOR/NON-CAT</t>
  </si>
  <si>
    <t>TRANSP/DIST/TRS/DIRECTOR/NON-CAT</t>
  </si>
  <si>
    <t>TRANSP/DIST/THIS EMPLR/DIRECTOR/NON-CAT</t>
  </si>
  <si>
    <t>TRANSP/DIST/REPR &amp; MAINT/REG/NON-CAT</t>
  </si>
  <si>
    <t>TRANSP/DIST/PUP CONT TRANS/SPEC ED/NON-CAT</t>
  </si>
  <si>
    <t>TRANSP/DIST/GASOLIN/SPEC ED/NON-CAT</t>
  </si>
  <si>
    <t>TRANSP/DIST/GASOLIN/CONTRACTED/NON-CAT</t>
  </si>
  <si>
    <t>TRANSP/DIST/PUP REG TRANS/REG/NON-CAT</t>
  </si>
  <si>
    <t>TRANSP/DIST/PUP SPED TRANS/SPEC ED/NON-CAT</t>
  </si>
  <si>
    <t>TRANSP/DIST/PUP VOC TRANS/REG/NON-CAT</t>
  </si>
  <si>
    <t>TRANSP/DIST/PUP XTA TRANS/REG/NON-CAT</t>
  </si>
  <si>
    <t>Count     12</t>
  </si>
  <si>
    <t>IMRF/CASH</t>
  </si>
  <si>
    <t>IMRF/SWEEP ACCT</t>
  </si>
  <si>
    <t>IMRF/MUNCPAL</t>
  </si>
  <si>
    <t>1,881.77CR</t>
  </si>
  <si>
    <t>IMRF/FICA PA</t>
  </si>
  <si>
    <t>IMRF/MEDICAR</t>
  </si>
  <si>
    <t>IMRF/OTHR PA</t>
  </si>
  <si>
    <t>IMRF/FUND BAL</t>
  </si>
  <si>
    <t>995,409.36CR</t>
  </si>
  <si>
    <t>Count      7</t>
  </si>
  <si>
    <t>IMRF/DIST/REG/NON-CAT</t>
  </si>
  <si>
    <t>IMRF/DIST/MUNICIP/GRANT 17/18/TITLE I</t>
  </si>
  <si>
    <t>IMRF/DIST/MUNICIP/GRANT1718/TITLE I</t>
  </si>
  <si>
    <t>IMRF/DIST/FICA/REG/TITLE I</t>
  </si>
  <si>
    <t>IMRF/DIST/MED/REG/TITLE I</t>
  </si>
  <si>
    <t>IMRF/DIST/MED/REG/TITLE II</t>
  </si>
  <si>
    <t>IMRF/DIST/MUNICIP/SPEC ED/NON-CAT</t>
  </si>
  <si>
    <t>IMRF/DIST/MUNICIP/COMPUTER/NON-CAT</t>
  </si>
  <si>
    <t>IMRF/DIST/MUNICIP/DIRECTOR/NON-CAT</t>
  </si>
  <si>
    <t>IMRF/DIST/MUNICIP/MONITOR/NON-CAT</t>
  </si>
  <si>
    <t>IMRF/DIST/MUNICIP/SUPER/NON-CAT</t>
  </si>
  <si>
    <t>IMRF/DIST/MUNICIP/SECURITY/NON-CAT</t>
  </si>
  <si>
    <t>IMRF/DIST/MUNICIP/BOOKKEEPER/NON-CAT</t>
  </si>
  <si>
    <t>IMRF/DIST/MUNICIP/CUSTODIAL/NON-CAT</t>
  </si>
  <si>
    <t>IMRF/DIST/FICA/REG/NON-CAT</t>
  </si>
  <si>
    <t>IMRF/DIST/MED/REG/NON-CAT</t>
  </si>
  <si>
    <t>IMRF/DIST/MUNICIP/REG/NON-CAT</t>
  </si>
  <si>
    <t>IMRF/HS/MUNICIP/TEACHER/NON-CAT</t>
  </si>
  <si>
    <t>IMRF/HS/FICA/REG/NON-CAT</t>
  </si>
  <si>
    <t>IMRF/HS/MED/REG/NON-CAT</t>
  </si>
  <si>
    <t>IMRF/HS/MUNICIP/SPEC ED/NON-CAT</t>
  </si>
  <si>
    <t>IMRF/HS/MUNICIP/SPEC ED/STEP</t>
  </si>
  <si>
    <t>IMRF/HS/FICA/REG/STEP</t>
  </si>
  <si>
    <t>IMRF/HS/MED/REG/LEASE</t>
  </si>
  <si>
    <t>IMRF/HS/MED/REG/STEP</t>
  </si>
  <si>
    <t>IMRF/HS/MUNICIP/REG/NON-CAT</t>
  </si>
  <si>
    <t>IMRF/HS/MUNICIP/ATHL DIR/NON-CAT</t>
  </si>
  <si>
    <t>IMRF/HS/MUNICIP/NON-CERT/NON-CAT</t>
  </si>
  <si>
    <t>IMRF/HS/MED/REG/SUMMER SCHOOL</t>
  </si>
  <si>
    <t>IMRF/HS/MED/REG/DRIVER ED</t>
  </si>
  <si>
    <t>IMRF/HS/MED/REG/TPI GRANT</t>
  </si>
  <si>
    <t>IMRF/HS/MUNICIP/SECRETARY/NON-CAT</t>
  </si>
  <si>
    <t>IMRF/HS/MUNICIP/GUID/NON-CAT</t>
  </si>
  <si>
    <t>IMRF/HS/MUNICIP/PSYCH/NON-CAT</t>
  </si>
  <si>
    <t>IMRF/HS/MUNICIP/MONITOR/NON-CAT</t>
  </si>
  <si>
    <t>IMRF/HS/MUNICIP/SUPER/NON-CAT</t>
  </si>
  <si>
    <t>IMRF/HS/MUNICIP/BOOKKEEPER/NON-CAT</t>
  </si>
  <si>
    <t>IMRF/HS/MUNICIP/COMPUTER/NON-CAT</t>
  </si>
  <si>
    <t>Count     72</t>
  </si>
  <si>
    <t>Count     76</t>
  </si>
  <si>
    <t>CAPITAL PROJECT/CASH</t>
  </si>
  <si>
    <t>CAPITAL PROJECT/INVESTM</t>
  </si>
  <si>
    <t>CAPITAL PROJECT/SWEEP ACCT</t>
  </si>
  <si>
    <t>CAPITAL PROJECT/ACCOUNT</t>
  </si>
  <si>
    <t>CAPITAL PROJECT/RESERVE ENC</t>
  </si>
  <si>
    <t>CAPITAL PROJECT/FUND BAL</t>
  </si>
  <si>
    <t>3,379,683.66CR</t>
  </si>
  <si>
    <t>Count      6</t>
  </si>
  <si>
    <t>CAPITAL PROJECT/DIST/REG/NON-CAT</t>
  </si>
  <si>
    <t>Count      2</t>
  </si>
  <si>
    <t>CAPITAL PROJECT/DIST/ARCH &amp; ENG/MANAGMNT/NON-CAT</t>
  </si>
  <si>
    <t>CAPITAL PROJECT/DIST/IMPR PROJ/REG/NON-CAT</t>
  </si>
  <si>
    <t>WC/CASH</t>
  </si>
  <si>
    <t>WC/SWEEP ACCT</t>
  </si>
  <si>
    <t>WC/WC BONDS 2013A</t>
  </si>
  <si>
    <t>WC/FUND BAL</t>
  </si>
  <si>
    <t>2,975,482.49CR</t>
  </si>
  <si>
    <t>WC/DIST/REG/NON-CAT</t>
  </si>
  <si>
    <t>Count      1</t>
  </si>
  <si>
    <t>Count      3</t>
  </si>
  <si>
    <t>TORT/CASH</t>
  </si>
  <si>
    <t>TORT/INVESTM</t>
  </si>
  <si>
    <t>TORT/SWEEP ACCT</t>
  </si>
  <si>
    <t>TORT/ACCOUNT</t>
  </si>
  <si>
    <t>TORT/TEACHER</t>
  </si>
  <si>
    <t>TORT/FEDERAL</t>
  </si>
  <si>
    <t>TORT/STATE W</t>
  </si>
  <si>
    <t>TORT/MUNCPAL</t>
  </si>
  <si>
    <t>TORT/ANNUITI</t>
  </si>
  <si>
    <t>TORT/EMPLOYE</t>
  </si>
  <si>
    <t>TORT/FICA PA</t>
  </si>
  <si>
    <t>TORT/MEDICAR</t>
  </si>
  <si>
    <t>TORT/OTHR PA</t>
  </si>
  <si>
    <t>TORT/UNION DUES</t>
  </si>
  <si>
    <t>TORT/LOCAL 73</t>
  </si>
  <si>
    <t>TORT/WAGE GARNISHMNT</t>
  </si>
  <si>
    <t>TORT/FLEX PLAN</t>
  </si>
  <si>
    <t>TORT/FLEX HEALTH</t>
  </si>
  <si>
    <t>TORT/RESERVE ENC</t>
  </si>
  <si>
    <t>TORT/FUND BAL</t>
  </si>
  <si>
    <t>1,274,016.41CR</t>
  </si>
  <si>
    <t>TORT/DIST/REG/NON-CAT</t>
  </si>
  <si>
    <t>TORT/DIST/PROF &amp;/TORT/NON-CAT</t>
  </si>
  <si>
    <t>TORT/DIST/SUPPLIE/TORT/NON-CAT</t>
  </si>
  <si>
    <t>TORT/DIST/SAL TEA/SCIENCE/NON-CAT</t>
  </si>
  <si>
    <t>TORT/DIST/SAL TEA/VOC/NON-CAT</t>
  </si>
  <si>
    <t>TORT/DIST/SAL TEA/P.E./NON-CAT</t>
  </si>
  <si>
    <t>TORT/DIST/SAL TEA/SPEC ED/NON-CAT</t>
  </si>
  <si>
    <t>TORT/DIST/SAL TEA/DRIVER ED/NON-CAT</t>
  </si>
  <si>
    <t>TORT/DIST/SAL TEA/GUID/NON-CAT</t>
  </si>
  <si>
    <t>TORT/DIST/SAL TEA/PSYCH/NON-CAT</t>
  </si>
  <si>
    <t>TORT/DIST/SAL TEA/SOC WRK/NON-CAT</t>
  </si>
  <si>
    <t>TORT/DIST/SAL TEA/SPEECH/NON-CAT</t>
  </si>
  <si>
    <t>TORT/DIST/Dir Sp Needs/DIRECTOR/NON-CAT</t>
  </si>
  <si>
    <t>TORT/DIST/SAL ADMIN/COMPUTER/NON-CAT</t>
  </si>
  <si>
    <t>TORT/DIST/SAL ADMIN/PRINCIPAL/NON-CAT</t>
  </si>
  <si>
    <t>TORT/DIST/SAL ADMIN/SUPER/NON-CAT</t>
  </si>
  <si>
    <t>TORT/DIST/SAL ADMIN/BOOKKEEPER/NON-CAT</t>
  </si>
  <si>
    <t>TORT/DIST/SALARY SEC/SUPER/NON-CAT</t>
  </si>
  <si>
    <t>TORT/DIST/SAL ATT/PRINCIPAL/NON-CAT</t>
  </si>
  <si>
    <t>TORT/DIST/SAL AIDES/SPEC ED/NON-CAT</t>
  </si>
  <si>
    <t>TORT/DIST/SAL CUST/CUSTODIAL/NON-CAT</t>
  </si>
  <si>
    <t>TORT/DIST/SAL MAINT/DIRECTOR/NON-CAT</t>
  </si>
  <si>
    <t>TORT/DIST/SAL ATHLETIC/ATHL DIR/NON-CAT</t>
  </si>
  <si>
    <t>TORT/DIST/SALARIES/NURSE/NON-CAT</t>
  </si>
  <si>
    <t>TORT/DIST/SALARIES/MONITOR/NON-CAT</t>
  </si>
  <si>
    <t>TORT/DIST/SALARIES/SECURITY/NON-CAT</t>
  </si>
  <si>
    <t>TORT/DIST/TRS/SCIENCE/NON-CAT</t>
  </si>
  <si>
    <t>TORT/DIST/TRS/VOC/NON-CAT</t>
  </si>
  <si>
    <t>TORT/DIST/TRS/P.E./NON-CAT</t>
  </si>
  <si>
    <t>TORT/DIST/TRS/SPEC ED/NON-CAT</t>
  </si>
  <si>
    <t>TORT/DIST/TRS/DRIVER ED/NON-CAT</t>
  </si>
  <si>
    <t>TORT/DIST/TRS/ATHL DIR/NON-CAT</t>
  </si>
  <si>
    <t>TORT/DIST/TRS/DIRECTOR/NON-CAT</t>
  </si>
  <si>
    <t>TORT/DIST/TRS/GUID/NON-CAT</t>
  </si>
  <si>
    <t>TORT/DIST/TRS/PSYCH/NON-CAT</t>
  </si>
  <si>
    <t>TORT/DIST/TRS/SOC WRK/NON-CAT</t>
  </si>
  <si>
    <t>TORT/DIST/TRS/NURSE/NON-CAT</t>
  </si>
  <si>
    <t>TORT/DIST/TRS/PRINCIPAL/NON-CAT</t>
  </si>
  <si>
    <t>TORT/DIST/TRS/SUPER/NON-CAT</t>
  </si>
  <si>
    <t>TORT/DIST/TRS/SPEECH/NON-CAT</t>
  </si>
  <si>
    <t>TORT/DIST/THIS EMPLR/SCIENCE/NON-CAT</t>
  </si>
  <si>
    <t>TORT/DIST/THIS EMPLR/VOC/NON-CAT</t>
  </si>
  <si>
    <t>TORT/DIST/THIS EMPLR/P.E./NON-CAT</t>
  </si>
  <si>
    <t>TORT/DIST/THIS EMPLR/SPEC ED/NON-CAT</t>
  </si>
  <si>
    <t>TORT/DIST/THIS EMPLR/DRIVER ED/NON-CAT</t>
  </si>
  <si>
    <t>TORT/DIST/THIS EMPLR/ATHL DIR/NON-CAT</t>
  </si>
  <si>
    <t>TORT/DIST/THIS EMPLR/DIRECTOR/NON-CAT</t>
  </si>
  <si>
    <t>TORT/DIST/THIS EMPLR/GUID/NON-CAT</t>
  </si>
  <si>
    <t>TORT/DIST/THIS EMPLR/PSYCH/NON-CAT</t>
  </si>
  <si>
    <t>TORT/DIST/THIS EMPLR/SOC WRK/NON-CAT</t>
  </si>
  <si>
    <t>TORT/DIST/THIS EMPLR/NURSE/NON-CAT</t>
  </si>
  <si>
    <t>TORT/DIST/THIS EMPLR/PRINCIPAL/NON-CAT</t>
  </si>
  <si>
    <t>TORT/DIST/THIS EMPLR/SUPER/NON-CAT</t>
  </si>
  <si>
    <t>TORT/DIST/THIS EMPLR/SPEECH/NON-CAT</t>
  </si>
  <si>
    <t>TORT/DIST/LEGAL S/REG/NON-CAT</t>
  </si>
  <si>
    <t>TORT/DIST/IMPR PROJ/TORT/NON-CAT</t>
  </si>
  <si>
    <t>TORT/DIST/EQUIPME/TORT/NON-CAT</t>
  </si>
  <si>
    <t>TORT/DIST/INS LIAB/TORT/NON-CAT</t>
  </si>
  <si>
    <t>Count     74</t>
  </si>
  <si>
    <t>Count     77</t>
  </si>
  <si>
    <t>LS/CASH</t>
  </si>
  <si>
    <t>LS/LS BONDS 2013B</t>
  </si>
  <si>
    <t>LS/ACCOUNT</t>
  </si>
  <si>
    <t>LS/RESERVE ENC</t>
  </si>
  <si>
    <t>LS/FUND BAL</t>
  </si>
  <si>
    <t>3,983,232.07CR</t>
  </si>
  <si>
    <t>LS/DIST/REG/NON-CAT</t>
  </si>
  <si>
    <t>LS/DIST/ARCH &amp; ENG/REG/NON-CAT</t>
  </si>
  <si>
    <t>LS/DIST/BUILDIN/REG/NON-CAT</t>
  </si>
  <si>
    <t>LS/DIST/Architect &amp; eng/REG/NON-CAT</t>
  </si>
  <si>
    <t>LS/DIST/OTHR PR/REG/NON-CAT</t>
  </si>
  <si>
    <t>Count      8</t>
  </si>
  <si>
    <t>00 000000</t>
  </si>
  <si>
    <t>000 00 000000</t>
  </si>
  <si>
    <t>10   Balance Sheet</t>
  </si>
  <si>
    <t>00 190000</t>
  </si>
  <si>
    <t>10   Operating Revenue</t>
  </si>
  <si>
    <t>60 430000</t>
  </si>
  <si>
    <t>61 430000</t>
  </si>
  <si>
    <t>60 493200</t>
  </si>
  <si>
    <t>19 462000</t>
  </si>
  <si>
    <t>61 493200</t>
  </si>
  <si>
    <t>55 000000</t>
  </si>
  <si>
    <t>21 000000</t>
  </si>
  <si>
    <t>12 000000</t>
  </si>
  <si>
    <t>13 000000</t>
  </si>
  <si>
    <t>14 000000</t>
  </si>
  <si>
    <t>02 000000</t>
  </si>
  <si>
    <t>06 000000</t>
  </si>
  <si>
    <t>11 000000</t>
  </si>
  <si>
    <t>15 000000</t>
  </si>
  <si>
    <t>18 000000</t>
  </si>
  <si>
    <t>39 000000</t>
  </si>
  <si>
    <t>87 000000</t>
  </si>
  <si>
    <t>50 000000</t>
  </si>
  <si>
    <t>19 000000</t>
  </si>
  <si>
    <t>19 495100</t>
  </si>
  <si>
    <t>19 490000</t>
  </si>
  <si>
    <t>17 000000</t>
  </si>
  <si>
    <t>01 000000</t>
  </si>
  <si>
    <t>03 000000</t>
  </si>
  <si>
    <t>10 000000</t>
  </si>
  <si>
    <t>60 010000</t>
  </si>
  <si>
    <t>09 000000</t>
  </si>
  <si>
    <t>42 000000</t>
  </si>
  <si>
    <t>45 000000</t>
  </si>
  <si>
    <t>56 000000</t>
  </si>
  <si>
    <t>44 000000</t>
  </si>
  <si>
    <t>23 000000</t>
  </si>
  <si>
    <t>24 000000</t>
  </si>
  <si>
    <t>25 000000</t>
  </si>
  <si>
    <t>27 000000</t>
  </si>
  <si>
    <t>28 000000</t>
  </si>
  <si>
    <t>31 000000</t>
  </si>
  <si>
    <t>32 000000</t>
  </si>
  <si>
    <t>37 000000</t>
  </si>
  <si>
    <t>38 000000</t>
  </si>
  <si>
    <t>40 000000</t>
  </si>
  <si>
    <t>41 000000</t>
  </si>
  <si>
    <t>85 000000</t>
  </si>
  <si>
    <t>26 000000</t>
  </si>
  <si>
    <t>29 000000</t>
  </si>
  <si>
    <t>30 000000</t>
  </si>
  <si>
    <t>35 000000</t>
  </si>
  <si>
    <t>36 000000</t>
  </si>
  <si>
    <t>73 000000</t>
  </si>
  <si>
    <t>71 000000</t>
  </si>
  <si>
    <t>67 000000</t>
  </si>
  <si>
    <t>68 000000</t>
  </si>
  <si>
    <t>70 000000</t>
  </si>
  <si>
    <t>55 314500</t>
  </si>
  <si>
    <t>22 337000</t>
  </si>
  <si>
    <t>55 330500</t>
  </si>
  <si>
    <t>86 000000</t>
  </si>
  <si>
    <t>46 000000</t>
  </si>
  <si>
    <t>49 000000</t>
  </si>
  <si>
    <t>51 000000</t>
  </si>
  <si>
    <t>48 000000</t>
  </si>
  <si>
    <t>20 000000</t>
  </si>
  <si>
    <t>53 000000</t>
  </si>
  <si>
    <t>58 000000</t>
  </si>
  <si>
    <t>19 430000</t>
  </si>
  <si>
    <t>19 493200</t>
  </si>
  <si>
    <t>47 000000</t>
  </si>
  <si>
    <t>43 000000</t>
  </si>
  <si>
    <t>54 000000</t>
  </si>
  <si>
    <t>52 000000</t>
  </si>
  <si>
    <t>65 000000</t>
  </si>
  <si>
    <t>62 000000</t>
  </si>
  <si>
    <t>59 000000</t>
  </si>
  <si>
    <t>63 000000</t>
  </si>
  <si>
    <t>64 000000</t>
  </si>
  <si>
    <t>57 000000</t>
  </si>
  <si>
    <t>84 000000</t>
  </si>
  <si>
    <t>00 395000</t>
  </si>
  <si>
    <t>10   Operating EEpenses</t>
  </si>
  <si>
    <t>10   Operating Statement</t>
  </si>
  <si>
    <t>l     Balance Sheet</t>
  </si>
  <si>
    <t>l     Operating Statement</t>
  </si>
  <si>
    <t>20   Balance Sheet</t>
  </si>
  <si>
    <t>20   Operating Revenue</t>
  </si>
  <si>
    <t>72 000000</t>
  </si>
  <si>
    <t>74 000000</t>
  </si>
  <si>
    <t>75 000000</t>
  </si>
  <si>
    <t>20   Operating EEpenses</t>
  </si>
  <si>
    <t>20   Operating Statement</t>
  </si>
  <si>
    <t>30   Balance Sheet</t>
  </si>
  <si>
    <t>30   Operating Revenue</t>
  </si>
  <si>
    <t>00 701400</t>
  </si>
  <si>
    <t>00 701800</t>
  </si>
  <si>
    <t>00 701300</t>
  </si>
  <si>
    <t>00 701600</t>
  </si>
  <si>
    <t>30   Operating EEpenses</t>
  </si>
  <si>
    <t>30   Operating Statement</t>
  </si>
  <si>
    <t>40   Balance Sheet</t>
  </si>
  <si>
    <t>40   Operating Revenue</t>
  </si>
  <si>
    <t>40   Operating Expenses</t>
  </si>
  <si>
    <t>40   Operating Statement</t>
  </si>
  <si>
    <t>50   Balance Sheet</t>
  </si>
  <si>
    <t>50   Operating Revenue</t>
  </si>
  <si>
    <t>00 430000</t>
  </si>
  <si>
    <t>00 493200</t>
  </si>
  <si>
    <t>120 55 000000</t>
  </si>
  <si>
    <t>130 00 000000</t>
  </si>
  <si>
    <t>140 00 000000</t>
  </si>
  <si>
    <t>120 19 000000</t>
  </si>
  <si>
    <t>120 19 495100</t>
  </si>
  <si>
    <t>130 00 495100</t>
  </si>
  <si>
    <t>140 00 462000</t>
  </si>
  <si>
    <t>140 00 495100</t>
  </si>
  <si>
    <t>120 00 000000</t>
  </si>
  <si>
    <t>120 42 000000</t>
  </si>
  <si>
    <t>120 56 000000</t>
  </si>
  <si>
    <t>140 00 314500</t>
  </si>
  <si>
    <t>140 00 337000</t>
  </si>
  <si>
    <t>140 00 330500</t>
  </si>
  <si>
    <t>120 86 000000</t>
  </si>
  <si>
    <t>120 46 000000</t>
  </si>
  <si>
    <t>120 48 000000</t>
  </si>
  <si>
    <t>120 53 000000</t>
  </si>
  <si>
    <t>120 54 000000</t>
  </si>
  <si>
    <t>120 65 000000</t>
  </si>
  <si>
    <t>120 21 000000</t>
  </si>
  <si>
    <t>50   Operating EEpenses</t>
  </si>
  <si>
    <t>50   Operating Statement</t>
  </si>
  <si>
    <t>60   Balance Sheet</t>
  </si>
  <si>
    <t>60   Operating Revenue</t>
  </si>
  <si>
    <t>78 000000</t>
  </si>
  <si>
    <t>60   Operating EEpenses</t>
  </si>
  <si>
    <t>60   Operating Statement</t>
  </si>
  <si>
    <t>70   Balance Sheet</t>
  </si>
  <si>
    <t>70   Operating Revenue</t>
  </si>
  <si>
    <t>70   Operating EEpenses</t>
  </si>
  <si>
    <t>70   Operating Statement</t>
  </si>
  <si>
    <t>80   Balance Sheet</t>
  </si>
  <si>
    <t>80   Operating Revenue</t>
  </si>
  <si>
    <t>90 000000</t>
  </si>
  <si>
    <t>22 000000</t>
  </si>
  <si>
    <t>80   Operating EEpenses</t>
  </si>
  <si>
    <t>80   Operating Statement</t>
  </si>
  <si>
    <t>90   Balance Sheet</t>
  </si>
  <si>
    <t>90   Operating Revenue</t>
  </si>
  <si>
    <t>90   Operating EEpenses</t>
  </si>
  <si>
    <t>90   Operating Statement</t>
  </si>
  <si>
    <t>10Q000-7010-0</t>
  </si>
  <si>
    <t>10Q000-7040-0</t>
  </si>
  <si>
    <t>**-Total-Fund</t>
  </si>
  <si>
    <t>**-Grand-Tota</t>
  </si>
  <si>
    <t>20Q000-7010-0</t>
  </si>
  <si>
    <t>20Q000-7040-0</t>
  </si>
  <si>
    <t>30Q000-7040-0</t>
  </si>
  <si>
    <t>40Q000-7040-0</t>
  </si>
  <si>
    <t>50Q000-7040-0</t>
  </si>
  <si>
    <t>60Q000-7010-0</t>
  </si>
  <si>
    <t>60Q000-7040-0</t>
  </si>
  <si>
    <t>70Q000-7040-0</t>
  </si>
  <si>
    <t>80Q000-7010-0</t>
  </si>
  <si>
    <t>80Q000-7040-0</t>
  </si>
  <si>
    <t>90Q000-7010-0</t>
  </si>
  <si>
    <t>90Q000-7040-0</t>
  </si>
  <si>
    <t>10-1010-0000</t>
  </si>
  <si>
    <t>10-1012-0000</t>
  </si>
  <si>
    <t>10-1013-0000</t>
  </si>
  <si>
    <t>10-1014-0000</t>
  </si>
  <si>
    <t>10-1015-0000</t>
  </si>
  <si>
    <t>10-1016-0000</t>
  </si>
  <si>
    <t>10-1050-0000</t>
  </si>
  <si>
    <t>10-1510-0000</t>
  </si>
  <si>
    <t>10-1801-0000</t>
  </si>
  <si>
    <t>10-1803-0000</t>
  </si>
  <si>
    <t>10-1804-0000</t>
  </si>
  <si>
    <t>10-4020-0000</t>
  </si>
  <si>
    <t>10-4510-0000</t>
  </si>
  <si>
    <t>10-4520-0000</t>
  </si>
  <si>
    <t>10-4530-0000</t>
  </si>
  <si>
    <t>10-4540-0000</t>
  </si>
  <si>
    <t>10-4550-0000</t>
  </si>
  <si>
    <t>10-4560-0000</t>
  </si>
  <si>
    <t>10-4570-0000</t>
  </si>
  <si>
    <t>10-4580-0000</t>
  </si>
  <si>
    <t>10-4590-0000</t>
  </si>
  <si>
    <t>10-4592-0000</t>
  </si>
  <si>
    <t>10-4594-0000</t>
  </si>
  <si>
    <t>10-4595-0000</t>
  </si>
  <si>
    <t>10-4597-0000</t>
  </si>
  <si>
    <t>10-4810-0000</t>
  </si>
  <si>
    <t>10-4830-0000</t>
  </si>
  <si>
    <t>10-6020-0000</t>
  </si>
  <si>
    <t>10-1112-0000</t>
  </si>
  <si>
    <t>10-1132-0000</t>
  </si>
  <si>
    <t>10-1142-0000</t>
  </si>
  <si>
    <t>10-1230-0000</t>
  </si>
  <si>
    <t>10-1311-0000</t>
  </si>
  <si>
    <t>10-1321-0000</t>
  </si>
  <si>
    <t>10-1520-0000</t>
  </si>
  <si>
    <t>10-1613-0000</t>
  </si>
  <si>
    <t>10-1614-0000</t>
  </si>
  <si>
    <t>10-1690-0000</t>
  </si>
  <si>
    <t>10-1711-0000</t>
  </si>
  <si>
    <t>10-1719-0000</t>
  </si>
  <si>
    <t>10-1721-0000</t>
  </si>
  <si>
    <t>10-1723-0000</t>
  </si>
  <si>
    <t>10-1730-0000</t>
  </si>
  <si>
    <t>10-1811-0000</t>
  </si>
  <si>
    <t>10-1821-0000</t>
  </si>
  <si>
    <t>10-1920-0000</t>
  </si>
  <si>
    <t>10-1950-0000</t>
  </si>
  <si>
    <t>10-1970-0000</t>
  </si>
  <si>
    <t>10-1980-0000</t>
  </si>
  <si>
    <t>10-1993-0000</t>
  </si>
  <si>
    <t>10-1999-0000</t>
  </si>
  <si>
    <t>10-3001-0000</t>
  </si>
  <si>
    <t>10-3100-0000</t>
  </si>
  <si>
    <t>10-3105-0000</t>
  </si>
  <si>
    <t>10-3110-0000</t>
  </si>
  <si>
    <t>10-3120-0000</t>
  </si>
  <si>
    <t>10-3145-0000</t>
  </si>
  <si>
    <t>10-3220-0000</t>
  </si>
  <si>
    <t>10-3235-0000</t>
  </si>
  <si>
    <t>10-3305-0000</t>
  </si>
  <si>
    <t>10-3360-0000</t>
  </si>
  <si>
    <t>10-3370-0000</t>
  </si>
  <si>
    <t>10-3999-0000</t>
  </si>
  <si>
    <t>10-4215-0000</t>
  </si>
  <si>
    <t>10-4300-0000</t>
  </si>
  <si>
    <t>10-4620-0000</t>
  </si>
  <si>
    <t>10-4625-0000</t>
  </si>
  <si>
    <t>10-4920-0000</t>
  </si>
  <si>
    <t>10-4932-0000</t>
  </si>
  <si>
    <t>10-4991-0000</t>
  </si>
  <si>
    <t>10-4992-0000</t>
  </si>
  <si>
    <t>10-7110-0000</t>
  </si>
  <si>
    <t>10-7900-0000</t>
  </si>
  <si>
    <t>10-1250-1100</t>
  </si>
  <si>
    <t>10-1250-1103</t>
  </si>
  <si>
    <t>10-1250-1105</t>
  </si>
  <si>
    <t>10-1250-1114</t>
  </si>
  <si>
    <t>10-1250-2110</t>
  </si>
  <si>
    <t>10-1250-2111</t>
  </si>
  <si>
    <t>10-1250-2112</t>
  </si>
  <si>
    <t>10-1250-2115</t>
  </si>
  <si>
    <t>10-1250-2200</t>
  </si>
  <si>
    <t>10-1250-3100</t>
  </si>
  <si>
    <t>10-1250-3320</t>
  </si>
  <si>
    <t>10-1250-4100</t>
  </si>
  <si>
    <t>10-1250-4200</t>
  </si>
  <si>
    <t>10-1250-5400</t>
  </si>
  <si>
    <t>10-2210-1100</t>
  </si>
  <si>
    <t>10-2210-2110</t>
  </si>
  <si>
    <t>10-2210-2111</t>
  </si>
  <si>
    <t>10-2210-2112</t>
  </si>
  <si>
    <t>10-2210-2115</t>
  </si>
  <si>
    <t>10-2210-2200</t>
  </si>
  <si>
    <t>10-2210-3320</t>
  </si>
  <si>
    <t>10-2212-1200</t>
  </si>
  <si>
    <t>10-2212-3100</t>
  </si>
  <si>
    <t>10-2212-3320</t>
  </si>
  <si>
    <t>10-3000-1100</t>
  </si>
  <si>
    <t>10-3000-2111</t>
  </si>
  <si>
    <t>10-3000-2112</t>
  </si>
  <si>
    <t>10-3000-2115</t>
  </si>
  <si>
    <t>10-3000-3100</t>
  </si>
  <si>
    <t>10-3000-3320</t>
  </si>
  <si>
    <t>10-3000-4100</t>
  </si>
  <si>
    <t>10-4110-3104</t>
  </si>
  <si>
    <t>10-8410-0000</t>
  </si>
  <si>
    <t>10-8510-0000</t>
  </si>
  <si>
    <t>10-1200-1100</t>
  </si>
  <si>
    <t>10-1200-1114</t>
  </si>
  <si>
    <t>10-1200-1200</t>
  </si>
  <si>
    <t>10-1200-1201</t>
  </si>
  <si>
    <t>10-1200-1220</t>
  </si>
  <si>
    <t>10-1200-2110</t>
  </si>
  <si>
    <t>10-1200-2111</t>
  </si>
  <si>
    <t>10-1200-2112</t>
  </si>
  <si>
    <t>10-1200-2115</t>
  </si>
  <si>
    <t>10-1200-2200</t>
  </si>
  <si>
    <t>10-1200-2300</t>
  </si>
  <si>
    <t>10-1200-3100</t>
  </si>
  <si>
    <t>10-1200-3111</t>
  </si>
  <si>
    <t>10-1200-3141</t>
  </si>
  <si>
    <t>10-1200-3300</t>
  </si>
  <si>
    <t>10-1200-3500</t>
  </si>
  <si>
    <t>10-1200-4100</t>
  </si>
  <si>
    <t>10-1200-4109</t>
  </si>
  <si>
    <t>10-1200-4200</t>
  </si>
  <si>
    <t>10-1200-5400</t>
  </si>
  <si>
    <t>10-1400-1100</t>
  </si>
  <si>
    <t>10-1400-2110</t>
  </si>
  <si>
    <t>10-1400-2112</t>
  </si>
  <si>
    <t>10-1400-2115</t>
  </si>
  <si>
    <t>10-1400-2200</t>
  </si>
  <si>
    <t>10-1400-3230</t>
  </si>
  <si>
    <t>10-1400-4100</t>
  </si>
  <si>
    <t>10-1400-4109</t>
  </si>
  <si>
    <t>10-1500-1112</t>
  </si>
  <si>
    <t>10-1500-1118</t>
  </si>
  <si>
    <t>10-1500-1321</t>
  </si>
  <si>
    <t>10-1500-2110</t>
  </si>
  <si>
    <t>10-1500-2112</t>
  </si>
  <si>
    <t>10-1500-2115</t>
  </si>
  <si>
    <t>10-1500-2200</t>
  </si>
  <si>
    <t>10-1500-3100</t>
  </si>
  <si>
    <t>10-1500-3101</t>
  </si>
  <si>
    <t>10-1500-3130</t>
  </si>
  <si>
    <t>10-1500-3190</t>
  </si>
  <si>
    <t>10-1500-3320</t>
  </si>
  <si>
    <t>10-1500-3420</t>
  </si>
  <si>
    <t>10-1500-3600</t>
  </si>
  <si>
    <t>10-1500-4100</t>
  </si>
  <si>
    <t>10-1500-5410</t>
  </si>
  <si>
    <t>10-1500-6400</t>
  </si>
  <si>
    <t>10-1501-3101</t>
  </si>
  <si>
    <t>10-1501-3320</t>
  </si>
  <si>
    <t>10-1501-4100</t>
  </si>
  <si>
    <t>10-1501-6400</t>
  </si>
  <si>
    <t>10-1600-1100</t>
  </si>
  <si>
    <t>10-1600-2110</t>
  </si>
  <si>
    <t>10-1600-2112</t>
  </si>
  <si>
    <t>10-1600-2115</t>
  </si>
  <si>
    <t>10-1650-1100</t>
  </si>
  <si>
    <t>10-1650-2110</t>
  </si>
  <si>
    <t>10-1650-2112</t>
  </si>
  <si>
    <t>10-1650-2115</t>
  </si>
  <si>
    <t>10-1700-1100</t>
  </si>
  <si>
    <t>10-1700-2110</t>
  </si>
  <si>
    <t>10-1700-2112</t>
  </si>
  <si>
    <t>10-1700-2115</t>
  </si>
  <si>
    <t>10-1700-2200</t>
  </si>
  <si>
    <t>10-1700-3230</t>
  </si>
  <si>
    <t>10-1700-3251</t>
  </si>
  <si>
    <t>10-1700-4100</t>
  </si>
  <si>
    <t>10-1800-1100</t>
  </si>
  <si>
    <t>10-1800-2110</t>
  </si>
  <si>
    <t>10-1800-2112</t>
  </si>
  <si>
    <t>10-1800-2115</t>
  </si>
  <si>
    <t>10-1800-3320</t>
  </si>
  <si>
    <t>10-1912-6700</t>
  </si>
  <si>
    <t>10-2110-1100</t>
  </si>
  <si>
    <t>10-2110-1113</t>
  </si>
  <si>
    <t>10-2110-2110</t>
  </si>
  <si>
    <t>10-2110-2112</t>
  </si>
  <si>
    <t>10-2110-2115</t>
  </si>
  <si>
    <t>10-2110-2200</t>
  </si>
  <si>
    <t>10-2110-3320</t>
  </si>
  <si>
    <t>10-2110-4100</t>
  </si>
  <si>
    <t>10-2120-1100</t>
  </si>
  <si>
    <t>10-2120-1112</t>
  </si>
  <si>
    <t>10-2120-2110</t>
  </si>
  <si>
    <t>10-2120-2112</t>
  </si>
  <si>
    <t>10-2120-2115</t>
  </si>
  <si>
    <t>10-2120-2200</t>
  </si>
  <si>
    <t>10-2120-4100</t>
  </si>
  <si>
    <t>10-2120-4106</t>
  </si>
  <si>
    <t>10-2120-6400</t>
  </si>
  <si>
    <t>10-2130-1119</t>
  </si>
  <si>
    <t>10-2130-2110</t>
  </si>
  <si>
    <t>10-2130-2112</t>
  </si>
  <si>
    <t>10-2130-2115</t>
  </si>
  <si>
    <t>10-2130-2200</t>
  </si>
  <si>
    <t>10-2130-3320</t>
  </si>
  <si>
    <t>10-2130-4100</t>
  </si>
  <si>
    <t>10-2140-1100</t>
  </si>
  <si>
    <t>10-2140-1112</t>
  </si>
  <si>
    <t>10-2140-2110</t>
  </si>
  <si>
    <t>10-2140-2112</t>
  </si>
  <si>
    <t>10-2140-2115</t>
  </si>
  <si>
    <t>10-2140-2200</t>
  </si>
  <si>
    <t>10-2140-3100</t>
  </si>
  <si>
    <t>10-2140-3320</t>
  </si>
  <si>
    <t>10-2140-4100</t>
  </si>
  <si>
    <t>10-2150-1100</t>
  </si>
  <si>
    <t>10-2150-2110</t>
  </si>
  <si>
    <t>10-2150-2112</t>
  </si>
  <si>
    <t>10-2150-2115</t>
  </si>
  <si>
    <t>10-2150-2200</t>
  </si>
  <si>
    <t>10-2150-4100</t>
  </si>
  <si>
    <t>10-2190-1104</t>
  </si>
  <si>
    <t>10-2190-1119</t>
  </si>
  <si>
    <t>10-2190-2110</t>
  </si>
  <si>
    <t>10-2190-2112</t>
  </si>
  <si>
    <t>10-2190-2115</t>
  </si>
  <si>
    <t>10-2190-2200</t>
  </si>
  <si>
    <t>10-2190-3320</t>
  </si>
  <si>
    <t>10-2210-1200</t>
  </si>
  <si>
    <t>10-2220-1100</t>
  </si>
  <si>
    <t>10-2220-2110</t>
  </si>
  <si>
    <t>10-2220-2112</t>
  </si>
  <si>
    <t>10-2220-2115</t>
  </si>
  <si>
    <t>10-2220-2200</t>
  </si>
  <si>
    <t>10-2220-3141</t>
  </si>
  <si>
    <t>10-2220-3191</t>
  </si>
  <si>
    <t>10-2220-4100</t>
  </si>
  <si>
    <t>10-2220-4300</t>
  </si>
  <si>
    <t>10-2220-4301</t>
  </si>
  <si>
    <t>10-2220-4302</t>
  </si>
  <si>
    <t>10-2220-4400</t>
  </si>
  <si>
    <t>10-2230-4100</t>
  </si>
  <si>
    <t>10-2310-3100</t>
  </si>
  <si>
    <t>10-2310-3110</t>
  </si>
  <si>
    <t>10-2310-3170</t>
  </si>
  <si>
    <t>10-2310-3180</t>
  </si>
  <si>
    <t>10-2310-3320</t>
  </si>
  <si>
    <t>10-2310-3500</t>
  </si>
  <si>
    <t>10-2310-4100</t>
  </si>
  <si>
    <t>10-2310-6400</t>
  </si>
  <si>
    <t>10-2310-6902</t>
  </si>
  <si>
    <t>10-2310-6903</t>
  </si>
  <si>
    <t>10-2320-1110</t>
  </si>
  <si>
    <t>10-2320-1112</t>
  </si>
  <si>
    <t>10-2320-2110</t>
  </si>
  <si>
    <t>10-2320-2112</t>
  </si>
  <si>
    <t>10-2320-2115</t>
  </si>
  <si>
    <t>10-2320-2200</t>
  </si>
  <si>
    <t>10-2320-2300</t>
  </si>
  <si>
    <t>10-2320-3320</t>
  </si>
  <si>
    <t>10-2320-4100</t>
  </si>
  <si>
    <t>10-2320-6400</t>
  </si>
  <si>
    <t>10-2410-1110</t>
  </si>
  <si>
    <t>10-2410-1112</t>
  </si>
  <si>
    <t>10-2410-2110</t>
  </si>
  <si>
    <t>10-2410-2112</t>
  </si>
  <si>
    <t>10-2410-2115</t>
  </si>
  <si>
    <t>10-2410-2200</t>
  </si>
  <si>
    <t>10-2410-3320</t>
  </si>
  <si>
    <t>10-2410-4100</t>
  </si>
  <si>
    <t>10-2410-4110</t>
  </si>
  <si>
    <t>10-2410-6400</t>
  </si>
  <si>
    <t>10-2520-1111</t>
  </si>
  <si>
    <t>10-2520-2200</t>
  </si>
  <si>
    <t>10-2520-3320</t>
  </si>
  <si>
    <t>10-2520-4100</t>
  </si>
  <si>
    <t>10-2520-4700</t>
  </si>
  <si>
    <t>10-2520-6400</t>
  </si>
  <si>
    <t>10-2540-3190</t>
  </si>
  <si>
    <t>10-2540-4100</t>
  </si>
  <si>
    <t>10-2560-3190</t>
  </si>
  <si>
    <t>10-2560-4100</t>
  </si>
  <si>
    <t>10-2560-6400</t>
  </si>
  <si>
    <t>10-2640-3100</t>
  </si>
  <si>
    <t>10-2640-4100</t>
  </si>
  <si>
    <t>10-2660-1119</t>
  </si>
  <si>
    <t>10-2660-2200</t>
  </si>
  <si>
    <t>10-2660-3100</t>
  </si>
  <si>
    <t>10-2660-3112</t>
  </si>
  <si>
    <t>10-2660-3230</t>
  </si>
  <si>
    <t>10-2660-4100</t>
  </si>
  <si>
    <t>10-2660-4700</t>
  </si>
  <si>
    <t>10-2660-5400</t>
  </si>
  <si>
    <t>10-4120-3100</t>
  </si>
  <si>
    <t>10-4120-3320</t>
  </si>
  <si>
    <t>10-4120-6000</t>
  </si>
  <si>
    <t>10-4140-6000</t>
  </si>
  <si>
    <t>10-4210-6700</t>
  </si>
  <si>
    <t>10-4220-6700</t>
  </si>
  <si>
    <t>10-4240-6700</t>
  </si>
  <si>
    <t>10-4390-6700</t>
  </si>
  <si>
    <t>20-1010-0000</t>
  </si>
  <si>
    <t>20-1012-0000</t>
  </si>
  <si>
    <t>20-1013-0000</t>
  </si>
  <si>
    <t>20-1014-0000</t>
  </si>
  <si>
    <t>20-1016-0000</t>
  </si>
  <si>
    <t>20-1801-0000</t>
  </si>
  <si>
    <t>20-4020-0000</t>
  </si>
  <si>
    <t>20-4520-0000</t>
  </si>
  <si>
    <t>20-4530-0000</t>
  </si>
  <si>
    <t>20-4540-0000</t>
  </si>
  <si>
    <t>20-4550-0000</t>
  </si>
  <si>
    <t>20-4560-0000</t>
  </si>
  <si>
    <t>20-4570-0000</t>
  </si>
  <si>
    <t>20-4580-0000</t>
  </si>
  <si>
    <t>20-4590-0000</t>
  </si>
  <si>
    <t>20-4594-0000</t>
  </si>
  <si>
    <t>20-4810-0000</t>
  </si>
  <si>
    <t>20-4830-0000</t>
  </si>
  <si>
    <t>20-1112-0000</t>
  </si>
  <si>
    <t>20-1230-0000</t>
  </si>
  <si>
    <t>20-1510-0000</t>
  </si>
  <si>
    <t>20-1720-0000</t>
  </si>
  <si>
    <t>20-1910-0000</t>
  </si>
  <si>
    <t>20-1933-0000</t>
  </si>
  <si>
    <t>20-1950-0000</t>
  </si>
  <si>
    <t>20-1951-0000</t>
  </si>
  <si>
    <t>20-1990-0000</t>
  </si>
  <si>
    <t>20-1999-0000</t>
  </si>
  <si>
    <t>20-2540-1115</t>
  </si>
  <si>
    <t>20-2540-2200</t>
  </si>
  <si>
    <t>20-2540-3190</t>
  </si>
  <si>
    <t>20-2540-3210</t>
  </si>
  <si>
    <t>20-2540-3230</t>
  </si>
  <si>
    <t>20-2540-3320</t>
  </si>
  <si>
    <t>20-2540-3400</t>
  </si>
  <si>
    <t>20-2540-3401</t>
  </si>
  <si>
    <t>20-2540-3700</t>
  </si>
  <si>
    <t>20-2540-4102</t>
  </si>
  <si>
    <t>20-2540-4103</t>
  </si>
  <si>
    <t>20-2540-4104</t>
  </si>
  <si>
    <t>20-2540-4650</t>
  </si>
  <si>
    <t>20-2540-4660</t>
  </si>
  <si>
    <t>20-2540-4901</t>
  </si>
  <si>
    <t>20-2540-5400</t>
  </si>
  <si>
    <t>30-1010-0000</t>
  </si>
  <si>
    <t>30-1801-0000</t>
  </si>
  <si>
    <t>30-4020-0000</t>
  </si>
  <si>
    <t>30-1134-0000</t>
  </si>
  <si>
    <t>30-1510-0000</t>
  </si>
  <si>
    <t>30-7400-0000</t>
  </si>
  <si>
    <t>30-7500-0000</t>
  </si>
  <si>
    <t>30-5200-6202</t>
  </si>
  <si>
    <t>30-5200-6203</t>
  </si>
  <si>
    <t>30-5200-6301</t>
  </si>
  <si>
    <t>30-5300-6103</t>
  </si>
  <si>
    <t>30-5300-6203</t>
  </si>
  <si>
    <t>30-5400-6400</t>
  </si>
  <si>
    <t>40-1010-0000</t>
  </si>
  <si>
    <t>40-1012-0000</t>
  </si>
  <si>
    <t>40-1013-0000</t>
  </si>
  <si>
    <t>40-1014-0000</t>
  </si>
  <si>
    <t>40-1050-0000</t>
  </si>
  <si>
    <t>40-1801-0000</t>
  </si>
  <si>
    <t>40-4020-0000</t>
  </si>
  <si>
    <t>40-4510-0000</t>
  </si>
  <si>
    <t>40-4520-0000</t>
  </si>
  <si>
    <t>40-4530-0000</t>
  </si>
  <si>
    <t>40-4550-0000</t>
  </si>
  <si>
    <t>40-4580-0000</t>
  </si>
  <si>
    <t>40-4590-0000</t>
  </si>
  <si>
    <t>40-4810-0000</t>
  </si>
  <si>
    <t>40-1112-0000</t>
  </si>
  <si>
    <t>40-1510-0000</t>
  </si>
  <si>
    <t>40-3099-0000</t>
  </si>
  <si>
    <t>40-3500-0000</t>
  </si>
  <si>
    <t>40-3510-0000</t>
  </si>
  <si>
    <t>40-2550-1110</t>
  </si>
  <si>
    <t>40-2550-2110</t>
  </si>
  <si>
    <t>40-2550-2112</t>
  </si>
  <si>
    <t>40-2550-2115</t>
  </si>
  <si>
    <t>40-2550-3230</t>
  </si>
  <si>
    <t>40-2550-3310</t>
  </si>
  <si>
    <t>40-2550-4640</t>
  </si>
  <si>
    <t>40-4110-3311</t>
  </si>
  <si>
    <t>40-4120-3312</t>
  </si>
  <si>
    <t>40-4140-3314</t>
  </si>
  <si>
    <t>40-4190-3313</t>
  </si>
  <si>
    <t>50-1010-0000</t>
  </si>
  <si>
    <t>50-1801-0000</t>
  </si>
  <si>
    <t>50-4540-0000</t>
  </si>
  <si>
    <t>50-4570-0000</t>
  </si>
  <si>
    <t>50-4580-0000</t>
  </si>
  <si>
    <t>50-4590-0000</t>
  </si>
  <si>
    <t>50-1112-0000</t>
  </si>
  <si>
    <t>50-1152-0000</t>
  </si>
  <si>
    <t>50-1230-0000</t>
  </si>
  <si>
    <t>50-1510-0000</t>
  </si>
  <si>
    <t>50-1250-2120</t>
  </si>
  <si>
    <t>50-1250-2130</t>
  </si>
  <si>
    <t>50-1250-2140</t>
  </si>
  <si>
    <t>50-2210-2140</t>
  </si>
  <si>
    <t>50-2367-2120</t>
  </si>
  <si>
    <t>50-2367-2130</t>
  </si>
  <si>
    <t>50-2367-2140</t>
  </si>
  <si>
    <t>50-2540-2120</t>
  </si>
  <si>
    <t>50-2540-2130</t>
  </si>
  <si>
    <t>50-2540-2140</t>
  </si>
  <si>
    <t>50-2550-2140</t>
  </si>
  <si>
    <t>50-3000-2140</t>
  </si>
  <si>
    <t>60-1010-0000</t>
  </si>
  <si>
    <t>60-1800-0000</t>
  </si>
  <si>
    <t>60-1801-0000</t>
  </si>
  <si>
    <t>60-4020-0000</t>
  </si>
  <si>
    <t>60-1510-0000</t>
  </si>
  <si>
    <t>60-1960-0000</t>
  </si>
  <si>
    <t>60-2530-3102</t>
  </si>
  <si>
    <t>60-2530-5300</t>
  </si>
  <si>
    <t>70-1010-0000</t>
  </si>
  <si>
    <t>70-1801-0000</t>
  </si>
  <si>
    <t>70-1822-0000</t>
  </si>
  <si>
    <t>70-1112-0000</t>
  </si>
  <si>
    <t>70-1510-0000</t>
  </si>
  <si>
    <t>70-8110-0000</t>
  </si>
  <si>
    <t>80-1010-0000</t>
  </si>
  <si>
    <t>80-1800-0000</t>
  </si>
  <si>
    <t>80-1801-0000</t>
  </si>
  <si>
    <t>80-4020-0000</t>
  </si>
  <si>
    <t>80-4510-0000</t>
  </si>
  <si>
    <t>80-4520-0000</t>
  </si>
  <si>
    <t>80-4530-0000</t>
  </si>
  <si>
    <t>80-4540-0000</t>
  </si>
  <si>
    <t>80-4550-0000</t>
  </si>
  <si>
    <t>80-4560-0000</t>
  </si>
  <si>
    <t>80-4570-0000</t>
  </si>
  <si>
    <t>80-4580-0000</t>
  </si>
  <si>
    <t>80-4590-0000</t>
  </si>
  <si>
    <t>80-4592-0000</t>
  </si>
  <si>
    <t>80-4594-0000</t>
  </si>
  <si>
    <t>80-4597-0000</t>
  </si>
  <si>
    <t>80-4810-0000</t>
  </si>
  <si>
    <t>80-4830-0000</t>
  </si>
  <si>
    <t>80-1120-0000</t>
  </si>
  <si>
    <t>80-1510-0000</t>
  </si>
  <si>
    <t>80-1950-0000</t>
  </si>
  <si>
    <t>80-2362-3100</t>
  </si>
  <si>
    <t>80-2363-3100</t>
  </si>
  <si>
    <t>80-2365-3100</t>
  </si>
  <si>
    <t>80-2365-4100</t>
  </si>
  <si>
    <t>80-2367-1100</t>
  </si>
  <si>
    <t>80-2367-1104</t>
  </si>
  <si>
    <t>80-2367-1110</t>
  </si>
  <si>
    <t>80-2367-1112</t>
  </si>
  <si>
    <t>80-2367-1113</t>
  </si>
  <si>
    <t>80-2367-1114</t>
  </si>
  <si>
    <t>80-2367-1115</t>
  </si>
  <si>
    <t>80-2367-1116</t>
  </si>
  <si>
    <t>80-2367-1118</t>
  </si>
  <si>
    <t>80-2367-1119</t>
  </si>
  <si>
    <t>80-2367-2110</t>
  </si>
  <si>
    <t>80-2367-2112</t>
  </si>
  <si>
    <t>80-2367-2115</t>
  </si>
  <si>
    <t>80-2367-3100</t>
  </si>
  <si>
    <t>80-2369-3180</t>
  </si>
  <si>
    <t>80-2371-3800</t>
  </si>
  <si>
    <t>90-1010-0000</t>
  </si>
  <si>
    <t>90-1821-0000</t>
  </si>
  <si>
    <t>90-4020-0000</t>
  </si>
  <si>
    <t>90-1112-0000</t>
  </si>
  <si>
    <t>90-1510-0000</t>
  </si>
  <si>
    <t>90-7210-0000</t>
  </si>
  <si>
    <t>90-7220-0000</t>
  </si>
  <si>
    <t>90-2530-3102</t>
  </si>
  <si>
    <t>90-2530-5200</t>
  </si>
  <si>
    <t>90-2530-5203</t>
  </si>
  <si>
    <t>90-8990-3190</t>
  </si>
  <si>
    <t>50-1200-2</t>
  </si>
  <si>
    <t>50-1400-2</t>
  </si>
  <si>
    <t>50-1500-2</t>
  </si>
  <si>
    <t>50-1600-2</t>
  </si>
  <si>
    <t>50-1650-2</t>
  </si>
  <si>
    <t>50-1700-2</t>
  </si>
  <si>
    <t>50-1800-2</t>
  </si>
  <si>
    <t>50-2110-2</t>
  </si>
  <si>
    <t>50-2120-2</t>
  </si>
  <si>
    <t>50-2130-2</t>
  </si>
  <si>
    <t>50-2140-2</t>
  </si>
  <si>
    <t>50-2150-2</t>
  </si>
  <si>
    <t>50-2190-2</t>
  </si>
  <si>
    <t>50-2210-2</t>
  </si>
  <si>
    <t>50-2220-2</t>
  </si>
  <si>
    <t>50-2320-2</t>
  </si>
  <si>
    <t>50-2410-2</t>
  </si>
  <si>
    <t>50-2520-2</t>
  </si>
  <si>
    <t>50-2660-2</t>
  </si>
  <si>
    <t>Capital Lease</t>
  </si>
  <si>
    <t>Page 10, Line 72, Educational Fund- Milk</t>
  </si>
  <si>
    <t>Page 10, Line 78, Educational Fund- Other Admissions and Concessions</t>
  </si>
  <si>
    <t>Page 11, Line 106, Educational Fund- Local Fees</t>
  </si>
  <si>
    <t>Page 12, Line 171, Educational Fund- Orphanage Tuition</t>
  </si>
  <si>
    <t>Page 15, Line 41, Monitors</t>
  </si>
  <si>
    <t>Page 10, Line 74, Educational Fund- Sodexo Reimbursement</t>
  </si>
  <si>
    <t>Page 11, Line 107, Educational Fund- Advertising 148 Other 7,050</t>
  </si>
  <si>
    <t>Page 18, Line 171, Bond Fees</t>
  </si>
  <si>
    <t>Page 18, Line 193, Pupil XTA Transportation</t>
  </si>
  <si>
    <t>Page 19, Line 237, Monitors</t>
  </si>
  <si>
    <t>Adjust accounts in regards to journal entries. LOOK THROUGH TB's for whole account RECLASSIFICATIONS</t>
  </si>
  <si>
    <t>10-4960-0000</t>
  </si>
  <si>
    <t>10-1100-1100</t>
  </si>
  <si>
    <t>10-1100-1101</t>
  </si>
  <si>
    <t>10-1100-1114</t>
  </si>
  <si>
    <t>10-1100-1200</t>
  </si>
  <si>
    <t>10-1100-1221</t>
  </si>
  <si>
    <t>10-1100-2110</t>
  </si>
  <si>
    <t>10-1100-2111</t>
  </si>
  <si>
    <t>10-1100-2112</t>
  </si>
  <si>
    <t>10-1100-2115</t>
  </si>
  <si>
    <t>10-1100-2200</t>
  </si>
  <si>
    <t>10-1100-2300</t>
  </si>
  <si>
    <t>10-1100-3100</t>
  </si>
  <si>
    <t>10-1100-3112</t>
  </si>
  <si>
    <t>10-1100-3230</t>
  </si>
  <si>
    <t>10-1100-3250</t>
  </si>
  <si>
    <t>10-1100-3320</t>
  </si>
  <si>
    <t>10-1100-3420</t>
  </si>
  <si>
    <t>10-1100-3421</t>
  </si>
  <si>
    <t>10-1100-3600</t>
  </si>
  <si>
    <t>10-1100-4100</t>
  </si>
  <si>
    <t>10-1100-4200</t>
  </si>
  <si>
    <t>10-1100-4700</t>
  </si>
  <si>
    <t>10-1100-4900</t>
  </si>
  <si>
    <t>10-1100-5400</t>
  </si>
  <si>
    <t>10-1100-6400</t>
  </si>
  <si>
    <t>30-1100-0000</t>
  </si>
  <si>
    <t>50-1100-2</t>
  </si>
  <si>
    <t>10-3000-2110</t>
  </si>
  <si>
    <t>50-3000-2</t>
  </si>
  <si>
    <t>10-4110-6000</t>
  </si>
  <si>
    <t>10-4240-600</t>
  </si>
  <si>
    <t>30-5200-6101</t>
  </si>
  <si>
    <t>30-5300-6100</t>
  </si>
  <si>
    <t>80-2365-5300</t>
  </si>
  <si>
    <t>80-2365-5400</t>
  </si>
  <si>
    <t>SRAVTE, L.E.A.S.E.</t>
  </si>
  <si>
    <t>PSIC, SELF</t>
  </si>
  <si>
    <t>ROE Tilte II Co-op</t>
  </si>
  <si>
    <t>L.E.A.S.E.</t>
  </si>
  <si>
    <t>Ottawa Elementary Schools</t>
  </si>
  <si>
    <t>LP High School (Swimming Co-op)</t>
  </si>
  <si>
    <t>Page 11, Line 120, Trasportation Fund- SRAVTE Bus Expo Revenue</t>
  </si>
  <si>
    <t>ED BOARD OF EDUCATION PURCHASED SERVICES</t>
  </si>
  <si>
    <t>HAUSER IZZO PETRARCA</t>
  </si>
  <si>
    <t>ED SUPPORT SERVICES BUSINESS PURCHASED SERVICES</t>
  </si>
  <si>
    <t>10-2560-300</t>
  </si>
  <si>
    <t>SODEXO INC &amp; AFFILIATES</t>
  </si>
  <si>
    <t>ED SUPPORT SERVICES CENTRAL PURCHASED SERVICES</t>
  </si>
  <si>
    <t>10-2660-300</t>
  </si>
  <si>
    <t>APTIRIS INC</t>
  </si>
  <si>
    <t>INTEGRATED SYSTEMS</t>
  </si>
  <si>
    <t>OM SUPPORT SERVICES BUSINESS PURCHASED SERVICES</t>
  </si>
  <si>
    <t>TELESOLUTIONS CONSULTANTS</t>
  </si>
  <si>
    <t>20-2540-300</t>
  </si>
  <si>
    <t>KONE INC</t>
  </si>
  <si>
    <t>WASTE MANAGEMENT</t>
  </si>
  <si>
    <t>VERIZON WIRELESS</t>
  </si>
  <si>
    <t>CALL ONE</t>
  </si>
  <si>
    <t>AT&amp;T</t>
  </si>
  <si>
    <t>COGENT COMMUNICATIONS INC</t>
  </si>
  <si>
    <t>AT&amp;T DATA</t>
  </si>
  <si>
    <t>OM SUPPORT SERVICES BUSINESS SUPPLIES &amp; MATERIALS</t>
  </si>
  <si>
    <t>CONSTELLATION NEWENERGY</t>
  </si>
  <si>
    <t>NICOR GAS</t>
  </si>
  <si>
    <t>AMEREN ILLINOIS</t>
  </si>
  <si>
    <t>NEXT ERA ENERGY</t>
  </si>
  <si>
    <t>TR SUPPORT SERVICES BUSINESS PURCHASED SERVICES</t>
  </si>
  <si>
    <t>TRANSPORT WITH A PERSONAL TOUCH</t>
  </si>
  <si>
    <t>CP SUPPORT SERVICES BUSINESS PURCHASED SERVICES</t>
  </si>
  <si>
    <t>POUNDSTONE ENGINEERING</t>
  </si>
  <si>
    <t>KLINGER &amp; ASSOCIATES PC</t>
  </si>
  <si>
    <t>TO SUPPORT SERVICES GEN ADMIN PURCHASED SERVICES</t>
  </si>
  <si>
    <t>SCHOOL EMPLOYEES LOSS FUND</t>
  </si>
  <si>
    <t>MIDWEST ENVIRONMENTAL</t>
  </si>
  <si>
    <t>PRAIRIE STATE INSURANCE COOPERATIVE</t>
  </si>
  <si>
    <t>GETZ FIRE EQUIPMENT</t>
  </si>
  <si>
    <t>FEMA FLOOD PAYMENTS</t>
  </si>
  <si>
    <t>10-2300-300</t>
  </si>
  <si>
    <t>20-2540-400</t>
  </si>
  <si>
    <t>40-2550-300</t>
  </si>
  <si>
    <t>60-2530-300</t>
  </si>
  <si>
    <t>80-2300-300</t>
  </si>
  <si>
    <t>060-003995</t>
  </si>
  <si>
    <t>Page 14, Line 272, Educational Fund - S.T.E.P</t>
  </si>
  <si>
    <t>Page 7, Line 43, Lease and Treasurers bond proceeds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</si>
</sst>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u/>
      <sz val="11"/>
      <color rgb="FFFF0000"/>
      <name val="Calibri"/>
      <family val="2"/>
      <scheme val="minor"/>
    </font>
    <font>
      <sz val="10"/>
      <color indexed="8"/>
      <name val="Arial"/>
      <family val="2"/>
    </font>
    <font>
      <sz val="11"/>
      <name val="Calibri"/>
      <family val="2"/>
    </font>
    <font>
      <b/>
      <sz val="19"/>
      <color rgb="FFFF0000"/>
      <name val="Calibri"/>
      <family val="2"/>
    </font>
    <font>
      <b/>
      <sz val="19"/>
      <name val="Calibri"/>
      <family val="2"/>
    </font>
    <font>
      <u/>
      <sz val="9"/>
      <color indexed="81"/>
      <name val="Tahoma"/>
      <family val="2"/>
    </font>
    <font>
      <b/>
      <sz val="8"/>
      <color theme="1"/>
      <name val="Arial"/>
      <family val="2"/>
    </font>
    <font>
      <sz val="10"/>
      <color theme="1"/>
      <name val="Arial"/>
      <family val="2"/>
    </font>
    <font>
      <b/>
      <sz val="9"/>
      <color theme="1"/>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40">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5" fillId="0" borderId="0"/>
    <xf numFmtId="0" fontId="4" fillId="0" borderId="0"/>
    <xf numFmtId="0" fontId="140" fillId="0" borderId="0">
      <alignment vertical="top"/>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4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520">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3" fillId="0" borderId="0" xfId="12" applyFont="1" applyBorder="1" applyAlignment="1" applyProtection="1">
      <alignment horizontal="left" vertical="center"/>
    </xf>
    <xf numFmtId="0" fontId="15" fillId="0" borderId="0" xfId="12" quotePrefix="1" applyNumberFormat="1" applyFont="1" applyBorder="1" applyAlignment="1" applyProtection="1">
      <alignment horizontal="left" vertical="center"/>
    </xf>
    <xf numFmtId="0" fontId="12" fillId="0" borderId="12" xfId="12" applyFont="1" applyBorder="1" applyAlignment="1" applyProtection="1">
      <alignmen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2" fillId="0" borderId="17"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1" fontId="11" fillId="0" borderId="0" xfId="0" applyNumberFormat="1" applyFont="1" applyFill="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5" xfId="12" applyNumberFormat="1" applyFont="1" applyBorder="1" applyAlignment="1" applyProtection="1">
      <alignment horizontal="right" vertical="center"/>
    </xf>
    <xf numFmtId="0" fontId="12" fillId="0" borderId="125" xfId="12" applyFont="1" applyBorder="1" applyAlignment="1" applyProtection="1">
      <alignment vertical="center"/>
    </xf>
    <xf numFmtId="0" fontId="15" fillId="0" borderId="128" xfId="12" applyFont="1" applyBorder="1" applyAlignment="1" applyProtection="1">
      <alignment vertical="center"/>
    </xf>
    <xf numFmtId="0" fontId="15" fillId="0" borderId="126" xfId="12" applyFont="1" applyBorder="1" applyAlignment="1" applyProtection="1">
      <alignment vertical="center"/>
    </xf>
    <xf numFmtId="1" fontId="11" fillId="0" borderId="0" xfId="0" applyNumberFormat="1" applyFont="1" applyAlignment="1">
      <alignment horizontal="center" vertical="center"/>
    </xf>
    <xf numFmtId="0" fontId="12" fillId="0" borderId="135"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10" borderId="101" xfId="0" applyFont="1" applyFill="1" applyBorder="1" applyAlignment="1">
      <alignment horizontal="center" vertical="center"/>
    </xf>
    <xf numFmtId="0" fontId="77" fillId="10" borderId="102" xfId="0" applyFont="1" applyFill="1" applyBorder="1" applyAlignment="1">
      <alignment horizontal="center" vertical="center"/>
    </xf>
    <xf numFmtId="0" fontId="55" fillId="18" borderId="122" xfId="0" applyFont="1" applyFill="1" applyBorder="1" applyAlignment="1" applyProtection="1">
      <alignment horizontal="left" vertical="center"/>
    </xf>
    <xf numFmtId="164" fontId="55" fillId="18" borderId="122" xfId="0" applyNumberFormat="1" applyFont="1" applyFill="1" applyBorder="1" applyAlignment="1" applyProtection="1">
      <alignment horizontal="center" vertical="center"/>
    </xf>
    <xf numFmtId="164" fontId="65" fillId="18" borderId="122" xfId="0" applyNumberFormat="1" applyFont="1" applyFill="1" applyBorder="1" applyAlignment="1" applyProtection="1">
      <alignment vertical="center"/>
    </xf>
    <xf numFmtId="0" fontId="78" fillId="11" borderId="123" xfId="0" applyFont="1" applyFill="1" applyBorder="1" applyAlignment="1">
      <alignment horizontal="left" vertical="center"/>
    </xf>
    <xf numFmtId="38" fontId="50" fillId="11" borderId="103" xfId="0" applyNumberFormat="1" applyFont="1" applyFill="1" applyBorder="1" applyAlignment="1">
      <alignment horizontal="right"/>
    </xf>
    <xf numFmtId="38" fontId="50" fillId="11" borderId="110" xfId="0" applyNumberFormat="1" applyFont="1" applyFill="1" applyBorder="1" applyAlignment="1">
      <alignment horizontal="right"/>
    </xf>
    <xf numFmtId="0" fontId="79" fillId="12" borderId="103" xfId="0" applyFont="1" applyFill="1" applyBorder="1" applyAlignment="1">
      <alignment vertical="center"/>
    </xf>
    <xf numFmtId="164" fontId="55" fillId="14" borderId="118" xfId="0" applyNumberFormat="1" applyFont="1" applyFill="1" applyBorder="1" applyAlignment="1" applyProtection="1">
      <alignment horizontal="center" vertical="center"/>
    </xf>
    <xf numFmtId="164" fontId="65" fillId="14" borderId="110" xfId="0" applyNumberFormat="1" applyFont="1" applyFill="1" applyBorder="1" applyAlignment="1" applyProtection="1">
      <alignment vertical="center"/>
    </xf>
    <xf numFmtId="0" fontId="58" fillId="14" borderId="103" xfId="0" applyFont="1" applyFill="1" applyBorder="1" applyAlignment="1" applyProtection="1">
      <alignment vertical="center"/>
    </xf>
    <xf numFmtId="38" fontId="50" fillId="12" borderId="121" xfId="0" applyNumberFormat="1" applyFont="1" applyFill="1" applyBorder="1" applyAlignment="1" applyProtection="1">
      <alignment horizontal="right"/>
      <protection locked="0"/>
    </xf>
    <xf numFmtId="38" fontId="50" fillId="12" borderId="103" xfId="0" applyNumberFormat="1" applyFont="1" applyFill="1" applyBorder="1" applyAlignment="1" applyProtection="1">
      <alignment horizontal="right"/>
      <protection locked="0"/>
    </xf>
    <xf numFmtId="38" fontId="50" fillId="12" borderId="110" xfId="0" applyNumberFormat="1" applyFont="1" applyFill="1" applyBorder="1" applyAlignment="1" applyProtection="1">
      <alignment horizontal="right"/>
      <protection locked="0"/>
    </xf>
    <xf numFmtId="0" fontId="55" fillId="18" borderId="110" xfId="0" applyFont="1" applyFill="1" applyBorder="1" applyAlignment="1" applyProtection="1">
      <alignment horizontal="center" vertical="center"/>
    </xf>
    <xf numFmtId="164" fontId="55" fillId="18" borderId="110" xfId="0" applyNumberFormat="1" applyFont="1" applyFill="1" applyBorder="1" applyAlignment="1" applyProtection="1">
      <alignment horizontal="center" vertical="center"/>
    </xf>
    <xf numFmtId="164" fontId="65" fillId="18"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5" fillId="18" borderId="0" xfId="0" applyFont="1" applyFill="1" applyBorder="1" applyAlignment="1" applyProtection="1">
      <alignment horizontal="left" vertical="center"/>
    </xf>
    <xf numFmtId="164" fontId="55" fillId="18" borderId="0" xfId="0" applyNumberFormat="1" applyFont="1" applyFill="1" applyBorder="1" applyAlignment="1" applyProtection="1">
      <alignment horizontal="center" vertical="center"/>
    </xf>
    <xf numFmtId="164" fontId="65" fillId="18" borderId="0" xfId="0" applyNumberFormat="1" applyFont="1" applyFill="1" applyBorder="1" applyAlignment="1" applyProtection="1">
      <alignment vertical="center"/>
    </xf>
    <xf numFmtId="0" fontId="63" fillId="14" borderId="118" xfId="0" applyFont="1" applyFill="1" applyBorder="1" applyAlignment="1" applyProtection="1">
      <alignment horizontal="left" vertical="center"/>
    </xf>
    <xf numFmtId="164" fontId="55" fillId="14" borderId="110"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79" fillId="12" borderId="103" xfId="0" applyFont="1" applyFill="1" applyBorder="1" applyAlignment="1">
      <alignment horizontal="left" vertical="center"/>
    </xf>
    <xf numFmtId="0" fontId="55" fillId="14" borderId="119" xfId="0" applyFont="1" applyFill="1" applyBorder="1" applyAlignment="1" applyProtection="1">
      <alignment horizontal="center" vertical="center"/>
    </xf>
    <xf numFmtId="164" fontId="55" fillId="14" borderId="120" xfId="0" applyNumberFormat="1" applyFont="1" applyFill="1" applyBorder="1" applyAlignment="1" applyProtection="1">
      <alignment horizontal="center" vertical="center"/>
    </xf>
    <xf numFmtId="164" fontId="65" fillId="14" borderId="120" xfId="0" applyNumberFormat="1" applyFont="1" applyFill="1" applyBorder="1" applyAlignment="1" applyProtection="1">
      <alignment vertical="center"/>
    </xf>
    <xf numFmtId="38" fontId="50" fillId="12" borderId="110" xfId="0" applyNumberFormat="1" applyFont="1" applyFill="1" applyBorder="1" applyAlignment="1">
      <alignment horizontal="right"/>
    </xf>
    <xf numFmtId="0" fontId="78" fillId="11" borderId="104" xfId="0" applyFont="1" applyFill="1" applyBorder="1" applyAlignment="1">
      <alignment horizontal="left" vertical="center"/>
    </xf>
    <xf numFmtId="38" fontId="50" fillId="11" borderId="104" xfId="0" applyNumberFormat="1" applyFont="1" applyFill="1" applyBorder="1" applyAlignment="1">
      <alignment horizontal="right"/>
    </xf>
    <xf numFmtId="38" fontId="50" fillId="11" borderId="0" xfId="0" applyNumberFormat="1" applyFont="1" applyFill="1" applyBorder="1" applyAlignment="1" applyProtection="1">
      <alignment horizontal="right"/>
      <protection locked="0"/>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38" fontId="58" fillId="0" borderId="2" xfId="0" applyNumberFormat="1" applyFont="1" applyBorder="1" applyAlignment="1" applyProtection="1">
      <alignment vertical="center"/>
      <protection locked="0"/>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0" fontId="58" fillId="0" borderId="0" xfId="5" applyNumberFormat="1"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5" fontId="63" fillId="0" borderId="0" xfId="0" applyNumberFormat="1" applyFont="1" applyFill="1" applyBorder="1" applyAlignment="1" applyProtection="1">
      <alignment horizontal="right"/>
    </xf>
    <xf numFmtId="173" fontId="63" fillId="0" borderId="0" xfId="0" applyNumberFormat="1" applyFont="1" applyBorder="1" applyProtection="1"/>
    <xf numFmtId="0" fontId="63" fillId="0" borderId="0" xfId="5" applyNumberFormat="1" applyFont="1" applyBorder="1" applyAlignment="1" applyProtection="1">
      <alignment horizontal="right"/>
    </xf>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2" fontId="63" fillId="0" borderId="0" xfId="0" applyNumberFormat="1"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5" quotePrefix="1" applyNumberFormat="1" applyFont="1" applyBorder="1" applyAlignment="1" applyProtection="1">
      <alignment horizontal="right"/>
    </xf>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40" fontId="63" fillId="0" borderId="0" xfId="0" applyNumberFormat="1" applyFont="1" applyFill="1" applyBorder="1" applyAlignment="1" applyProtection="1">
      <alignment horizontal="right"/>
    </xf>
    <xf numFmtId="1" fontId="63" fillId="0" borderId="0" xfId="0" applyNumberFormat="1" applyFont="1" applyBorder="1" applyProtection="1"/>
    <xf numFmtId="39" fontId="63" fillId="0" borderId="0" xfId="0" applyNumberFormat="1" applyFont="1" applyBorder="1" applyProtection="1"/>
    <xf numFmtId="1" fontId="58" fillId="0" borderId="0" xfId="5" applyNumberFormat="1" applyFont="1" applyBorder="1" applyAlignment="1" applyProtection="1">
      <alignment horizontal="right"/>
    </xf>
    <xf numFmtId="40" fontId="63" fillId="0" borderId="0" xfId="0" applyNumberFormat="1" applyFont="1" applyBorder="1" applyAlignment="1" applyProtection="1">
      <alignment horizontal="right" vertical="center"/>
    </xf>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2" fontId="63" fillId="0" borderId="0" xfId="0" applyNumberFormat="1" applyFont="1" applyBorder="1" applyAlignment="1" applyProtection="1">
      <alignment horizontal="right" vertical="center"/>
    </xf>
    <xf numFmtId="40" fontId="63" fillId="0" borderId="0" xfId="0" applyNumberFormat="1" applyFont="1" applyFill="1" applyBorder="1" applyAlignment="1" applyProtection="1">
      <alignment horizontal="right" vertical="center"/>
    </xf>
    <xf numFmtId="49" fontId="63" fillId="0" borderId="0" xfId="0" applyNumberFormat="1" applyFont="1" applyBorder="1" applyProtection="1"/>
    <xf numFmtId="0" fontId="63" fillId="0" borderId="0" xfId="0" applyFont="1" applyBorder="1" applyAlignment="1" applyProtection="1">
      <alignment horizontal="center"/>
    </xf>
    <xf numFmtId="172" fontId="63" fillId="0" borderId="0" xfId="0" applyNumberFormat="1" applyFont="1" applyBorder="1" applyAlignment="1" applyProtection="1">
      <alignment horizontal="right"/>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2" fontId="66" fillId="0" borderId="0" xfId="0" applyNumberFormat="1"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0" fontId="67" fillId="0" borderId="0" xfId="5" applyNumberFormat="1" applyFont="1" applyFill="1" applyBorder="1" applyAlignment="1" applyProtection="1">
      <alignment horizontal="right"/>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38" fontId="56" fillId="0" borderId="14" xfId="0" applyNumberFormat="1" applyFont="1" applyBorder="1" applyAlignment="1" applyProtection="1">
      <alignment horizontal="right"/>
      <protection locked="0"/>
    </xf>
    <xf numFmtId="38" fontId="56" fillId="0" borderId="2"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3" borderId="26" xfId="0" applyNumberFormat="1" applyFont="1" applyFill="1" applyBorder="1" applyAlignment="1" applyProtection="1">
      <alignment horizontal="right"/>
    </xf>
    <xf numFmtId="38" fontId="56" fillId="3" borderId="18" xfId="0" applyNumberFormat="1" applyFont="1" applyFill="1" applyBorder="1" applyAlignment="1" applyProtection="1">
      <alignment horizontal="right"/>
    </xf>
    <xf numFmtId="0" fontId="63" fillId="0" borderId="2" xfId="0" applyFont="1" applyBorder="1" applyAlignment="1" applyProtection="1">
      <alignment horizontal="center" vertical="center"/>
    </xf>
    <xf numFmtId="38" fontId="56" fillId="0" borderId="3" xfId="0" applyNumberFormat="1" applyFont="1" applyBorder="1" applyAlignment="1" applyProtection="1">
      <alignment horizontal="right"/>
      <protection locked="0"/>
    </xf>
    <xf numFmtId="38" fontId="56" fillId="0" borderId="0" xfId="0" applyNumberFormat="1" applyFont="1" applyBorder="1" applyAlignment="1" applyProtection="1">
      <alignment horizontal="right"/>
      <protection locked="0"/>
    </xf>
    <xf numFmtId="0" fontId="63" fillId="0" borderId="14" xfId="0" applyFont="1" applyBorder="1" applyAlignment="1" applyProtection="1">
      <alignment horizontal="left" vertical="center" indent="1"/>
    </xf>
    <xf numFmtId="38" fontId="56" fillId="0" borderId="3" xfId="0" applyNumberFormat="1" applyFont="1" applyFill="1" applyBorder="1" applyAlignment="1" applyProtection="1">
      <alignment horizontal="right"/>
      <protection locked="0"/>
    </xf>
    <xf numFmtId="38" fontId="56" fillId="6" borderId="3" xfId="0" applyNumberFormat="1" applyFont="1" applyFill="1" applyBorder="1" applyAlignment="1" applyProtection="1">
      <alignment horizontal="right"/>
    </xf>
    <xf numFmtId="38" fontId="56" fillId="6" borderId="26" xfId="0" applyNumberFormat="1" applyFont="1" applyFill="1" applyBorder="1" applyAlignment="1" applyProtection="1">
      <alignment horizontal="right"/>
    </xf>
    <xf numFmtId="38" fontId="56" fillId="0" borderId="4"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6" borderId="4" xfId="0" applyNumberFormat="1" applyFont="1" applyFill="1" applyBorder="1" applyAlignment="1" applyProtection="1">
      <alignment horizontal="right"/>
    </xf>
    <xf numFmtId="38" fontId="56" fillId="0" borderId="4" xfId="0" applyNumberFormat="1" applyFont="1" applyBorder="1" applyAlignment="1" applyProtection="1">
      <alignment horizontal="right"/>
      <protection locked="0"/>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38" fontId="56" fillId="6" borderId="18" xfId="0" applyNumberFormat="1" applyFont="1" applyFill="1" applyBorder="1" applyAlignment="1" applyProtection="1">
      <alignment horizontal="right"/>
    </xf>
    <xf numFmtId="0" fontId="58" fillId="0" borderId="0" xfId="0" applyFont="1" applyFill="1" applyAlignment="1" applyProtection="1">
      <alignment vertical="center"/>
    </xf>
    <xf numFmtId="38" fontId="56" fillId="6" borderId="0"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xf>
    <xf numFmtId="38" fontId="56" fillId="0" borderId="12" xfId="0" applyNumberFormat="1" applyFont="1" applyFill="1" applyBorder="1" applyAlignment="1" applyProtection="1">
      <alignment horizontal="right"/>
      <protection locked="0"/>
    </xf>
    <xf numFmtId="38" fontId="56" fillId="0" borderId="13" xfId="0" applyNumberFormat="1" applyFont="1" applyFill="1" applyBorder="1" applyAlignment="1" applyProtection="1">
      <alignment horizontal="right"/>
      <protection locked="0"/>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38" fontId="56" fillId="0" borderId="26" xfId="0" applyNumberFormat="1" applyFont="1" applyBorder="1" applyAlignment="1" applyProtection="1">
      <alignment horizontal="right"/>
      <protection locked="0"/>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38" fontId="56" fillId="0" borderId="4" xfId="0" applyNumberFormat="1" applyFont="1" applyBorder="1" applyAlignment="1" applyProtection="1">
      <alignment horizontal="right"/>
    </xf>
    <xf numFmtId="0" fontId="63" fillId="0" borderId="2" xfId="0" applyFont="1" applyFill="1" applyBorder="1" applyAlignment="1" applyProtection="1">
      <alignment horizontal="left" vertical="center" indent="1"/>
    </xf>
    <xf numFmtId="38" fontId="58" fillId="6" borderId="26" xfId="0" applyNumberFormat="1" applyFont="1" applyFill="1" applyBorder="1" applyAlignment="1">
      <alignment horizontal="right"/>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38" fontId="56" fillId="6" borderId="3" xfId="0" applyNumberFormat="1" applyFont="1" applyFill="1" applyBorder="1" applyAlignment="1">
      <alignment horizontal="right"/>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8" fontId="56" fillId="3" borderId="21" xfId="0" applyNumberFormat="1" applyFont="1" applyFill="1" applyBorder="1" applyAlignment="1" applyProtection="1">
      <alignment horizontal="right"/>
    </xf>
    <xf numFmtId="38" fontId="56" fillId="3" borderId="0" xfId="0" applyNumberFormat="1" applyFont="1" applyFill="1" applyBorder="1" applyAlignment="1" applyProtection="1">
      <alignment horizontal="right"/>
    </xf>
    <xf numFmtId="38" fontId="56" fillId="3" borderId="3" xfId="0" applyNumberFormat="1" applyFont="1" applyFill="1" applyBorder="1" applyAlignment="1" applyProtection="1">
      <alignment horizontal="right"/>
    </xf>
    <xf numFmtId="38" fontId="56" fillId="3" borderId="13" xfId="0" applyNumberFormat="1" applyFont="1" applyFill="1" applyBorder="1" applyAlignment="1" applyProtection="1">
      <alignment horizontal="right"/>
    </xf>
    <xf numFmtId="38" fontId="56" fillId="3" borderId="2" xfId="0" applyNumberFormat="1" applyFont="1" applyFill="1" applyBorder="1" applyAlignment="1" applyProtection="1">
      <alignment horizontal="right"/>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38" fontId="56" fillId="0" borderId="19" xfId="0" applyNumberFormat="1" applyFont="1" applyBorder="1" applyAlignment="1" applyProtection="1">
      <alignment horizontal="right"/>
      <protection locked="0"/>
    </xf>
    <xf numFmtId="38" fontId="56" fillId="0" borderId="11" xfId="0" applyNumberFormat="1" applyFont="1" applyBorder="1" applyAlignment="1" applyProtection="1">
      <alignment horizontal="right"/>
      <protection locked="0"/>
    </xf>
    <xf numFmtId="0" fontId="55" fillId="0" borderId="0" xfId="0" applyFont="1" applyAlignment="1" applyProtection="1">
      <alignment vertical="center"/>
    </xf>
    <xf numFmtId="0" fontId="66" fillId="0" borderId="0" xfId="0" applyFont="1" applyAlignment="1" applyProtection="1">
      <alignment vertical="center"/>
    </xf>
    <xf numFmtId="38" fontId="56" fillId="3" borderId="11" xfId="0" applyNumberFormat="1" applyFont="1" applyFill="1" applyBorder="1" applyAlignment="1" applyProtection="1">
      <alignment horizontal="right"/>
    </xf>
    <xf numFmtId="38" fontId="56" fillId="3" borderId="4" xfId="0" applyNumberFormat="1" applyFont="1" applyFill="1" applyBorder="1" applyAlignment="1" applyProtection="1">
      <alignment horizontal="right"/>
    </xf>
    <xf numFmtId="38" fontId="56" fillId="3" borderId="19" xfId="0" applyNumberFormat="1" applyFont="1" applyFill="1" applyBorder="1" applyAlignment="1" applyProtection="1">
      <alignment horizontal="right"/>
    </xf>
    <xf numFmtId="38" fontId="56" fillId="3" borderId="14" xfId="0" applyNumberFormat="1" applyFont="1" applyFill="1" applyBorder="1" applyAlignment="1" applyProtection="1">
      <alignment horizontal="right"/>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38" fontId="56" fillId="6" borderId="2" xfId="0" applyNumberFormat="1" applyFont="1" applyFill="1" applyBorder="1" applyAlignment="1" applyProtection="1">
      <alignment horizontal="right"/>
    </xf>
    <xf numFmtId="0" fontId="63" fillId="0" borderId="2" xfId="0" applyFont="1" applyFill="1" applyBorder="1" applyAlignment="1" applyProtection="1">
      <alignment horizontal="center" vertical="top"/>
    </xf>
    <xf numFmtId="38" fontId="56" fillId="6" borderId="28" xfId="0" applyNumberFormat="1" applyFont="1" applyFill="1" applyBorder="1" applyAlignment="1" applyProtection="1">
      <alignment horizontal="right"/>
    </xf>
    <xf numFmtId="0" fontId="56" fillId="0" borderId="0" xfId="0" applyFont="1" applyFill="1" applyBorder="1" applyAlignment="1" applyProtection="1">
      <alignment vertical="center"/>
    </xf>
    <xf numFmtId="38" fontId="56" fillId="0" borderId="27" xfId="0" applyNumberFormat="1" applyFont="1" applyFill="1" applyBorder="1" applyAlignment="1" applyProtection="1">
      <alignment horizontal="right"/>
      <protection locked="0"/>
    </xf>
    <xf numFmtId="38" fontId="56" fillId="0" borderId="33" xfId="0" applyNumberFormat="1" applyFont="1" applyFill="1" applyBorder="1" applyAlignment="1" applyProtection="1">
      <alignment horizontal="right"/>
      <protection locked="0"/>
    </xf>
    <xf numFmtId="38" fontId="56" fillId="0" borderId="32" xfId="0" applyNumberFormat="1" applyFont="1" applyFill="1" applyBorder="1" applyAlignment="1" applyProtection="1">
      <alignment horizontal="right"/>
      <protection locked="0"/>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38" fontId="56" fillId="0" borderId="29" xfId="0" applyNumberFormat="1" applyFont="1" applyFill="1" applyBorder="1" applyAlignment="1" applyProtection="1">
      <alignment horizontal="right"/>
      <protection locked="0"/>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38" fontId="56" fillId="3" borderId="17" xfId="0" applyNumberFormat="1" applyFont="1" applyFill="1" applyBorder="1" applyAlignment="1" applyProtection="1">
      <alignment horizontal="right"/>
    </xf>
    <xf numFmtId="37" fontId="56" fillId="3" borderId="17" xfId="0" applyNumberFormat="1" applyFont="1" applyFill="1" applyBorder="1" applyAlignment="1" applyProtection="1">
      <alignment horizontal="right"/>
    </xf>
    <xf numFmtId="37" fontId="56" fillId="3" borderId="26" xfId="0" applyNumberFormat="1" applyFont="1" applyFill="1" applyBorder="1" applyAlignment="1" applyProtection="1">
      <alignment horizontal="right"/>
    </xf>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38" fontId="56" fillId="0" borderId="19" xfId="0" applyNumberFormat="1" applyFont="1" applyFill="1" applyBorder="1" applyAlignment="1" applyProtection="1">
      <alignment horizontal="right"/>
      <protection locked="0"/>
    </xf>
    <xf numFmtId="38" fontId="56" fillId="3" borderId="0" xfId="0" applyNumberFormat="1" applyFont="1" applyFill="1" applyAlignment="1" applyProtection="1">
      <alignment horizontal="right"/>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38" fontId="56" fillId="3" borderId="38" xfId="0" applyNumberFormat="1" applyFont="1" applyFill="1" applyBorder="1" applyAlignment="1" applyProtection="1">
      <alignment horizontal="right"/>
    </xf>
    <xf numFmtId="38" fontId="56" fillId="3" borderId="28" xfId="0" applyNumberFormat="1" applyFont="1" applyFill="1" applyBorder="1" applyAlignment="1" applyProtection="1">
      <alignment horizontal="right"/>
    </xf>
    <xf numFmtId="1" fontId="63" fillId="0" borderId="4" xfId="0" applyNumberFormat="1" applyFont="1" applyBorder="1" applyAlignment="1" applyProtection="1">
      <alignment horizontal="center" vertical="center"/>
    </xf>
    <xf numFmtId="1" fontId="63" fillId="0" borderId="127" xfId="0" applyNumberFormat="1" applyFont="1" applyBorder="1" applyAlignment="1" applyProtection="1">
      <alignment horizontal="center" vertical="center"/>
    </xf>
    <xf numFmtId="38" fontId="56" fillId="0" borderId="127" xfId="0" applyNumberFormat="1" applyFont="1" applyBorder="1" applyAlignment="1" applyProtection="1">
      <alignment horizontal="right"/>
      <protection locked="0"/>
    </xf>
    <xf numFmtId="38" fontId="56" fillId="3" borderId="127" xfId="0" applyNumberFormat="1" applyFont="1" applyFill="1" applyBorder="1" applyAlignment="1" applyProtection="1">
      <alignment horizontal="right"/>
    </xf>
    <xf numFmtId="38" fontId="56" fillId="3" borderId="29" xfId="0" applyNumberFormat="1" applyFont="1" applyFill="1" applyBorder="1" applyAlignment="1" applyProtection="1">
      <alignment horizontal="right"/>
    </xf>
    <xf numFmtId="1" fontId="63" fillId="0" borderId="32" xfId="0" applyNumberFormat="1" applyFont="1" applyBorder="1" applyAlignment="1" applyProtection="1">
      <alignment horizontal="center" vertical="center"/>
    </xf>
    <xf numFmtId="38" fontId="56" fillId="0" borderId="32" xfId="0" applyNumberFormat="1" applyFont="1" applyBorder="1" applyAlignment="1" applyProtection="1">
      <alignment horizontal="right"/>
      <protection locked="0"/>
    </xf>
    <xf numFmtId="1" fontId="63" fillId="0" borderId="33" xfId="0" applyNumberFormat="1" applyFont="1" applyBorder="1" applyAlignment="1" applyProtection="1">
      <alignment horizontal="center" vertical="center"/>
    </xf>
    <xf numFmtId="38" fontId="56" fillId="0" borderId="33" xfId="0" applyNumberFormat="1" applyFont="1" applyBorder="1" applyAlignment="1" applyProtection="1">
      <alignment horizontal="right"/>
      <protection locked="0"/>
    </xf>
    <xf numFmtId="38" fontId="56" fillId="0" borderId="36" xfId="0" applyNumberFormat="1" applyFont="1" applyFill="1" applyBorder="1" applyAlignment="1" applyProtection="1">
      <alignment horizontal="right"/>
      <protection locked="0"/>
    </xf>
    <xf numFmtId="38" fontId="56" fillId="0" borderId="27" xfId="0" applyNumberFormat="1" applyFont="1" applyBorder="1" applyAlignment="1" applyProtection="1">
      <alignment horizontal="right"/>
      <protection locked="0"/>
    </xf>
    <xf numFmtId="38" fontId="56" fillId="0" borderId="32" xfId="0" applyNumberFormat="1" applyFont="1" applyBorder="1" applyAlignment="1" applyProtection="1">
      <alignment horizontal="right" vertical="center"/>
      <protection locked="0"/>
    </xf>
    <xf numFmtId="38" fontId="56" fillId="0" borderId="27" xfId="0" applyNumberFormat="1" applyFont="1" applyFill="1" applyBorder="1" applyAlignment="1" applyProtection="1">
      <alignment horizontal="right" vertical="center"/>
      <protection locked="0"/>
    </xf>
    <xf numFmtId="38" fontId="56" fillId="0" borderId="32" xfId="0" applyNumberFormat="1" applyFont="1" applyFill="1" applyBorder="1" applyAlignment="1" applyProtection="1">
      <alignment horizontal="right" vertical="center"/>
      <protection locked="0"/>
    </xf>
    <xf numFmtId="0" fontId="63" fillId="0" borderId="2" xfId="0" applyFont="1" applyBorder="1" applyAlignment="1" applyProtection="1">
      <alignment horizontal="center" vertical="top" wrapText="1"/>
    </xf>
    <xf numFmtId="38" fontId="56" fillId="3" borderId="39"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vertical="center"/>
      <protection locked="0"/>
    </xf>
    <xf numFmtId="38" fontId="56" fillId="6" borderId="2" xfId="0" applyNumberFormat="1" applyFont="1" applyFill="1" applyBorder="1" applyAlignment="1" applyProtection="1">
      <alignment horizontal="right" vertical="center"/>
    </xf>
    <xf numFmtId="0" fontId="63" fillId="0" borderId="26" xfId="0" applyFont="1" applyBorder="1" applyAlignment="1" applyProtection="1">
      <alignment horizontal="center" vertical="center"/>
    </xf>
    <xf numFmtId="0" fontId="63" fillId="0" borderId="130"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38" fontId="56" fillId="0" borderId="124" xfId="0" applyNumberFormat="1" applyFont="1" applyFill="1" applyBorder="1" applyAlignment="1" applyProtection="1">
      <alignment horizontal="right"/>
      <protection locked="0"/>
    </xf>
    <xf numFmtId="38" fontId="56" fillId="0" borderId="112" xfId="0" applyNumberFormat="1" applyFont="1" applyFill="1" applyBorder="1" applyAlignment="1" applyProtection="1">
      <alignment horizontal="right"/>
      <protection locked="0"/>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38" fontId="56" fillId="3" borderId="31" xfId="0" applyNumberFormat="1" applyFont="1" applyFill="1" applyBorder="1" applyAlignment="1" applyProtection="1">
      <alignment horizontal="right" vertical="center"/>
    </xf>
    <xf numFmtId="38" fontId="56" fillId="3" borderId="28" xfId="0" applyNumberFormat="1" applyFont="1" applyFill="1" applyBorder="1" applyAlignment="1" applyProtection="1">
      <alignment horizontal="right" vertical="center"/>
    </xf>
    <xf numFmtId="38" fontId="56" fillId="3" borderId="0" xfId="0" applyNumberFormat="1" applyFont="1" applyFill="1" applyAlignment="1" applyProtection="1">
      <alignment horizontal="right" vertical="center"/>
    </xf>
    <xf numFmtId="38" fontId="56" fillId="3" borderId="26" xfId="0" applyNumberFormat="1" applyFont="1" applyFill="1" applyBorder="1" applyAlignment="1" applyProtection="1">
      <alignment horizontal="right" vertical="center"/>
    </xf>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3" fontId="56" fillId="3" borderId="127" xfId="0" applyNumberFormat="1" applyFont="1" applyFill="1" applyBorder="1" applyAlignment="1">
      <alignment horizontal="center"/>
    </xf>
    <xf numFmtId="3" fontId="56" fillId="3" borderId="26" xfId="0" applyNumberFormat="1" applyFont="1" applyFill="1" applyBorder="1" applyAlignment="1">
      <alignment horizontal="center"/>
    </xf>
    <xf numFmtId="3" fontId="56" fillId="3" borderId="127" xfId="0" applyNumberFormat="1" applyFont="1" applyFill="1" applyBorder="1" applyAlignment="1">
      <alignment horizontal="right"/>
    </xf>
    <xf numFmtId="0" fontId="63" fillId="0" borderId="0" xfId="0" applyFont="1" applyBorder="1" applyAlignment="1"/>
    <xf numFmtId="49" fontId="63" fillId="0" borderId="2" xfId="0" applyNumberFormat="1" applyFont="1" applyBorder="1" applyAlignment="1">
      <alignment horizontal="center" vertical="center"/>
    </xf>
    <xf numFmtId="38" fontId="56" fillId="2" borderId="2" xfId="0" applyNumberFormat="1" applyFont="1" applyFill="1" applyBorder="1" applyAlignment="1">
      <alignment horizontal="right"/>
    </xf>
    <xf numFmtId="38" fontId="56" fillId="3" borderId="26" xfId="0" applyNumberFormat="1" applyFont="1" applyFill="1" applyBorder="1" applyAlignment="1">
      <alignment horizontal="right"/>
    </xf>
    <xf numFmtId="49" fontId="65" fillId="2" borderId="27" xfId="0" applyNumberFormat="1" applyFont="1" applyFill="1" applyBorder="1" applyAlignment="1">
      <alignment horizontal="center" vertical="center"/>
    </xf>
    <xf numFmtId="38" fontId="56" fillId="3" borderId="28" xfId="0" applyNumberFormat="1" applyFont="1" applyFill="1" applyBorder="1" applyAlignment="1">
      <alignment horizontal="right"/>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38" fontId="56" fillId="3" borderId="4" xfId="0" applyNumberFormat="1" applyFont="1" applyFill="1" applyBorder="1" applyAlignment="1">
      <alignment horizontal="right"/>
    </xf>
    <xf numFmtId="164" fontId="65" fillId="3" borderId="125"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38" fontId="56" fillId="3" borderId="29" xfId="0" applyNumberFormat="1" applyFont="1" applyFill="1" applyBorder="1" applyAlignment="1">
      <alignment horizontal="right"/>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38" fontId="56" fillId="3" borderId="31" xfId="0" applyNumberFormat="1" applyFont="1" applyFill="1" applyBorder="1" applyAlignment="1">
      <alignment horizontal="right"/>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38" fontId="56" fillId="6" borderId="28" xfId="0" applyNumberFormat="1" applyFont="1" applyFill="1" applyBorder="1" applyAlignment="1">
      <alignment horizontal="right"/>
    </xf>
    <xf numFmtId="0" fontId="63" fillId="0" borderId="4" xfId="0" applyFont="1" applyFill="1" applyBorder="1" applyAlignment="1">
      <alignment horizontal="center" vertical="center"/>
    </xf>
    <xf numFmtId="38" fontId="56" fillId="6" borderId="26" xfId="0" applyNumberFormat="1" applyFont="1" applyFill="1" applyBorder="1" applyAlignment="1">
      <alignment horizontal="right"/>
    </xf>
    <xf numFmtId="0" fontId="63" fillId="0" borderId="2" xfId="0" applyFont="1" applyFill="1" applyBorder="1" applyAlignment="1">
      <alignment horizontal="center" vertical="center"/>
    </xf>
    <xf numFmtId="0" fontId="63" fillId="0" borderId="127" xfId="0" applyFont="1" applyFill="1" applyBorder="1" applyAlignment="1">
      <alignment horizontal="center" vertical="center"/>
    </xf>
    <xf numFmtId="38" fontId="56" fillId="0" borderId="127" xfId="0" applyNumberFormat="1" applyFont="1" applyFill="1" applyBorder="1" applyAlignment="1" applyProtection="1">
      <alignment horizontal="right"/>
      <protection locked="0"/>
    </xf>
    <xf numFmtId="38" fontId="56" fillId="6" borderId="4" xfId="0" applyNumberFormat="1" applyFont="1" applyFill="1" applyBorder="1" applyAlignment="1">
      <alignment horizontal="right"/>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38" fontId="56" fillId="0" borderId="21" xfId="0" applyNumberFormat="1" applyFont="1" applyFill="1" applyBorder="1" applyAlignment="1">
      <alignment horizontal="right"/>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38" fontId="56" fillId="3" borderId="2" xfId="0" applyNumberFormat="1" applyFont="1" applyFill="1" applyBorder="1" applyAlignment="1">
      <alignment horizontal="right"/>
    </xf>
    <xf numFmtId="49" fontId="63" fillId="0" borderId="29" xfId="0" applyNumberFormat="1" applyFont="1" applyFill="1" applyBorder="1" applyAlignment="1">
      <alignment horizontal="center" vertical="center"/>
    </xf>
    <xf numFmtId="38" fontId="56" fillId="0" borderId="29" xfId="0" applyNumberFormat="1" applyFont="1" applyBorder="1" applyAlignment="1" applyProtection="1">
      <alignment horizontal="right"/>
      <protection locked="0"/>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8" fontId="56" fillId="6" borderId="29" xfId="0" applyNumberFormat="1" applyFont="1" applyFill="1" applyBorder="1" applyAlignment="1">
      <alignment horizontal="right"/>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5"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6" xfId="0" applyNumberFormat="1" applyFont="1" applyFill="1" applyBorder="1" applyAlignment="1">
      <alignment horizontal="center" vertical="center"/>
    </xf>
    <xf numFmtId="49" fontId="63" fillId="0" borderId="127"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38" fontId="56" fillId="3" borderId="127" xfId="0" applyNumberFormat="1" applyFont="1" applyFill="1" applyBorder="1" applyAlignment="1">
      <alignment horizontal="right"/>
    </xf>
    <xf numFmtId="38" fontId="56" fillId="3" borderId="3" xfId="0" applyNumberFormat="1" applyFont="1" applyFill="1" applyBorder="1" applyAlignment="1">
      <alignment horizontal="right"/>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5"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38" fontId="56" fillId="0" borderId="20" xfId="0" applyNumberFormat="1" applyFont="1" applyFill="1" applyBorder="1" applyAlignment="1">
      <alignment horizontal="right"/>
    </xf>
    <xf numFmtId="38" fontId="56" fillId="0" borderId="0" xfId="0" applyNumberFormat="1" applyFont="1" applyFill="1" applyBorder="1" applyAlignment="1">
      <alignment horizontal="right"/>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0" fontId="58" fillId="6" borderId="0" xfId="0" applyFont="1" applyFill="1" applyAlignment="1">
      <alignment vertical="center"/>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38" fontId="56" fillId="6" borderId="0" xfId="8" applyNumberFormat="1" applyFont="1" applyFill="1" applyBorder="1" applyAlignment="1" applyProtection="1">
      <alignment horizontal="right"/>
    </xf>
    <xf numFmtId="38" fontId="56" fillId="6" borderId="26" xfId="8" applyNumberFormat="1" applyFont="1" applyFill="1" applyBorder="1" applyAlignment="1" applyProtection="1">
      <alignment horizontal="right"/>
    </xf>
    <xf numFmtId="38" fontId="56" fillId="0" borderId="2" xfId="6" applyNumberFormat="1" applyFont="1" applyBorder="1" applyProtection="1">
      <protection locked="0"/>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38" fontId="65" fillId="6" borderId="3" xfId="0" applyNumberFormat="1" applyFont="1" applyFill="1" applyBorder="1" applyAlignment="1">
      <alignment horizontal="center" vertical="center" wrapText="1"/>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5" fillId="0" borderId="2" xfId="0" applyNumberFormat="1" applyFont="1" applyFill="1" applyBorder="1" applyAlignment="1" applyProtection="1">
      <alignment horizontal="center" vertical="center" wrapText="1"/>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0" borderId="2" xfId="0" applyNumberFormat="1" applyFont="1" applyBorder="1" applyAlignment="1" applyProtection="1">
      <alignment horizontal="right" vertical="center"/>
      <protection locked="0"/>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38" fontId="56" fillId="0" borderId="2" xfId="9" applyNumberFormat="1" applyFont="1" applyFill="1" applyBorder="1" applyAlignment="1" applyProtection="1">
      <alignment horizontal="right"/>
      <protection locked="0"/>
    </xf>
    <xf numFmtId="3" fontId="56" fillId="0" borderId="2" xfId="9" applyNumberFormat="1" applyFont="1" applyFill="1" applyBorder="1" applyAlignment="1" applyProtection="1">
      <alignment horizontal="right" vertical="center"/>
      <protection locked="0"/>
    </xf>
    <xf numFmtId="0" fontId="58" fillId="0" borderId="0" xfId="9" applyFont="1" applyFill="1" applyAlignment="1"/>
    <xf numFmtId="0" fontId="63" fillId="0" borderId="0" xfId="9" applyFont="1" applyFill="1" applyAlignment="1"/>
    <xf numFmtId="38" fontId="56" fillId="0" borderId="2" xfId="9" applyNumberFormat="1" applyFont="1" applyFill="1" applyBorder="1" applyAlignment="1" applyProtection="1">
      <alignment horizontal="right" vertical="center"/>
      <protection locked="0"/>
    </xf>
    <xf numFmtId="0" fontId="82" fillId="0" borderId="0" xfId="9" applyFont="1" applyFill="1" applyAlignment="1">
      <alignment vertical="top"/>
    </xf>
    <xf numFmtId="0" fontId="56" fillId="0" borderId="2" xfId="9" applyFont="1" applyFill="1" applyBorder="1" applyAlignment="1" applyProtection="1">
      <alignment horizontal="right" vertical="top"/>
      <protection locked="0"/>
    </xf>
    <xf numFmtId="38" fontId="56" fillId="0" borderId="2" xfId="9" applyNumberFormat="1" applyFont="1" applyFill="1" applyBorder="1" applyAlignment="1" applyProtection="1">
      <alignment horizontal="right" vertical="top"/>
      <protection locked="0"/>
    </xf>
    <xf numFmtId="38" fontId="56" fillId="0" borderId="2" xfId="9" quotePrefix="1" applyNumberFormat="1" applyFont="1" applyFill="1" applyBorder="1" applyAlignment="1" applyProtection="1">
      <alignment horizontal="right"/>
      <protection locked="0"/>
    </xf>
    <xf numFmtId="0" fontId="63" fillId="0" borderId="0" xfId="9" applyFont="1" applyFill="1" applyBorder="1" applyAlignment="1"/>
    <xf numFmtId="38" fontId="56" fillId="6" borderId="2" xfId="9" applyNumberFormat="1" applyFont="1" applyFill="1" applyBorder="1" applyAlignment="1" applyProtection="1">
      <alignment horizontal="right"/>
    </xf>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vertical="center"/>
    </xf>
    <xf numFmtId="38" fontId="56" fillId="6" borderId="22" xfId="0" applyNumberFormat="1"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0" borderId="22" xfId="0" applyNumberFormat="1" applyFont="1" applyFill="1" applyBorder="1" applyAlignment="1" applyProtection="1">
      <alignment vertical="center"/>
      <protection locked="0"/>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vertical="center"/>
    </xf>
    <xf numFmtId="49" fontId="63" fillId="0" borderId="6" xfId="0" applyNumberFormat="1" applyFont="1" applyBorder="1" applyAlignment="1" applyProtection="1">
      <alignment horizontal="center" vertical="center"/>
    </xf>
    <xf numFmtId="38" fontId="56" fillId="0" borderId="7" xfId="0" applyNumberFormat="1" applyFont="1" applyBorder="1" applyAlignment="1" applyProtection="1">
      <alignment vertical="center"/>
      <protection locked="0"/>
    </xf>
    <xf numFmtId="49" fontId="63" fillId="6" borderId="59" xfId="0" applyNumberFormat="1" applyFont="1" applyFill="1" applyBorder="1" applyAlignment="1" applyProtection="1">
      <alignment horizontal="center" vertical="center"/>
    </xf>
    <xf numFmtId="0" fontId="56" fillId="6" borderId="42" xfId="0" applyFont="1" applyFill="1" applyBorder="1" applyAlignment="1" applyProtection="1">
      <alignment horizontal="right" vertical="center"/>
    </xf>
    <xf numFmtId="0" fontId="56" fillId="6" borderId="43" xfId="0" applyFont="1" applyFill="1" applyBorder="1" applyAlignment="1" applyProtection="1">
      <alignment horizontal="right" vertical="center"/>
    </xf>
    <xf numFmtId="0" fontId="56" fillId="6" borderId="40" xfId="0" applyFont="1" applyFill="1" applyBorder="1" applyAlignment="1" applyProtection="1">
      <alignment horizontal="right"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45" xfId="0" applyNumberFormat="1" applyFont="1" applyFill="1" applyBorder="1" applyAlignment="1" applyProtection="1">
      <alignment vertical="center"/>
    </xf>
    <xf numFmtId="38" fontId="56" fillId="3" borderId="44" xfId="0" applyNumberFormat="1" applyFont="1" applyFill="1" applyBorder="1" applyAlignment="1" applyProtection="1">
      <alignment vertical="center"/>
    </xf>
    <xf numFmtId="38" fontId="56" fillId="3" borderId="8" xfId="0" applyNumberFormat="1" applyFont="1" applyFill="1" applyBorder="1" applyAlignment="1" applyProtection="1">
      <alignment horizontal="right" vertical="center"/>
    </xf>
    <xf numFmtId="38" fontId="56" fillId="3" borderId="44"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38" fontId="56" fillId="3" borderId="8" xfId="0" applyNumberFormat="1" applyFont="1" applyFill="1" applyBorder="1" applyAlignment="1" applyProtection="1">
      <alignment vertical="center"/>
    </xf>
    <xf numFmtId="38" fontId="56" fillId="0" borderId="8" xfId="0" applyNumberFormat="1" applyFont="1" applyFill="1" applyBorder="1" applyAlignment="1" applyProtection="1">
      <alignment horizontal="right" vertical="center"/>
      <protection locked="0"/>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38" fontId="56" fillId="0" borderId="8" xfId="0" applyNumberFormat="1" applyFont="1" applyFill="1" applyBorder="1" applyAlignment="1" applyProtection="1">
      <alignment vertical="center"/>
      <protection locked="0"/>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38" fontId="56" fillId="0" borderId="8" xfId="0" applyNumberFormat="1" applyFont="1" applyBorder="1" applyAlignment="1" applyProtection="1">
      <alignment horizontal="right" vertical="center"/>
      <protection locked="0"/>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38" fontId="56" fillId="0" borderId="22" xfId="0" applyNumberFormat="1" applyFont="1" applyBorder="1" applyAlignment="1" applyProtection="1">
      <alignment horizontal="right" vertical="center"/>
      <protection locked="0"/>
    </xf>
    <xf numFmtId="0" fontId="63" fillId="0" borderId="46" xfId="0" applyFont="1" applyBorder="1" applyAlignment="1" applyProtection="1">
      <alignment horizontal="left" vertical="center" wrapText="1" indent="1"/>
    </xf>
    <xf numFmtId="38" fontId="56" fillId="0" borderId="22" xfId="0" applyNumberFormat="1" applyFont="1" applyBorder="1" applyAlignment="1" applyProtection="1">
      <alignment horizontal="right"/>
      <protection locked="0"/>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38" fontId="63" fillId="0" borderId="0" xfId="10" applyNumberFormat="1" applyFont="1" applyFill="1" applyAlignment="1">
      <alignment horizontal="right"/>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40" fontId="63" fillId="0" borderId="9" xfId="10" applyNumberFormat="1" applyFont="1" applyFill="1" applyBorder="1" applyAlignment="1" applyProtection="1">
      <alignment horizontal="right"/>
      <protection locked="0"/>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4" fontId="65" fillId="0" borderId="0" xfId="10" applyNumberFormat="1" applyFont="1" applyFill="1" applyBorder="1" applyAlignment="1" applyProtection="1">
      <alignmen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38" fontId="63" fillId="0" borderId="0" xfId="11" applyNumberFormat="1" applyFont="1" applyFill="1" applyAlignment="1">
      <alignment horizontal="right"/>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38" fontId="56" fillId="0" borderId="13" xfId="0" applyNumberFormat="1" applyFont="1" applyBorder="1" applyAlignment="1" applyProtection="1">
      <alignment vertical="center"/>
      <protection locked="0"/>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20" borderId="13" xfId="0" applyNumberFormat="1" applyFont="1" applyFill="1" applyBorder="1" applyAlignment="1" applyProtection="1">
      <protection locked="0"/>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63" fillId="0" borderId="0" xfId="3" applyNumberFormat="1" applyFont="1" applyBorder="1" applyAlignment="1">
      <alignment vertical="center"/>
    </xf>
    <xf numFmtId="0" fontId="58" fillId="0" borderId="0" xfId="3" applyNumberFormat="1" applyFont="1" applyBorder="1" applyAlignment="1">
      <alignment vertical="center"/>
    </xf>
    <xf numFmtId="0" fontId="58" fillId="0" borderId="0" xfId="3" applyNumberFormat="1" applyFont="1" applyAlignment="1">
      <alignment vertical="center"/>
    </xf>
    <xf numFmtId="0" fontId="63" fillId="0" borderId="0" xfId="3" applyNumberFormat="1" applyFont="1" applyAlignment="1">
      <alignment vertical="center"/>
    </xf>
    <xf numFmtId="0" fontId="65" fillId="0" borderId="0" xfId="3" applyNumberFormat="1" applyFont="1" applyAlignment="1">
      <alignment horizontal="center" vertical="center"/>
    </xf>
    <xf numFmtId="0" fontId="65" fillId="0" borderId="0" xfId="3" applyNumberFormat="1" applyFont="1" applyBorder="1" applyAlignment="1">
      <alignment horizontal="left" vertical="center"/>
    </xf>
    <xf numFmtId="0" fontId="63" fillId="0" borderId="0" xfId="3" applyNumberFormat="1" applyFont="1" applyAlignment="1">
      <alignment horizontal="center" vertical="center"/>
    </xf>
    <xf numFmtId="0" fontId="63" fillId="0" borderId="17" xfId="3" applyNumberFormat="1" applyFont="1" applyBorder="1" applyAlignment="1">
      <alignment horizontal="center" vertical="center"/>
    </xf>
    <xf numFmtId="0" fontId="63" fillId="0" borderId="0" xfId="3" applyNumberFormat="1" applyFont="1" applyBorder="1" applyAlignment="1">
      <alignment horizontal="right" vertical="center" indent="1"/>
    </xf>
    <xf numFmtId="0" fontId="58" fillId="0" borderId="17" xfId="3" applyNumberFormat="1" applyFont="1" applyBorder="1" applyAlignment="1">
      <alignment vertical="center"/>
    </xf>
    <xf numFmtId="0" fontId="58" fillId="0" borderId="19" xfId="3" applyNumberFormat="1" applyFont="1" applyBorder="1" applyAlignment="1">
      <alignment vertical="center"/>
    </xf>
    <xf numFmtId="0" fontId="58" fillId="0" borderId="20" xfId="3" applyNumberFormat="1" applyFont="1" applyBorder="1" applyAlignment="1">
      <alignment vertical="center"/>
    </xf>
    <xf numFmtId="0" fontId="58" fillId="0" borderId="12"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6" xfId="3" applyNumberFormat="1" applyFont="1" applyFill="1" applyBorder="1" applyAlignment="1">
      <alignment horizontal="centerContinuous" vertical="center"/>
    </xf>
    <xf numFmtId="0" fontId="58" fillId="0" borderId="10" xfId="3" applyNumberFormat="1" applyFont="1" applyFill="1" applyBorder="1" applyAlignment="1">
      <alignment horizontal="centerContinuous" vertical="center"/>
    </xf>
    <xf numFmtId="0" fontId="56" fillId="0" borderId="17" xfId="3" applyNumberFormat="1" applyFont="1" applyFill="1" applyBorder="1" applyAlignment="1">
      <alignment vertical="center"/>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56" fillId="0" borderId="0" xfId="3" applyNumberFormat="1" applyFont="1" applyAlignment="1">
      <alignment vertical="center"/>
    </xf>
    <xf numFmtId="0" fontId="65" fillId="0" borderId="4" xfId="3" applyNumberFormat="1" applyFont="1" applyBorder="1" applyAlignment="1">
      <alignment horizontal="center" vertical="center" wrapText="1"/>
    </xf>
    <xf numFmtId="0" fontId="65" fillId="0" borderId="4" xfId="3" applyNumberFormat="1" applyFont="1" applyBorder="1" applyAlignment="1">
      <alignment horizontal="center" vertical="center"/>
    </xf>
    <xf numFmtId="164" fontId="65" fillId="0" borderId="13" xfId="3" applyNumberFormat="1" applyFont="1" applyBorder="1" applyAlignment="1">
      <alignment horizontal="right" vertical="center"/>
    </xf>
    <xf numFmtId="0" fontId="63" fillId="0" borderId="21" xfId="3" applyNumberFormat="1" applyFont="1" applyBorder="1" applyAlignment="1">
      <alignment horizontal="left" vertical="center"/>
    </xf>
    <xf numFmtId="0" fontId="58" fillId="0" borderId="14" xfId="3" applyNumberFormat="1" applyFont="1" applyBorder="1" applyAlignment="1">
      <alignment horizontal="left" vertical="center"/>
    </xf>
    <xf numFmtId="0" fontId="63" fillId="0" borderId="2" xfId="3" applyNumberFormat="1" applyFont="1" applyBorder="1" applyAlignment="1">
      <alignment horizontal="left" vertical="center" indent="1"/>
    </xf>
    <xf numFmtId="0" fontId="56" fillId="16" borderId="2" xfId="3" applyNumberFormat="1" applyFont="1" applyFill="1" applyBorder="1" applyAlignment="1">
      <alignment vertical="center"/>
    </xf>
    <xf numFmtId="38" fontId="56" fillId="0" borderId="2" xfId="3" applyNumberFormat="1" applyFont="1" applyBorder="1" applyAlignment="1" applyProtection="1">
      <alignment vertical="center"/>
      <protection locked="0"/>
    </xf>
    <xf numFmtId="0" fontId="63" fillId="0" borderId="2" xfId="3" applyNumberFormat="1" applyFont="1" applyBorder="1" applyAlignment="1">
      <alignment horizontal="left" vertical="top" indent="1"/>
    </xf>
    <xf numFmtId="164" fontId="65" fillId="0" borderId="13" xfId="3" applyNumberFormat="1" applyFont="1" applyBorder="1" applyAlignment="1">
      <alignment vertical="top"/>
    </xf>
    <xf numFmtId="38" fontId="56" fillId="0" borderId="2" xfId="3" applyNumberFormat="1" applyFont="1" applyFill="1" applyBorder="1" applyAlignment="1" applyProtection="1">
      <alignment vertical="center"/>
      <protection locked="0"/>
    </xf>
    <xf numFmtId="0" fontId="65" fillId="0" borderId="21" xfId="3" applyNumberFormat="1" applyFont="1" applyBorder="1" applyAlignment="1">
      <alignment horizontal="left" vertical="center"/>
    </xf>
    <xf numFmtId="0" fontId="63" fillId="0" borderId="14" xfId="3" applyNumberFormat="1" applyFont="1" applyBorder="1" applyAlignment="1">
      <alignment horizontal="center" vertical="center"/>
    </xf>
    <xf numFmtId="0" fontId="56" fillId="16" borderId="4" xfId="3" applyNumberFormat="1" applyFont="1" applyFill="1" applyBorder="1" applyAlignment="1">
      <alignment vertical="center"/>
    </xf>
    <xf numFmtId="0" fontId="58" fillId="0" borderId="0" xfId="3" applyNumberFormat="1" applyFont="1" applyAlignment="1">
      <alignment horizontal="right" vertical="center"/>
    </xf>
    <xf numFmtId="0" fontId="66" fillId="0" borderId="0" xfId="3" applyNumberFormat="1" applyFont="1" applyAlignment="1">
      <alignment vertical="center"/>
    </xf>
    <xf numFmtId="0" fontId="74" fillId="0" borderId="0" xfId="3" applyNumberFormat="1" applyFont="1" applyAlignment="1">
      <alignment vertical="center"/>
    </xf>
    <xf numFmtId="171" fontId="58" fillId="0" borderId="0" xfId="3" applyNumberFormat="1" applyFont="1" applyBorder="1" applyAlignment="1" applyProtection="1">
      <alignment horizontal="center"/>
    </xf>
    <xf numFmtId="0" fontId="74" fillId="0" borderId="133" xfId="3" applyNumberFormat="1" applyFont="1" applyBorder="1" applyAlignment="1">
      <alignment horizontal="center" vertical="center"/>
    </xf>
    <xf numFmtId="0" fontId="58" fillId="0" borderId="133" xfId="3" applyNumberFormat="1" applyFont="1" applyBorder="1" applyAlignment="1">
      <alignment vertical="center"/>
    </xf>
    <xf numFmtId="0" fontId="74" fillId="0" borderId="0" xfId="3" applyNumberFormat="1" applyFont="1" applyBorder="1" applyAlignment="1">
      <alignment vertical="center" wrapText="1"/>
    </xf>
    <xf numFmtId="0" fontId="58" fillId="0" borderId="0" xfId="3" applyNumberFormat="1" applyFont="1" applyBorder="1" applyAlignment="1">
      <alignment wrapText="1"/>
    </xf>
    <xf numFmtId="0" fontId="74" fillId="0" borderId="133" xfId="3" applyNumberFormat="1" applyFont="1" applyBorder="1" applyAlignment="1">
      <alignment horizontal="center"/>
    </xf>
    <xf numFmtId="0" fontId="74" fillId="0" borderId="0" xfId="3" applyNumberFormat="1" applyFont="1" applyBorder="1" applyAlignment="1"/>
    <xf numFmtId="0" fontId="65" fillId="0" borderId="0" xfId="3" applyNumberFormat="1" applyFont="1" applyAlignment="1">
      <alignment horizontal="right"/>
    </xf>
    <xf numFmtId="0" fontId="56" fillId="0" borderId="0" xfId="3" applyNumberFormat="1" applyFont="1" applyBorder="1" applyAlignment="1">
      <alignment horizontal="center" wrapText="1"/>
    </xf>
    <xf numFmtId="0" fontId="74" fillId="0" borderId="0" xfId="3" applyFont="1" applyBorder="1" applyAlignment="1">
      <alignment horizontal="center" vertical="center" wrapText="1"/>
    </xf>
    <xf numFmtId="0" fontId="80" fillId="0" borderId="0" xfId="3" applyNumberFormat="1" applyFont="1" applyAlignment="1">
      <alignment vertical="center"/>
    </xf>
    <xf numFmtId="0" fontId="66" fillId="0" borderId="22" xfId="3" applyNumberFormat="1" applyFont="1" applyBorder="1" applyAlignment="1" applyProtection="1">
      <alignment horizontal="center" vertical="center"/>
      <protection locked="0"/>
    </xf>
    <xf numFmtId="0" fontId="63" fillId="0" borderId="0" xfId="3" applyNumberFormat="1" applyFont="1" applyAlignment="1">
      <alignment horizontal="left" vertical="center" indent="2"/>
    </xf>
    <xf numFmtId="0" fontId="58" fillId="0" borderId="0" xfId="3" applyFont="1" applyAlignment="1">
      <alignment horizontal="left" wrapText="1" indent="2"/>
    </xf>
    <xf numFmtId="0" fontId="56" fillId="0" borderId="0" xfId="3" applyNumberFormat="1" applyFont="1" applyBorder="1" applyAlignment="1">
      <alignment vertical="center"/>
    </xf>
    <xf numFmtId="0" fontId="84" fillId="0" borderId="0" xfId="3" applyNumberFormat="1" applyFont="1" applyBorder="1" applyAlignment="1">
      <alignment horizontal="centerContinuous" vertical="center"/>
    </xf>
    <xf numFmtId="0" fontId="57" fillId="0" borderId="0" xfId="2" applyNumberFormat="1" applyFont="1" applyBorder="1" applyAlignment="1" applyProtection="1">
      <alignment horizontal="centerContinuous" vertical="center"/>
    </xf>
    <xf numFmtId="0" fontId="58" fillId="0" borderId="0" xfId="3" applyFont="1" applyAlignment="1">
      <alignment vertical="top" wrapText="1"/>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2" xfId="0" applyFont="1" applyBorder="1"/>
    <xf numFmtId="0" fontId="56" fillId="0" borderId="13" xfId="0" applyFont="1" applyBorder="1"/>
    <xf numFmtId="0" fontId="56" fillId="0" borderId="125" xfId="0" applyFont="1" applyBorder="1" applyAlignment="1">
      <alignment horizontal="left" vertical="top"/>
    </xf>
    <xf numFmtId="164" fontId="114" fillId="0" borderId="128" xfId="0" applyNumberFormat="1" applyFont="1" applyBorder="1" applyAlignment="1">
      <alignment horizontal="right" vertical="top"/>
    </xf>
    <xf numFmtId="0" fontId="56" fillId="0" borderId="128" xfId="0" applyNumberFormat="1" applyFont="1" applyBorder="1" applyAlignment="1">
      <alignment horizontal="left" vertical="center" wrapText="1" indent="1"/>
    </xf>
    <xf numFmtId="0" fontId="86" fillId="0" borderId="127" xfId="0" applyFont="1" applyBorder="1" applyAlignment="1">
      <alignment horizontal="left" vertical="center" wrapText="1"/>
    </xf>
    <xf numFmtId="0" fontId="56" fillId="0" borderId="128" xfId="0" applyFont="1" applyBorder="1" applyAlignment="1">
      <alignment horizontal="left" vertical="top"/>
    </xf>
    <xf numFmtId="0" fontId="56" fillId="0" borderId="0" xfId="0" applyFont="1" applyBorder="1" applyAlignment="1">
      <alignment vertical="top"/>
    </xf>
    <xf numFmtId="0" fontId="116" fillId="0" borderId="128" xfId="0" applyNumberFormat="1" applyFont="1" applyBorder="1" applyAlignment="1">
      <alignment horizontal="left" vertical="center"/>
    </xf>
    <xf numFmtId="0" fontId="114" fillId="0" borderId="128" xfId="0" applyFont="1" applyBorder="1" applyAlignment="1">
      <alignment vertical="top"/>
    </xf>
    <xf numFmtId="0" fontId="114" fillId="0" borderId="128" xfId="0" applyFont="1" applyBorder="1" applyAlignment="1">
      <alignment horizontal="left" vertical="top"/>
    </xf>
    <xf numFmtId="0" fontId="56" fillId="0" borderId="125" xfId="0" applyFont="1" applyBorder="1" applyAlignment="1"/>
    <xf numFmtId="164" fontId="114" fillId="0" borderId="128" xfId="0" applyNumberFormat="1" applyFont="1" applyBorder="1" applyAlignment="1"/>
    <xf numFmtId="0" fontId="56" fillId="0" borderId="128" xfId="0" applyFont="1" applyBorder="1" applyAlignment="1"/>
    <xf numFmtId="0" fontId="63" fillId="0" borderId="126"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4"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5" xfId="0" applyFont="1" applyFill="1" applyBorder="1" applyAlignment="1"/>
    <xf numFmtId="0" fontId="55" fillId="0" borderId="128" xfId="0" applyFont="1" applyFill="1" applyBorder="1" applyAlignment="1">
      <alignment horizontal="left" vertical="top"/>
    </xf>
    <xf numFmtId="0" fontId="55" fillId="0" borderId="126"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6"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3" xfId="3" quotePrefix="1" applyNumberFormat="1" applyFont="1" applyBorder="1" applyAlignment="1" applyProtection="1">
      <alignment horizontal="left"/>
    </xf>
    <xf numFmtId="0" fontId="63" fillId="0" borderId="144" xfId="3" applyNumberFormat="1" applyFont="1" applyBorder="1" applyAlignment="1" applyProtection="1">
      <alignment horizontal="center"/>
    </xf>
    <xf numFmtId="0" fontId="63" fillId="0" borderId="144" xfId="3" applyNumberFormat="1" applyFont="1" applyBorder="1" applyProtection="1"/>
    <xf numFmtId="0" fontId="56" fillId="0" borderId="143" xfId="3" applyNumberFormat="1" applyFont="1" applyBorder="1" applyAlignment="1" applyProtection="1"/>
    <xf numFmtId="0" fontId="63" fillId="0" borderId="145" xfId="3" applyNumberFormat="1" applyFont="1" applyBorder="1" applyAlignment="1" applyProtection="1">
      <alignment horizontal="centerContinuous"/>
    </xf>
    <xf numFmtId="0" fontId="56" fillId="0" borderId="143" xfId="3" applyNumberFormat="1" applyFont="1" applyBorder="1" applyAlignment="1" applyProtection="1">
      <alignment horizontal="left"/>
    </xf>
    <xf numFmtId="0" fontId="63" fillId="0" borderId="145" xfId="3" applyNumberFormat="1" applyFont="1" applyBorder="1" applyProtection="1"/>
    <xf numFmtId="0" fontId="63" fillId="0" borderId="144"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3"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8" fillId="0" borderId="77" xfId="3" applyNumberFormat="1" applyFont="1" applyBorder="1" applyAlignment="1" applyProtection="1">
      <alignment horizontal="center"/>
    </xf>
    <xf numFmtId="0" fontId="56" fillId="0" borderId="0" xfId="3" applyNumberFormat="1" applyFont="1" applyProtection="1"/>
    <xf numFmtId="0" fontId="63" fillId="0" borderId="0" xfId="3" quotePrefix="1" applyNumberFormat="1" applyFont="1" applyAlignment="1" applyProtection="1">
      <alignment horizontal="left"/>
    </xf>
    <xf numFmtId="0" fontId="55" fillId="0" borderId="0" xfId="3" applyNumberFormat="1" applyFont="1" applyProtection="1"/>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7"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4"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8"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6" xfId="3" applyFont="1" applyBorder="1" applyProtection="1"/>
    <xf numFmtId="0" fontId="56" fillId="0" borderId="147" xfId="3" applyFont="1" applyBorder="1" applyProtection="1">
      <protection locked="0"/>
    </xf>
    <xf numFmtId="0" fontId="56" fillId="0" borderId="146"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5" xfId="3" applyNumberFormat="1" applyFont="1" applyBorder="1" applyAlignment="1" applyProtection="1">
      <alignment horizontal="center"/>
    </xf>
    <xf numFmtId="0" fontId="65" fillId="0" borderId="144" xfId="3" applyFont="1" applyBorder="1" applyAlignment="1" applyProtection="1">
      <alignment horizontal="centerContinuous"/>
    </xf>
    <xf numFmtId="0" fontId="65" fillId="0" borderId="145"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5"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1" borderId="72" xfId="3" applyFont="1" applyFill="1" applyBorder="1" applyAlignment="1" applyProtection="1">
      <alignment horizontal="center"/>
    </xf>
    <xf numFmtId="0" fontId="65" fillId="22"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1"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2"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169" fontId="63" fillId="0" borderId="8" xfId="3" applyNumberFormat="1" applyFont="1" applyBorder="1" applyAlignment="1" applyProtection="1">
      <alignment horizontal="center"/>
      <protection locked="0"/>
    </xf>
    <xf numFmtId="1" fontId="63" fillId="0" borderId="8" xfId="3" applyNumberFormat="1" applyFont="1" applyBorder="1" applyAlignment="1" applyProtection="1">
      <alignment horizontal="center"/>
      <protection locked="0"/>
    </xf>
    <xf numFmtId="3" fontId="63" fillId="0" borderId="8" xfId="3" applyNumberFormat="1" applyFont="1" applyBorder="1" applyAlignment="1" applyProtection="1">
      <alignment horizontal="center"/>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center"/>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1" borderId="0" xfId="3" applyFont="1" applyFill="1" applyProtection="1"/>
    <xf numFmtId="169" fontId="58" fillId="21" borderId="0" xfId="3" applyNumberFormat="1" applyFont="1" applyFill="1" applyProtection="1"/>
    <xf numFmtId="1" fontId="58" fillId="21" borderId="0" xfId="3" applyNumberFormat="1" applyFont="1" applyFill="1" applyProtection="1"/>
    <xf numFmtId="0" fontId="58" fillId="21"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4" xfId="3" applyFont="1" applyBorder="1" applyProtection="1"/>
    <xf numFmtId="0" fontId="58" fillId="0" borderId="144" xfId="3" applyFont="1" applyBorder="1" applyProtection="1"/>
    <xf numFmtId="0" fontId="58" fillId="0" borderId="144"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0" fontId="66" fillId="0" borderId="0" xfId="3" applyFont="1" applyBorder="1" applyAlignment="1" applyProtection="1">
      <alignment horizontal="right"/>
    </xf>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4" xfId="3" quotePrefix="1" applyFont="1" applyBorder="1" applyAlignment="1" applyProtection="1">
      <alignment horizontal="left"/>
    </xf>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4" xfId="3" applyFont="1" applyBorder="1" applyProtection="1"/>
    <xf numFmtId="0" fontId="58" fillId="0" borderId="0" xfId="3" applyFont="1" applyBorder="1" applyAlignment="1" applyProtection="1">
      <alignment horizontal="left"/>
    </xf>
    <xf numFmtId="0" fontId="65" fillId="0" borderId="144" xfId="3" applyFont="1" applyBorder="1" applyAlignment="1" applyProtection="1">
      <alignment horizontal="left"/>
    </xf>
    <xf numFmtId="0" fontId="58" fillId="9" borderId="144" xfId="3" applyFont="1" applyFill="1" applyBorder="1" applyProtection="1"/>
    <xf numFmtId="0" fontId="58" fillId="9" borderId="144" xfId="3" applyFont="1" applyFill="1" applyBorder="1" applyAlignment="1" applyProtection="1">
      <alignment horizontal="center"/>
    </xf>
    <xf numFmtId="0" fontId="58" fillId="9" borderId="145" xfId="3" applyFont="1" applyFill="1" applyBorder="1" applyProtection="1"/>
    <xf numFmtId="0" fontId="63" fillId="9" borderId="5" xfId="3" applyFont="1" applyFill="1" applyBorder="1" applyProtection="1"/>
    <xf numFmtId="0" fontId="63" fillId="9" borderId="111" xfId="3" applyFont="1" applyFill="1" applyBorder="1" applyProtection="1"/>
    <xf numFmtId="14" fontId="58" fillId="9" borderId="0" xfId="3" applyNumberFormat="1" applyFont="1" applyFill="1" applyBorder="1" applyProtection="1"/>
    <xf numFmtId="0" fontId="58" fillId="9" borderId="0" xfId="3" applyFont="1" applyFill="1" applyBorder="1" applyProtection="1"/>
    <xf numFmtId="0" fontId="58" fillId="9" borderId="0" xfId="3" applyFont="1" applyFill="1" applyBorder="1" applyAlignment="1" applyProtection="1">
      <alignment horizontal="center"/>
    </xf>
    <xf numFmtId="0" fontId="58" fillId="9" borderId="9" xfId="3" applyFont="1" applyFill="1" applyBorder="1" applyProtection="1"/>
    <xf numFmtId="0" fontId="63" fillId="9" borderId="0" xfId="3" applyFont="1" applyFill="1" applyBorder="1" applyProtection="1"/>
    <xf numFmtId="0" fontId="58" fillId="9" borderId="50" xfId="3" applyFont="1" applyFill="1" applyBorder="1" applyProtection="1"/>
    <xf numFmtId="0" fontId="58" fillId="9" borderId="9" xfId="3" applyFont="1" applyFill="1" applyBorder="1" applyAlignment="1" applyProtection="1">
      <alignment horizontal="center"/>
    </xf>
    <xf numFmtId="0" fontId="58" fillId="9" borderId="59" xfId="3" applyFont="1" applyFill="1" applyBorder="1" applyProtection="1"/>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4"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9"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0" fontId="66" fillId="0" borderId="0" xfId="3" applyFont="1" applyAlignment="1" applyProtection="1">
      <alignment horizontal="right"/>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65" fillId="9" borderId="143" xfId="3" applyFont="1" applyFill="1" applyBorder="1" applyProtection="1"/>
    <xf numFmtId="0" fontId="65" fillId="9" borderId="144" xfId="3" applyFont="1" applyFill="1" applyBorder="1" applyProtection="1"/>
    <xf numFmtId="0" fontId="58" fillId="0" borderId="5" xfId="3" applyFont="1" applyFill="1" applyBorder="1" applyProtection="1"/>
    <xf numFmtId="14" fontId="58" fillId="9" borderId="74" xfId="3" applyNumberFormat="1" applyFont="1" applyFill="1" applyBorder="1" applyAlignment="1" applyProtection="1">
      <alignment horizontal="center"/>
    </xf>
    <xf numFmtId="0" fontId="58" fillId="9" borderId="74" xfId="3" applyFont="1" applyFill="1" applyBorder="1" applyAlignment="1" applyProtection="1">
      <alignment horizontal="center"/>
    </xf>
    <xf numFmtId="0" fontId="58" fillId="9" borderId="40" xfId="3" applyFont="1" applyFill="1" applyBorder="1" applyProtection="1"/>
    <xf numFmtId="0" fontId="73" fillId="0" borderId="151" xfId="3" applyFont="1" applyBorder="1" applyAlignment="1" applyProtection="1">
      <alignment horizontal="left"/>
    </xf>
    <xf numFmtId="0" fontId="58" fillId="0" borderId="151" xfId="3" applyFont="1" applyBorder="1" applyProtection="1"/>
    <xf numFmtId="0" fontId="58" fillId="0" borderId="151"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5" fillId="0" borderId="20" xfId="0" applyFont="1" applyFill="1" applyBorder="1" applyAlignment="1" applyProtection="1">
      <alignment horizontal="left" vertical="center" indent="2"/>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8"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9"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7" xfId="0" applyNumberFormat="1" applyFont="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7"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6" fillId="0" borderId="127" xfId="0" applyNumberFormat="1" applyFont="1" applyFill="1" applyBorder="1" applyAlignment="1" applyProtection="1">
      <alignment horizontal="right" vertical="center"/>
      <protection locked="0"/>
    </xf>
    <xf numFmtId="38" fontId="55" fillId="6" borderId="155" xfId="0" applyNumberFormat="1" applyFont="1" applyFill="1" applyBorder="1" applyAlignment="1">
      <alignment horizontal="center" vertical="center" wrapText="1"/>
    </xf>
    <xf numFmtId="38" fontId="55" fillId="6" borderId="155" xfId="0" applyNumberFormat="1" applyFont="1" applyFill="1" applyBorder="1" applyAlignment="1">
      <alignment horizontal="center" vertical="top" wrapText="1"/>
    </xf>
    <xf numFmtId="38" fontId="65" fillId="6" borderId="155" xfId="0" applyNumberFormat="1" applyFont="1" applyFill="1" applyBorder="1" applyAlignment="1">
      <alignment horizontal="center" vertical="center" wrapText="1"/>
    </xf>
    <xf numFmtId="38" fontId="65" fillId="6" borderId="10"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0" fontId="8" fillId="0" borderId="0" xfId="17"/>
    <xf numFmtId="0" fontId="100" fillId="0" borderId="140" xfId="17" applyFont="1" applyBorder="1" applyAlignment="1">
      <alignment horizontal="left" vertical="top"/>
    </xf>
    <xf numFmtId="0" fontId="127" fillId="0" borderId="141" xfId="17" applyFont="1" applyBorder="1" applyAlignment="1">
      <alignment horizontal="center" vertical="top"/>
    </xf>
    <xf numFmtId="0" fontId="127" fillId="0" borderId="142" xfId="17" applyFont="1" applyBorder="1" applyAlignment="1">
      <alignment horizontal="center" vertical="top"/>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38" fontId="8" fillId="23" borderId="157" xfId="17" applyNumberFormat="1" applyFill="1" applyBorder="1" applyAlignment="1">
      <alignment horizontal="right" vertical="top"/>
    </xf>
    <xf numFmtId="38" fontId="8" fillId="23" borderId="158" xfId="17" applyNumberFormat="1" applyFill="1" applyBorder="1" applyAlignment="1">
      <alignment horizontal="right" vertical="top"/>
    </xf>
    <xf numFmtId="0" fontId="8" fillId="0" borderId="0" xfId="17" applyAlignment="1">
      <alignment horizontal="left" vertical="top" wrapText="1"/>
    </xf>
    <xf numFmtId="0" fontId="8" fillId="0" borderId="0" xfId="17" applyAlignment="1">
      <alignment vertical="top"/>
    </xf>
    <xf numFmtId="38" fontId="8" fillId="0" borderId="0" xfId="17" applyNumberFormat="1" applyAlignment="1">
      <alignment horizontal="right" vertical="top"/>
    </xf>
    <xf numFmtId="0" fontId="8" fillId="0" borderId="0" xfId="17" applyAlignment="1">
      <alignment horizontal="center" vertical="top" wrapText="1"/>
    </xf>
    <xf numFmtId="0" fontId="126" fillId="24" borderId="156" xfId="17" applyFont="1" applyFill="1" applyBorder="1" applyAlignment="1">
      <alignment horizontal="center" vertical="center" wrapText="1"/>
    </xf>
    <xf numFmtId="38" fontId="126" fillId="24" borderId="156" xfId="17" applyNumberFormat="1" applyFont="1" applyFill="1" applyBorder="1" applyAlignment="1">
      <alignment horizontal="center" vertical="center" wrapText="1"/>
    </xf>
    <xf numFmtId="3" fontId="56" fillId="24" borderId="131" xfId="0" applyNumberFormat="1" applyFont="1" applyFill="1" applyBorder="1" applyAlignment="1">
      <alignment horizontal="center"/>
    </xf>
    <xf numFmtId="3" fontId="56" fillId="24" borderId="131" xfId="0" applyNumberFormat="1" applyFont="1" applyFill="1" applyBorder="1" applyAlignment="1">
      <alignment horizontal="right"/>
    </xf>
    <xf numFmtId="3" fontId="56" fillId="24" borderId="132" xfId="0" applyNumberFormat="1" applyFont="1" applyFill="1" applyBorder="1" applyAlignment="1">
      <alignment horizontal="center"/>
    </xf>
    <xf numFmtId="38" fontId="56" fillId="24" borderId="19" xfId="0" applyNumberFormat="1" applyFont="1" applyFill="1" applyBorder="1" applyAlignment="1">
      <alignment horizontal="right"/>
    </xf>
    <xf numFmtId="38" fontId="56" fillId="24" borderId="20" xfId="0" applyNumberFormat="1" applyFont="1" applyFill="1" applyBorder="1" applyAlignment="1">
      <alignment horizontal="right"/>
    </xf>
    <xf numFmtId="38" fontId="56" fillId="24" borderId="11" xfId="0" applyNumberFormat="1" applyFont="1" applyFill="1" applyBorder="1" applyAlignment="1">
      <alignment horizontal="right"/>
    </xf>
    <xf numFmtId="3" fontId="66" fillId="24" borderId="125" xfId="0" applyNumberFormat="1" applyFont="1" applyFill="1" applyBorder="1" applyAlignment="1">
      <alignment horizontal="center" vertical="center" wrapText="1"/>
    </xf>
    <xf numFmtId="49" fontId="63" fillId="24" borderId="11" xfId="0" applyNumberFormat="1" applyFont="1" applyFill="1" applyBorder="1" applyAlignment="1">
      <alignment horizontal="center" vertical="center"/>
    </xf>
    <xf numFmtId="38" fontId="56" fillId="24" borderId="13" xfId="0" applyNumberFormat="1" applyFont="1" applyFill="1" applyBorder="1" applyAlignment="1">
      <alignment horizontal="right"/>
    </xf>
    <xf numFmtId="38" fontId="56" fillId="24" borderId="21" xfId="0" applyNumberFormat="1" applyFont="1" applyFill="1" applyBorder="1" applyAlignment="1">
      <alignment horizontal="right"/>
    </xf>
    <xf numFmtId="38" fontId="56" fillId="24" borderId="14" xfId="0" applyNumberFormat="1" applyFont="1" applyFill="1" applyBorder="1" applyAlignment="1">
      <alignment horizontal="right"/>
    </xf>
    <xf numFmtId="38" fontId="55" fillId="24" borderId="13" xfId="0" applyNumberFormat="1" applyFont="1" applyFill="1" applyBorder="1" applyAlignment="1" applyProtection="1">
      <alignment horizontal="right"/>
    </xf>
    <xf numFmtId="38" fontId="55" fillId="24" borderId="21" xfId="0" applyNumberFormat="1" applyFont="1" applyFill="1" applyBorder="1" applyAlignment="1" applyProtection="1">
      <alignment horizontal="right"/>
    </xf>
    <xf numFmtId="38" fontId="55" fillId="24" borderId="21" xfId="1" applyNumberFormat="1" applyFont="1" applyFill="1" applyBorder="1" applyAlignment="1" applyProtection="1">
      <alignment horizontal="right"/>
    </xf>
    <xf numFmtId="38" fontId="55" fillId="24" borderId="14" xfId="0" applyNumberFormat="1" applyFont="1" applyFill="1" applyBorder="1" applyAlignment="1" applyProtection="1">
      <alignment horizontal="right"/>
    </xf>
    <xf numFmtId="38" fontId="56" fillId="24" borderId="19" xfId="0" applyNumberFormat="1" applyFont="1" applyFill="1" applyBorder="1" applyAlignment="1" applyProtection="1">
      <alignment horizontal="right"/>
    </xf>
    <xf numFmtId="38" fontId="56" fillId="24" borderId="20" xfId="0" applyNumberFormat="1" applyFont="1" applyFill="1" applyBorder="1" applyAlignment="1" applyProtection="1">
      <alignment horizontal="right"/>
    </xf>
    <xf numFmtId="38" fontId="56" fillId="24" borderId="21" xfId="0" applyNumberFormat="1" applyFont="1" applyFill="1" applyBorder="1" applyAlignment="1" applyProtection="1">
      <alignment horizontal="right"/>
    </xf>
    <xf numFmtId="38" fontId="56" fillId="24" borderId="14" xfId="0" applyNumberFormat="1" applyFont="1" applyFill="1" applyBorder="1" applyAlignment="1" applyProtection="1">
      <alignment horizontal="right"/>
    </xf>
    <xf numFmtId="0" fontId="58" fillId="24" borderId="31" xfId="0" applyFont="1" applyFill="1" applyBorder="1" applyAlignment="1">
      <alignment horizontal="center" vertical="center"/>
    </xf>
    <xf numFmtId="38" fontId="56" fillId="24" borderId="13" xfId="0" applyNumberFormat="1" applyFont="1" applyFill="1" applyBorder="1" applyAlignment="1" applyProtection="1">
      <alignment horizontal="right"/>
    </xf>
    <xf numFmtId="38" fontId="56" fillId="24" borderId="11" xfId="0" applyNumberFormat="1" applyFont="1" applyFill="1" applyBorder="1" applyAlignment="1" applyProtection="1">
      <alignment horizontal="right"/>
    </xf>
    <xf numFmtId="38" fontId="56" fillId="24" borderId="49" xfId="0" applyNumberFormat="1" applyFont="1" applyFill="1" applyBorder="1" applyAlignment="1" applyProtection="1">
      <alignment horizontal="right"/>
    </xf>
    <xf numFmtId="38" fontId="56" fillId="24" borderId="34" xfId="0" applyNumberFormat="1" applyFont="1" applyFill="1" applyBorder="1" applyAlignment="1" applyProtection="1">
      <alignment horizontal="right"/>
    </xf>
    <xf numFmtId="38" fontId="56" fillId="24" borderId="31" xfId="0" applyNumberFormat="1" applyFont="1" applyFill="1" applyBorder="1" applyAlignment="1" applyProtection="1">
      <alignment horizontal="right"/>
    </xf>
    <xf numFmtId="3" fontId="55" fillId="24" borderId="13" xfId="0" applyNumberFormat="1" applyFont="1" applyFill="1" applyBorder="1" applyAlignment="1" applyProtection="1">
      <alignment horizontal="right" vertical="center"/>
    </xf>
    <xf numFmtId="3" fontId="55" fillId="24" borderId="21" xfId="0" applyNumberFormat="1" applyFont="1" applyFill="1" applyBorder="1" applyAlignment="1" applyProtection="1">
      <alignment horizontal="right" vertical="center"/>
    </xf>
    <xf numFmtId="3" fontId="55" fillId="24" borderId="14" xfId="0" applyNumberFormat="1" applyFont="1" applyFill="1" applyBorder="1" applyAlignment="1" applyProtection="1">
      <alignment horizontal="right" vertical="center"/>
    </xf>
    <xf numFmtId="0" fontId="65" fillId="18" borderId="14" xfId="0" applyFont="1" applyFill="1" applyBorder="1" applyAlignment="1" applyProtection="1">
      <alignment horizontal="left" vertical="center"/>
    </xf>
    <xf numFmtId="0" fontId="65" fillId="18" borderId="2" xfId="0" applyFont="1" applyFill="1" applyBorder="1" applyAlignment="1" applyProtection="1">
      <alignment horizontal="center" vertical="top"/>
    </xf>
    <xf numFmtId="0" fontId="65" fillId="18" borderId="2" xfId="0" applyFont="1" applyFill="1" applyBorder="1" applyAlignment="1" applyProtection="1">
      <alignment horizontal="center" vertical="center"/>
    </xf>
    <xf numFmtId="3" fontId="55" fillId="24" borderId="13" xfId="0" applyNumberFormat="1" applyFont="1" applyFill="1" applyBorder="1" applyAlignment="1" applyProtection="1">
      <alignment horizontal="center" vertical="center"/>
    </xf>
    <xf numFmtId="49" fontId="65" fillId="24" borderId="21" xfId="0" applyNumberFormat="1" applyFont="1" applyFill="1" applyBorder="1" applyAlignment="1" applyProtection="1">
      <alignment horizontal="center" vertical="center"/>
    </xf>
    <xf numFmtId="3" fontId="56" fillId="24" borderId="21" xfId="0" applyNumberFormat="1" applyFont="1" applyFill="1" applyBorder="1" applyAlignment="1" applyProtection="1">
      <alignment horizontal="center"/>
    </xf>
    <xf numFmtId="3" fontId="58" fillId="24" borderId="21" xfId="0" applyNumberFormat="1" applyFont="1" applyFill="1" applyBorder="1" applyAlignment="1" applyProtection="1">
      <alignment horizontal="center"/>
    </xf>
    <xf numFmtId="38" fontId="58" fillId="24" borderId="21" xfId="0" applyNumberFormat="1" applyFont="1" applyFill="1" applyBorder="1" applyAlignment="1" applyProtection="1">
      <alignment horizontal="center"/>
    </xf>
    <xf numFmtId="3" fontId="58" fillId="24" borderId="14" xfId="0" applyNumberFormat="1" applyFont="1" applyFill="1" applyBorder="1" applyAlignment="1" applyProtection="1">
      <alignment horizontal="center"/>
    </xf>
    <xf numFmtId="0" fontId="55" fillId="24" borderId="49" xfId="0" applyFont="1" applyFill="1" applyBorder="1" applyAlignment="1" applyProtection="1">
      <alignment horizontal="center" vertical="center" wrapText="1"/>
    </xf>
    <xf numFmtId="0" fontId="56" fillId="24" borderId="34" xfId="0" applyFont="1" applyFill="1" applyBorder="1" applyAlignment="1">
      <alignment horizontal="center" vertical="center" wrapText="1"/>
    </xf>
    <xf numFmtId="164" fontId="55" fillId="24" borderId="49" xfId="0" applyNumberFormat="1" applyFont="1" applyFill="1" applyBorder="1" applyAlignment="1" applyProtection="1">
      <alignment horizontal="center" vertical="center" wrapText="1"/>
    </xf>
    <xf numFmtId="0" fontId="58" fillId="24" borderId="31" xfId="0" applyFont="1" applyFill="1" applyBorder="1" applyAlignment="1">
      <alignment horizontal="center" vertical="center" wrapText="1"/>
    </xf>
    <xf numFmtId="164" fontId="55" fillId="24" borderId="49" xfId="0" applyNumberFormat="1" applyFont="1" applyFill="1" applyBorder="1" applyAlignment="1" applyProtection="1">
      <alignment horizontal="center" vertical="center"/>
    </xf>
    <xf numFmtId="3" fontId="65" fillId="18" borderId="20" xfId="0" applyNumberFormat="1" applyFont="1" applyFill="1" applyBorder="1" applyAlignment="1" applyProtection="1">
      <alignment horizontal="left" vertical="center"/>
    </xf>
    <xf numFmtId="0" fontId="65" fillId="18" borderId="2" xfId="0" applyFont="1" applyFill="1" applyBorder="1" applyAlignment="1">
      <alignment horizontal="center" vertical="center"/>
    </xf>
    <xf numFmtId="164" fontId="65" fillId="18" borderId="20" xfId="0" applyNumberFormat="1" applyFont="1" applyFill="1" applyBorder="1" applyAlignment="1" applyProtection="1">
      <alignment horizontal="left" vertical="center"/>
    </xf>
    <xf numFmtId="0" fontId="65" fillId="18" borderId="29" xfId="0" applyFont="1" applyFill="1" applyBorder="1" applyAlignment="1" applyProtection="1">
      <alignment horizontal="center" vertical="center"/>
    </xf>
    <xf numFmtId="0" fontId="65" fillId="18" borderId="127" xfId="0" applyFont="1" applyFill="1" applyBorder="1" applyAlignment="1" applyProtection="1">
      <alignment horizontal="center" vertical="center"/>
    </xf>
    <xf numFmtId="164" fontId="65" fillId="18" borderId="21" xfId="0" applyNumberFormat="1" applyFont="1" applyFill="1" applyBorder="1" applyAlignment="1" applyProtection="1">
      <alignment horizontal="left" vertical="center"/>
    </xf>
    <xf numFmtId="0" fontId="65" fillId="18" borderId="14" xfId="0" applyFont="1" applyFill="1" applyBorder="1" applyAlignment="1" applyProtection="1">
      <alignment horizontal="center" vertical="center"/>
    </xf>
    <xf numFmtId="0" fontId="65" fillId="18" borderId="31" xfId="0" applyFont="1" applyFill="1" applyBorder="1" applyAlignment="1" applyProtection="1">
      <alignment horizontal="center" vertical="center"/>
    </xf>
    <xf numFmtId="164" fontId="65" fillId="16" borderId="21" xfId="0" applyNumberFormat="1" applyFont="1" applyFill="1" applyBorder="1" applyAlignment="1" applyProtection="1">
      <alignment horizontal="left" vertical="center" indent="1"/>
    </xf>
    <xf numFmtId="0" fontId="63" fillId="16" borderId="14" xfId="0" applyFont="1" applyFill="1" applyBorder="1" applyAlignment="1" applyProtection="1">
      <alignment horizontal="center" vertical="center"/>
    </xf>
    <xf numFmtId="164" fontId="65" fillId="16" borderId="20" xfId="0" applyNumberFormat="1" applyFont="1" applyFill="1" applyBorder="1" applyAlignment="1" applyProtection="1">
      <alignment horizontal="left" vertical="center" indent="1"/>
    </xf>
    <xf numFmtId="1" fontId="63" fillId="16" borderId="11" xfId="0" applyNumberFormat="1" applyFont="1" applyFill="1" applyBorder="1" applyAlignment="1" applyProtection="1">
      <alignment horizontal="center" vertical="center"/>
    </xf>
    <xf numFmtId="1" fontId="63" fillId="16" borderId="4" xfId="0" applyNumberFormat="1" applyFont="1" applyFill="1" applyBorder="1" applyAlignment="1" applyProtection="1">
      <alignment horizontal="center" vertical="center"/>
    </xf>
    <xf numFmtId="0" fontId="65" fillId="16" borderId="21" xfId="0" applyFont="1" applyFill="1" applyBorder="1" applyAlignment="1">
      <alignment horizontal="left" vertical="center" indent="1"/>
    </xf>
    <xf numFmtId="0" fontId="63" fillId="16" borderId="14" xfId="0" applyFont="1" applyFill="1" applyBorder="1" applyAlignment="1">
      <alignment horizontal="left" vertical="center"/>
    </xf>
    <xf numFmtId="0" fontId="63" fillId="16" borderId="11" xfId="0" applyFont="1" applyFill="1" applyBorder="1" applyAlignment="1" applyProtection="1">
      <alignment horizontal="center" vertical="center"/>
    </xf>
    <xf numFmtId="3" fontId="65" fillId="18" borderId="125" xfId="0" applyNumberFormat="1" applyFont="1" applyFill="1" applyBorder="1" applyAlignment="1">
      <alignment horizontal="left" vertical="center" wrapText="1"/>
    </xf>
    <xf numFmtId="49" fontId="65" fillId="18" borderId="127" xfId="0" applyNumberFormat="1" applyFont="1" applyFill="1" applyBorder="1" applyAlignment="1">
      <alignment horizontal="center" vertical="center"/>
    </xf>
    <xf numFmtId="0" fontId="65" fillId="18" borderId="17" xfId="0" applyFont="1" applyFill="1" applyBorder="1" applyAlignment="1">
      <alignment horizontal="left" vertical="center" wrapText="1"/>
    </xf>
    <xf numFmtId="49" fontId="65" fillId="18" borderId="29" xfId="0" applyNumberFormat="1" applyFont="1" applyFill="1" applyBorder="1" applyAlignment="1">
      <alignment horizontal="center" vertical="center"/>
    </xf>
    <xf numFmtId="3" fontId="65" fillId="18" borderId="33" xfId="0" applyNumberFormat="1" applyFont="1" applyFill="1" applyBorder="1" applyAlignment="1">
      <alignment horizontal="left" vertical="center" wrapText="1"/>
    </xf>
    <xf numFmtId="49" fontId="65" fillId="18" borderId="33" xfId="0" applyNumberFormat="1" applyFont="1" applyFill="1" applyBorder="1" applyAlignment="1">
      <alignment horizontal="center" vertical="center"/>
    </xf>
    <xf numFmtId="164" fontId="65" fillId="18" borderId="125" xfId="0" applyNumberFormat="1" applyFont="1" applyFill="1" applyBorder="1" applyAlignment="1">
      <alignment horizontal="left" vertical="center" wrapText="1"/>
    </xf>
    <xf numFmtId="49" fontId="65" fillId="18" borderId="4" xfId="0" applyNumberFormat="1" applyFont="1" applyFill="1" applyBorder="1" applyAlignment="1">
      <alignment horizontal="center" vertical="center"/>
    </xf>
    <xf numFmtId="3" fontId="65" fillId="18" borderId="13" xfId="0" applyNumberFormat="1" applyFont="1" applyFill="1" applyBorder="1" applyAlignment="1">
      <alignment horizontal="left" vertical="center" wrapText="1"/>
    </xf>
    <xf numFmtId="49" fontId="65" fillId="18" borderId="2" xfId="0" applyNumberFormat="1" applyFont="1" applyFill="1" applyBorder="1" applyAlignment="1">
      <alignment horizontal="center" vertical="center"/>
    </xf>
    <xf numFmtId="164" fontId="65" fillId="18" borderId="17" xfId="0" applyNumberFormat="1" applyFont="1" applyFill="1" applyBorder="1" applyAlignment="1">
      <alignment horizontal="left" vertical="center" wrapText="1"/>
    </xf>
    <xf numFmtId="0" fontId="65" fillId="18" borderId="36" xfId="0" applyFont="1" applyFill="1" applyBorder="1" applyAlignment="1">
      <alignment horizontal="left" vertical="center" wrapText="1"/>
    </xf>
    <xf numFmtId="49" fontId="65" fillId="18" borderId="27" xfId="0" applyNumberFormat="1" applyFont="1" applyFill="1" applyBorder="1" applyAlignment="1">
      <alignment horizontal="center" vertical="center"/>
    </xf>
    <xf numFmtId="3" fontId="65" fillId="18" borderId="37" xfId="0" applyNumberFormat="1" applyFont="1" applyFill="1" applyBorder="1" applyAlignment="1">
      <alignment horizontal="left" vertical="center" wrapText="1"/>
    </xf>
    <xf numFmtId="0" fontId="65" fillId="18" borderId="13" xfId="0" applyFont="1" applyFill="1" applyBorder="1" applyAlignment="1">
      <alignment horizontal="left" vertical="center" wrapText="1"/>
    </xf>
    <xf numFmtId="49" fontId="65" fillId="18" borderId="14" xfId="0" applyNumberFormat="1" applyFont="1" applyFill="1" applyBorder="1" applyAlignment="1">
      <alignment horizontal="center" vertical="center"/>
    </xf>
    <xf numFmtId="0" fontId="65" fillId="18" borderId="37" xfId="0" applyFont="1" applyFill="1" applyBorder="1" applyAlignment="1">
      <alignment horizontal="left" vertical="center" wrapText="1"/>
    </xf>
    <xf numFmtId="164" fontId="65" fillId="18" borderId="13" xfId="0" applyNumberFormat="1" applyFont="1" applyFill="1" applyBorder="1" applyAlignment="1">
      <alignment horizontal="left" vertical="center" wrapText="1"/>
    </xf>
    <xf numFmtId="0" fontId="65" fillId="18" borderId="127" xfId="0" applyFont="1" applyFill="1" applyBorder="1" applyAlignment="1">
      <alignment horizontal="left" vertical="center" wrapText="1"/>
    </xf>
    <xf numFmtId="3" fontId="65" fillId="18" borderId="127" xfId="0" applyNumberFormat="1" applyFont="1" applyFill="1" applyBorder="1" applyAlignment="1">
      <alignment horizontal="left" vertical="center" wrapText="1"/>
    </xf>
    <xf numFmtId="38" fontId="56" fillId="25" borderId="19" xfId="0" applyNumberFormat="1" applyFont="1" applyFill="1" applyBorder="1" applyAlignment="1">
      <alignment horizontal="right"/>
    </xf>
    <xf numFmtId="38" fontId="56" fillId="25" borderId="20" xfId="0" applyNumberFormat="1" applyFont="1" applyFill="1" applyBorder="1" applyAlignment="1">
      <alignment horizontal="right"/>
    </xf>
    <xf numFmtId="38" fontId="56" fillId="25" borderId="11" xfId="0" applyNumberFormat="1" applyFont="1" applyFill="1" applyBorder="1" applyAlignment="1">
      <alignment horizontal="right"/>
    </xf>
    <xf numFmtId="0" fontId="65" fillId="18" borderId="50" xfId="0" applyFont="1" applyFill="1" applyBorder="1" applyAlignment="1" applyProtection="1">
      <alignment horizontal="left" vertical="center"/>
    </xf>
    <xf numFmtId="0" fontId="65" fillId="18" borderId="22" xfId="0" applyFont="1" applyFill="1" applyBorder="1" applyAlignment="1" applyProtection="1">
      <alignment horizontal="center" vertical="center"/>
    </xf>
    <xf numFmtId="0" fontId="65" fillId="18" borderId="46" xfId="0" applyFont="1" applyFill="1" applyBorder="1" applyAlignment="1" applyProtection="1">
      <alignment horizontal="left" vertical="center"/>
    </xf>
    <xf numFmtId="0" fontId="65" fillId="18" borderId="46" xfId="0" applyFont="1" applyFill="1" applyBorder="1" applyAlignment="1" applyProtection="1">
      <alignment horizontal="left" vertical="center" wrapText="1"/>
    </xf>
    <xf numFmtId="0" fontId="65" fillId="18" borderId="46" xfId="0" applyFont="1" applyFill="1" applyBorder="1" applyAlignment="1" applyProtection="1">
      <alignment horizontal="left" vertical="center" indent="1"/>
    </xf>
    <xf numFmtId="0" fontId="66" fillId="24" borderId="13" xfId="0" applyFont="1" applyFill="1" applyBorder="1" applyAlignment="1">
      <alignment horizontal="left" vertical="center"/>
    </xf>
    <xf numFmtId="0" fontId="66" fillId="24" borderId="21" xfId="0" applyFont="1" applyFill="1" applyBorder="1" applyAlignment="1">
      <alignment horizontal="left" vertical="center"/>
    </xf>
    <xf numFmtId="0" fontId="66" fillId="24" borderId="14" xfId="0" applyFont="1" applyFill="1" applyBorder="1" applyAlignment="1">
      <alignment horizontal="left" vertical="center"/>
    </xf>
    <xf numFmtId="0" fontId="55" fillId="16" borderId="12" xfId="0" applyFont="1" applyFill="1" applyBorder="1" applyAlignment="1" applyProtection="1">
      <alignment vertical="center"/>
    </xf>
    <xf numFmtId="0" fontId="65" fillId="0" borderId="159" xfId="0" applyFont="1" applyBorder="1" applyAlignment="1">
      <alignment horizontal="centerContinuous" vertical="center"/>
    </xf>
    <xf numFmtId="0" fontId="56" fillId="0" borderId="160" xfId="0" applyFont="1" applyBorder="1" applyAlignment="1">
      <alignment horizontal="centerContinuous" vertical="center"/>
    </xf>
    <xf numFmtId="0" fontId="58" fillId="0" borderId="160" xfId="0" applyFont="1" applyBorder="1" applyAlignment="1">
      <alignment horizontal="centerContinuous" vertical="center"/>
    </xf>
    <xf numFmtId="0" fontId="65" fillId="0" borderId="105" xfId="0" applyFont="1" applyBorder="1" applyAlignment="1">
      <alignment horizontal="center"/>
    </xf>
    <xf numFmtId="0" fontId="58" fillId="24" borderId="16" xfId="3" applyFont="1" applyFill="1" applyBorder="1" applyAlignment="1">
      <alignment horizontal="left" vertical="center"/>
    </xf>
    <xf numFmtId="0" fontId="58" fillId="24" borderId="10" xfId="3" applyFont="1" applyFill="1" applyBorder="1" applyAlignment="1">
      <alignment horizontal="left" vertical="center"/>
    </xf>
    <xf numFmtId="0" fontId="58" fillId="24" borderId="19" xfId="3" applyNumberFormat="1" applyFont="1" applyFill="1" applyBorder="1" applyAlignment="1">
      <alignment vertical="center"/>
    </xf>
    <xf numFmtId="0" fontId="58" fillId="24" borderId="20" xfId="3" applyNumberFormat="1" applyFont="1" applyFill="1" applyBorder="1" applyAlignment="1">
      <alignment vertical="center"/>
    </xf>
    <xf numFmtId="0" fontId="58" fillId="24" borderId="11" xfId="3" applyNumberFormat="1" applyFont="1" applyFill="1" applyBorder="1" applyAlignment="1">
      <alignment vertical="center"/>
    </xf>
    <xf numFmtId="0" fontId="7" fillId="0" borderId="0" xfId="17" quotePrefix="1" applyNumberFormat="1" applyFont="1"/>
    <xf numFmtId="0" fontId="128" fillId="21" borderId="157" xfId="17" applyFont="1" applyFill="1" applyBorder="1" applyAlignment="1" applyProtection="1">
      <alignment horizontal="left" vertical="top" wrapText="1"/>
    </xf>
    <xf numFmtId="49" fontId="128" fillId="21" borderId="157" xfId="17" applyNumberFormat="1" applyFont="1" applyFill="1" applyBorder="1" applyAlignment="1" applyProtection="1">
      <alignment horizontal="center" vertical="top"/>
    </xf>
    <xf numFmtId="0" fontId="128" fillId="21" borderId="157" xfId="17" applyFont="1" applyFill="1" applyBorder="1" applyAlignment="1" applyProtection="1">
      <alignment vertical="top"/>
    </xf>
    <xf numFmtId="38" fontId="128" fillId="21" borderId="157" xfId="17" applyNumberFormat="1" applyFont="1" applyFill="1" applyBorder="1" applyAlignment="1" applyProtection="1">
      <alignment horizontal="right" vertical="top"/>
    </xf>
    <xf numFmtId="38" fontId="128" fillId="21" borderId="157" xfId="17" applyNumberFormat="1" applyFont="1" applyFill="1" applyBorder="1" applyAlignment="1" applyProtection="1">
      <alignment vertical="top"/>
    </xf>
    <xf numFmtId="0" fontId="8" fillId="0" borderId="157" xfId="17" applyBorder="1" applyAlignment="1" applyProtection="1">
      <alignment horizontal="left" vertical="top" wrapText="1"/>
      <protection locked="0"/>
    </xf>
    <xf numFmtId="0" fontId="8" fillId="0" borderId="157" xfId="17" applyBorder="1" applyAlignment="1" applyProtection="1">
      <alignment vertical="top"/>
      <protection locked="0"/>
    </xf>
    <xf numFmtId="0" fontId="7" fillId="0" borderId="157" xfId="17" applyFont="1" applyBorder="1" applyAlignment="1" applyProtection="1">
      <alignment horizontal="left" vertical="top" wrapText="1"/>
      <protection locked="0"/>
    </xf>
    <xf numFmtId="0" fontId="7" fillId="0" borderId="157" xfId="17" applyFont="1" applyBorder="1" applyAlignment="1" applyProtection="1">
      <alignment vertical="top"/>
      <protection locked="0"/>
    </xf>
    <xf numFmtId="0" fontId="8" fillId="0" borderId="0" xfId="17" applyAlignment="1">
      <alignment horizontal="center" vertical="center" wrapText="1"/>
    </xf>
    <xf numFmtId="0" fontId="6" fillId="0" borderId="0" xfId="17" applyFont="1" applyAlignment="1">
      <alignment horizontal="left" vertical="center" wrapText="1"/>
    </xf>
    <xf numFmtId="0" fontId="6" fillId="0" borderId="0" xfId="17" applyFont="1" applyAlignment="1">
      <alignment vertical="center"/>
    </xf>
    <xf numFmtId="0" fontId="8" fillId="0" borderId="0" xfId="17" applyAlignment="1">
      <alignment vertical="center"/>
    </xf>
    <xf numFmtId="0" fontId="128" fillId="0" borderId="98" xfId="17" applyFont="1" applyBorder="1" applyAlignment="1">
      <alignment horizontal="left" vertical="top"/>
    </xf>
    <xf numFmtId="0" fontId="128" fillId="0" borderId="78" xfId="17" applyFont="1" applyBorder="1" applyAlignment="1">
      <alignment horizontal="left" vertical="top"/>
    </xf>
    <xf numFmtId="0" fontId="128" fillId="0" borderId="99" xfId="17" applyFont="1" applyBorder="1" applyAlignment="1">
      <alignment horizontal="left" vertical="top"/>
    </xf>
    <xf numFmtId="0" fontId="34" fillId="0" borderId="0" xfId="2" applyNumberFormat="1" applyAlignment="1" applyProtection="1">
      <alignment vertical="center"/>
    </xf>
    <xf numFmtId="0" fontId="65" fillId="0" borderId="5" xfId="3" applyFont="1" applyFill="1" applyBorder="1" applyAlignment="1" applyProtection="1"/>
    <xf numFmtId="49" fontId="8" fillId="0" borderId="157" xfId="17" applyNumberFormat="1" applyBorder="1" applyAlignment="1" applyProtection="1">
      <alignment horizontal="center" vertical="center"/>
      <protection locked="0"/>
    </xf>
    <xf numFmtId="49" fontId="6" fillId="0" borderId="157" xfId="17" applyNumberFormat="1" applyFont="1" applyBorder="1" applyAlignment="1" applyProtection="1">
      <alignment horizontal="center" vertical="center"/>
      <protection locked="0"/>
    </xf>
    <xf numFmtId="3" fontId="65" fillId="17" borderId="36" xfId="0" applyNumberFormat="1" applyFont="1" applyFill="1" applyBorder="1" applyAlignment="1">
      <alignment horizontal="left" vertical="center" wrapText="1" indent="1"/>
    </xf>
    <xf numFmtId="49" fontId="65" fillId="17" borderId="27" xfId="0" applyNumberFormat="1" applyFont="1" applyFill="1" applyBorder="1" applyAlignment="1">
      <alignment horizontal="center" vertical="center"/>
    </xf>
    <xf numFmtId="38" fontId="56" fillId="17" borderId="27" xfId="0" applyNumberFormat="1" applyFont="1" applyFill="1" applyBorder="1" applyAlignment="1">
      <alignment horizontal="right"/>
    </xf>
    <xf numFmtId="38" fontId="56" fillId="17" borderId="2" xfId="0" applyNumberFormat="1" applyFont="1" applyFill="1" applyBorder="1" applyAlignment="1">
      <alignment horizontal="right"/>
    </xf>
    <xf numFmtId="38" fontId="56" fillId="17" borderId="4" xfId="0" applyNumberFormat="1" applyFont="1" applyFill="1" applyBorder="1" applyAlignment="1">
      <alignment horizontal="right"/>
    </xf>
    <xf numFmtId="49" fontId="65" fillId="17" borderId="36" xfId="0" applyNumberFormat="1" applyFont="1" applyFill="1" applyBorder="1" applyAlignment="1">
      <alignment horizontal="center" vertical="center"/>
    </xf>
    <xf numFmtId="38" fontId="56" fillId="17" borderId="30" xfId="0" applyNumberFormat="1" applyFont="1" applyFill="1" applyBorder="1" applyAlignment="1">
      <alignment horizontal="right"/>
    </xf>
    <xf numFmtId="49" fontId="65" fillId="17" borderId="30" xfId="0" applyNumberFormat="1" applyFont="1" applyFill="1" applyBorder="1" applyAlignment="1">
      <alignment horizontal="center" vertical="center"/>
    </xf>
    <xf numFmtId="0" fontId="65" fillId="17" borderId="32" xfId="0" applyNumberFormat="1" applyFont="1" applyFill="1" applyBorder="1" applyAlignment="1">
      <alignment horizontal="center" vertical="center"/>
    </xf>
    <xf numFmtId="38" fontId="56" fillId="17" borderId="32" xfId="0" applyNumberFormat="1" applyFont="1" applyFill="1" applyBorder="1" applyAlignment="1">
      <alignment horizontal="right"/>
    </xf>
    <xf numFmtId="0" fontId="65" fillId="17" borderId="27" xfId="0" applyFont="1" applyFill="1" applyBorder="1" applyAlignment="1">
      <alignment horizontal="center" vertical="center"/>
    </xf>
    <xf numFmtId="38" fontId="56" fillId="17" borderId="33" xfId="0" applyNumberFormat="1" applyFont="1" applyFill="1" applyBorder="1" applyAlignment="1">
      <alignment horizontal="right"/>
    </xf>
    <xf numFmtId="3" fontId="65" fillId="17" borderId="27" xfId="0" applyNumberFormat="1" applyFont="1" applyFill="1" applyBorder="1" applyAlignment="1">
      <alignment horizontal="left" vertical="center" indent="1"/>
    </xf>
    <xf numFmtId="0" fontId="65" fillId="17" borderId="27" xfId="0" applyFont="1" applyFill="1" applyBorder="1" applyAlignment="1">
      <alignment horizontal="center" vertical="top"/>
    </xf>
    <xf numFmtId="0" fontId="58" fillId="17" borderId="30" xfId="0" applyFont="1" applyFill="1" applyBorder="1" applyAlignment="1">
      <alignment horizontal="left" vertical="center" indent="1"/>
    </xf>
    <xf numFmtId="38" fontId="56" fillId="17" borderId="26" xfId="0" applyNumberFormat="1" applyFont="1" applyFill="1" applyBorder="1" applyAlignment="1">
      <alignment horizontal="right"/>
    </xf>
    <xf numFmtId="38" fontId="56" fillId="17" borderId="28" xfId="0" applyNumberFormat="1" applyFont="1" applyFill="1" applyBorder="1" applyAlignment="1">
      <alignment horizontal="right"/>
    </xf>
    <xf numFmtId="38" fontId="56" fillId="17" borderId="29" xfId="0" applyNumberFormat="1" applyFont="1" applyFill="1" applyBorder="1" applyAlignment="1">
      <alignment horizontal="right"/>
    </xf>
    <xf numFmtId="3" fontId="65" fillId="17" borderId="55" xfId="0" applyNumberFormat="1" applyFont="1" applyFill="1" applyBorder="1" applyAlignment="1">
      <alignment horizontal="left" vertical="center" wrapText="1" indent="1"/>
    </xf>
    <xf numFmtId="49" fontId="65" fillId="17" borderId="32" xfId="0" applyNumberFormat="1" applyFont="1" applyFill="1" applyBorder="1" applyAlignment="1">
      <alignment horizontal="center" vertical="center"/>
    </xf>
    <xf numFmtId="38" fontId="56" fillId="17" borderId="27" xfId="0" applyNumberFormat="1" applyFont="1" applyFill="1" applyBorder="1" applyAlignment="1" applyProtection="1">
      <alignment horizontal="right"/>
    </xf>
    <xf numFmtId="3" fontId="65" fillId="17" borderId="55" xfId="0" applyNumberFormat="1" applyFont="1" applyFill="1" applyBorder="1" applyAlignment="1">
      <alignment horizontal="left" vertical="top" wrapText="1" indent="1"/>
    </xf>
    <xf numFmtId="49" fontId="63" fillId="17" borderId="51" xfId="0" applyNumberFormat="1" applyFont="1" applyFill="1" applyBorder="1" applyAlignment="1">
      <alignment horizontal="center" vertical="top"/>
    </xf>
    <xf numFmtId="3" fontId="65" fillId="17" borderId="27" xfId="0" applyNumberFormat="1" applyFont="1" applyFill="1" applyBorder="1" applyAlignment="1">
      <alignment horizontal="left" vertical="center" wrapText="1" indent="1"/>
    </xf>
    <xf numFmtId="3" fontId="65" fillId="17" borderId="36" xfId="0" applyNumberFormat="1" applyFont="1" applyFill="1" applyBorder="1" applyAlignment="1">
      <alignment horizontal="left" vertical="top" wrapText="1" indent="1"/>
    </xf>
    <xf numFmtId="0" fontId="63" fillId="17" borderId="30" xfId="0" applyFont="1" applyFill="1" applyBorder="1" applyAlignment="1">
      <alignment vertical="top"/>
    </xf>
    <xf numFmtId="3" fontId="65" fillId="17" borderId="36" xfId="0" applyNumberFormat="1" applyFont="1" applyFill="1" applyBorder="1" applyAlignment="1">
      <alignment horizontal="left" vertical="center" indent="1"/>
    </xf>
    <xf numFmtId="0" fontId="65" fillId="17" borderId="30" xfId="0" applyFont="1" applyFill="1" applyBorder="1" applyAlignment="1">
      <alignment horizontal="center" vertical="center"/>
    </xf>
    <xf numFmtId="0" fontId="65" fillId="17" borderId="27" xfId="0" applyFont="1" applyFill="1" applyBorder="1" applyAlignment="1">
      <alignment horizontal="center" vertical="center" wrapText="1"/>
    </xf>
    <xf numFmtId="49" fontId="65" fillId="17" borderId="27" xfId="0" applyNumberFormat="1" applyFont="1" applyFill="1" applyBorder="1" applyAlignment="1">
      <alignment horizontal="center" vertical="top" wrapText="1"/>
    </xf>
    <xf numFmtId="3" fontId="65" fillId="17" borderId="36" xfId="0" applyNumberFormat="1" applyFont="1" applyFill="1" applyBorder="1" applyAlignment="1">
      <alignment horizontal="left" vertical="top" indent="1"/>
    </xf>
    <xf numFmtId="38" fontId="56" fillId="17" borderId="3" xfId="0" applyNumberFormat="1" applyFont="1" applyFill="1" applyBorder="1" applyAlignment="1">
      <alignment horizontal="right"/>
    </xf>
    <xf numFmtId="0" fontId="65" fillId="17" borderId="36" xfId="0" applyFont="1" applyFill="1" applyBorder="1" applyAlignment="1">
      <alignment horizontal="left" vertical="center" wrapText="1" indent="1"/>
    </xf>
    <xf numFmtId="49" fontId="63" fillId="17" borderId="51" xfId="0" applyNumberFormat="1" applyFont="1" applyFill="1" applyBorder="1" applyAlignment="1">
      <alignment horizontal="center" vertical="center"/>
    </xf>
    <xf numFmtId="38" fontId="56" fillId="17" borderId="33" xfId="0" applyNumberFormat="1" applyFont="1" applyFill="1" applyBorder="1" applyAlignment="1" applyProtection="1">
      <alignment horizontal="right"/>
    </xf>
    <xf numFmtId="38" fontId="56" fillId="17" borderId="32" xfId="0" applyNumberFormat="1" applyFont="1" applyFill="1" applyBorder="1" applyAlignment="1" applyProtection="1">
      <alignment horizontal="right"/>
    </xf>
    <xf numFmtId="0" fontId="63" fillId="17" borderId="30" xfId="0" applyFont="1" applyFill="1" applyBorder="1" applyAlignment="1">
      <alignment horizontal="left" vertical="top" wrapText="1" indent="1"/>
    </xf>
    <xf numFmtId="0" fontId="65" fillId="17" borderId="35" xfId="0" applyFont="1" applyFill="1" applyBorder="1" applyAlignment="1" applyProtection="1">
      <alignment horizontal="left" vertical="center" wrapText="1" indent="1"/>
    </xf>
    <xf numFmtId="0" fontId="63" fillId="17" borderId="30" xfId="0" applyFont="1" applyFill="1" applyBorder="1" applyAlignment="1" applyProtection="1">
      <alignment horizontal="left" vertical="center"/>
    </xf>
    <xf numFmtId="38" fontId="56" fillId="17" borderId="36" xfId="0" applyNumberFormat="1" applyFont="1" applyFill="1" applyBorder="1" applyAlignment="1" applyProtection="1">
      <alignment horizontal="right"/>
    </xf>
    <xf numFmtId="0" fontId="65" fillId="17" borderId="35" xfId="0" applyFont="1" applyFill="1" applyBorder="1" applyAlignment="1" applyProtection="1">
      <alignment horizontal="left" vertical="center" indent="1"/>
    </xf>
    <xf numFmtId="0" fontId="63" fillId="17" borderId="30" xfId="0" applyFont="1" applyFill="1" applyBorder="1" applyAlignment="1" applyProtection="1">
      <alignment horizontal="center" vertical="center"/>
    </xf>
    <xf numFmtId="37" fontId="56" fillId="17" borderId="36" xfId="0" applyNumberFormat="1" applyFont="1" applyFill="1" applyBorder="1" applyAlignment="1" applyProtection="1">
      <alignment horizontal="right"/>
    </xf>
    <xf numFmtId="37" fontId="56" fillId="17" borderId="27" xfId="0" applyNumberFormat="1" applyFont="1" applyFill="1" applyBorder="1" applyAlignment="1" applyProtection="1">
      <alignment horizontal="right"/>
    </xf>
    <xf numFmtId="0" fontId="63" fillId="17" borderId="30" xfId="0" applyFont="1" applyFill="1" applyBorder="1" applyAlignment="1" applyProtection="1">
      <alignment horizontal="left" vertical="center" indent="2"/>
    </xf>
    <xf numFmtId="0" fontId="65" fillId="17" borderId="52" xfId="0" applyFont="1" applyFill="1" applyBorder="1" applyAlignment="1" applyProtection="1">
      <alignment horizontal="left" vertical="top" wrapText="1" indent="1"/>
    </xf>
    <xf numFmtId="49" fontId="65" fillId="17" borderId="33" xfId="0" applyNumberFormat="1" applyFont="1" applyFill="1" applyBorder="1" applyAlignment="1">
      <alignment horizontal="center" vertical="center"/>
    </xf>
    <xf numFmtId="38" fontId="56" fillId="17" borderId="37" xfId="0" applyNumberFormat="1" applyFont="1" applyFill="1" applyBorder="1" applyAlignment="1" applyProtection="1">
      <alignment horizontal="right"/>
    </xf>
    <xf numFmtId="49" fontId="65" fillId="17" borderId="35" xfId="0" applyNumberFormat="1" applyFont="1" applyFill="1" applyBorder="1" applyAlignment="1" applyProtection="1">
      <alignment horizontal="left" vertical="top" indent="1"/>
    </xf>
    <xf numFmtId="49" fontId="65" fillId="17" borderId="27" xfId="0" applyNumberFormat="1" applyFont="1" applyFill="1" applyBorder="1" applyAlignment="1">
      <alignment horizontal="center" vertical="top"/>
    </xf>
    <xf numFmtId="38" fontId="56" fillId="17" borderId="12" xfId="0" applyNumberFormat="1" applyFont="1" applyFill="1" applyBorder="1" applyAlignment="1" applyProtection="1">
      <alignment horizontal="right"/>
    </xf>
    <xf numFmtId="49" fontId="63" fillId="17" borderId="30" xfId="0" applyNumberFormat="1" applyFont="1" applyFill="1" applyBorder="1" applyAlignment="1" applyProtection="1">
      <alignment horizontal="center" vertical="center"/>
    </xf>
    <xf numFmtId="1" fontId="63" fillId="17" borderId="30" xfId="0" applyNumberFormat="1" applyFont="1" applyFill="1" applyBorder="1" applyAlignment="1" applyProtection="1">
      <alignment horizontal="center" vertical="center"/>
    </xf>
    <xf numFmtId="38" fontId="56" fillId="17" borderId="3" xfId="0" applyNumberFormat="1" applyFont="1" applyFill="1" applyBorder="1" applyAlignment="1" applyProtection="1">
      <alignment horizontal="right"/>
    </xf>
    <xf numFmtId="38" fontId="56" fillId="17" borderId="55" xfId="0" applyNumberFormat="1" applyFont="1" applyFill="1" applyBorder="1" applyAlignment="1" applyProtection="1">
      <alignment horizontal="right"/>
    </xf>
    <xf numFmtId="0" fontId="65" fillId="17" borderId="35" xfId="0" applyFont="1" applyFill="1" applyBorder="1" applyAlignment="1" applyProtection="1">
      <alignment horizontal="left" indent="1"/>
    </xf>
    <xf numFmtId="0" fontId="63" fillId="17" borderId="30" xfId="0" applyFont="1" applyFill="1" applyBorder="1" applyAlignment="1" applyProtection="1">
      <alignment horizontal="center"/>
    </xf>
    <xf numFmtId="0" fontId="65" fillId="17" borderId="36" xfId="0" applyFont="1" applyFill="1" applyBorder="1" applyAlignment="1" applyProtection="1">
      <alignment horizontal="left" vertical="center" indent="1"/>
    </xf>
    <xf numFmtId="0" fontId="63" fillId="17" borderId="27" xfId="0" applyFont="1" applyFill="1" applyBorder="1" applyAlignment="1" applyProtection="1">
      <alignment horizontal="center" vertical="center"/>
    </xf>
    <xf numFmtId="0" fontId="65" fillId="17" borderId="30" xfId="0" applyFont="1" applyFill="1" applyBorder="1" applyAlignment="1">
      <alignment vertical="center"/>
    </xf>
    <xf numFmtId="49" fontId="65" fillId="17" borderId="33" xfId="0" applyNumberFormat="1" applyFont="1" applyFill="1" applyBorder="1" applyAlignment="1" applyProtection="1">
      <alignment horizontal="left" vertical="center" wrapText="1" indent="1"/>
    </xf>
    <xf numFmtId="49" fontId="65" fillId="17" borderId="53" xfId="0" applyNumberFormat="1" applyFont="1" applyFill="1" applyBorder="1" applyAlignment="1">
      <alignment horizontal="center" vertical="center"/>
    </xf>
    <xf numFmtId="0" fontId="65" fillId="17" borderId="52" xfId="0" applyFont="1" applyFill="1" applyBorder="1" applyAlignment="1" applyProtection="1">
      <alignment horizontal="left" wrapText="1" indent="1"/>
    </xf>
    <xf numFmtId="0" fontId="63" fillId="17" borderId="53" xfId="0" applyFont="1" applyFill="1" applyBorder="1" applyAlignment="1" applyProtection="1">
      <alignment horizontal="left" indent="2"/>
    </xf>
    <xf numFmtId="176" fontId="58" fillId="17" borderId="2" xfId="0" applyNumberFormat="1" applyFont="1" applyFill="1" applyBorder="1" applyAlignment="1" applyProtection="1">
      <alignment vertical="center"/>
    </xf>
    <xf numFmtId="38" fontId="58" fillId="17" borderId="2" xfId="0" applyNumberFormat="1" applyFont="1" applyFill="1" applyBorder="1" applyAlignment="1" applyProtection="1">
      <alignment horizontal="right" vertical="center"/>
    </xf>
    <xf numFmtId="38" fontId="58" fillId="17" borderId="2" xfId="0" applyNumberFormat="1" applyFont="1" applyFill="1" applyBorder="1" applyAlignment="1" applyProtection="1">
      <alignment vertical="center"/>
    </xf>
    <xf numFmtId="37" fontId="58" fillId="17" borderId="13" xfId="5" applyNumberFormat="1" applyFont="1" applyFill="1" applyBorder="1" applyAlignment="1" applyProtection="1">
      <alignment horizontal="right"/>
    </xf>
    <xf numFmtId="0" fontId="65" fillId="17" borderId="35" xfId="0" applyFont="1" applyFill="1" applyBorder="1" applyAlignment="1" applyProtection="1">
      <alignment horizontal="left" vertical="center" indent="2"/>
    </xf>
    <xf numFmtId="38" fontId="56" fillId="17" borderId="30" xfId="0" applyNumberFormat="1" applyFont="1" applyFill="1" applyBorder="1" applyAlignment="1" applyProtection="1">
      <alignment horizontal="right"/>
    </xf>
    <xf numFmtId="0" fontId="65" fillId="17" borderId="20" xfId="0" applyFont="1" applyFill="1" applyBorder="1" applyAlignment="1" applyProtection="1">
      <alignment horizontal="left" vertical="center" indent="2"/>
    </xf>
    <xf numFmtId="0" fontId="65" fillId="17" borderId="14" xfId="0" applyFont="1" applyFill="1" applyBorder="1" applyAlignment="1" applyProtection="1">
      <alignment horizontal="center" vertical="center"/>
    </xf>
    <xf numFmtId="38" fontId="56" fillId="17" borderId="26" xfId="0" applyNumberFormat="1" applyFont="1" applyFill="1" applyBorder="1" applyAlignment="1" applyProtection="1">
      <alignment horizontal="right"/>
    </xf>
    <xf numFmtId="0" fontId="65" fillId="17" borderId="30" xfId="0" applyFont="1" applyFill="1" applyBorder="1" applyAlignment="1" applyProtection="1">
      <alignment horizontal="center" vertical="center"/>
    </xf>
    <xf numFmtId="38" fontId="56" fillId="17" borderId="4" xfId="0" applyNumberFormat="1" applyFont="1" applyFill="1" applyBorder="1" applyAlignment="1" applyProtection="1">
      <alignment horizontal="right"/>
    </xf>
    <xf numFmtId="38" fontId="56" fillId="17" borderId="2" xfId="0" applyNumberFormat="1" applyFont="1" applyFill="1" applyBorder="1" applyAlignment="1" applyProtection="1">
      <alignment horizontal="right"/>
    </xf>
    <xf numFmtId="0" fontId="74" fillId="17" borderId="20" xfId="0" applyFont="1" applyFill="1" applyBorder="1" applyAlignment="1" applyProtection="1">
      <alignment horizontal="left" vertical="center" indent="1"/>
    </xf>
    <xf numFmtId="0" fontId="63" fillId="17" borderId="4" xfId="0" applyFont="1" applyFill="1" applyBorder="1" applyAlignment="1" applyProtection="1">
      <alignment horizontal="center"/>
    </xf>
    <xf numFmtId="38" fontId="56" fillId="17" borderId="28" xfId="0" applyNumberFormat="1" applyFont="1" applyFill="1" applyBorder="1" applyAlignment="1" applyProtection="1">
      <alignment horizontal="right"/>
    </xf>
    <xf numFmtId="38" fontId="56" fillId="17" borderId="18" xfId="0" applyNumberFormat="1" applyFont="1" applyFill="1" applyBorder="1" applyAlignment="1" applyProtection="1">
      <alignment horizontal="right"/>
    </xf>
    <xf numFmtId="38" fontId="56" fillId="17" borderId="0" xfId="0" applyNumberFormat="1" applyFont="1" applyFill="1" applyAlignment="1" applyProtection="1">
      <alignment horizontal="right"/>
    </xf>
    <xf numFmtId="38" fontId="56" fillId="17" borderId="127" xfId="0" applyNumberFormat="1" applyFont="1" applyFill="1" applyBorder="1" applyAlignment="1" applyProtection="1">
      <alignment horizontal="right" vertical="center"/>
      <protection locked="0"/>
    </xf>
    <xf numFmtId="38" fontId="56" fillId="17" borderId="2" xfId="0" applyNumberFormat="1" applyFont="1" applyFill="1" applyBorder="1" applyAlignment="1" applyProtection="1">
      <alignment horizontal="right" vertical="center"/>
      <protection locked="0"/>
    </xf>
    <xf numFmtId="38" fontId="56" fillId="17" borderId="27" xfId="0" applyNumberFormat="1" applyFont="1" applyFill="1" applyBorder="1" applyAlignment="1" applyProtection="1">
      <alignment horizontal="right" vertical="center"/>
      <protection locked="0"/>
    </xf>
    <xf numFmtId="38" fontId="56" fillId="17" borderId="127"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horizontal="right" vertical="center"/>
    </xf>
    <xf numFmtId="0" fontId="65" fillId="17" borderId="27" xfId="0" applyFont="1" applyFill="1" applyBorder="1" applyAlignment="1">
      <alignment horizontal="left" vertical="center" wrapText="1" indent="1"/>
    </xf>
    <xf numFmtId="38" fontId="56" fillId="17" borderId="27" xfId="0" applyNumberFormat="1" applyFont="1" applyFill="1" applyBorder="1" applyAlignment="1" applyProtection="1">
      <alignment horizontal="right" vertical="center"/>
    </xf>
    <xf numFmtId="38" fontId="56" fillId="17" borderId="2" xfId="9" applyNumberFormat="1" applyFont="1" applyFill="1" applyBorder="1" applyAlignment="1" applyProtection="1">
      <alignment horizontal="right"/>
    </xf>
    <xf numFmtId="49" fontId="63" fillId="17" borderId="41" xfId="0" applyNumberFormat="1" applyFont="1" applyFill="1" applyBorder="1" applyAlignment="1" applyProtection="1">
      <alignment horizontal="center" vertical="center"/>
    </xf>
    <xf numFmtId="38" fontId="56" fillId="17" borderId="41" xfId="0" applyNumberFormat="1" applyFont="1" applyFill="1" applyBorder="1" applyAlignment="1" applyProtection="1">
      <alignment vertical="center"/>
    </xf>
    <xf numFmtId="49" fontId="63" fillId="17" borderId="7" xfId="0" applyNumberFormat="1" applyFont="1" applyFill="1" applyBorder="1" applyAlignment="1" applyProtection="1">
      <alignment horizontal="center" vertical="center"/>
    </xf>
    <xf numFmtId="38" fontId="56" fillId="17" borderId="41" xfId="0" applyNumberFormat="1" applyFont="1" applyFill="1" applyBorder="1" applyAlignment="1" applyProtection="1">
      <alignment horizontal="right" vertical="center"/>
    </xf>
    <xf numFmtId="49" fontId="63" fillId="17" borderId="7" xfId="0" applyNumberFormat="1" applyFont="1" applyFill="1" applyBorder="1" applyAlignment="1" applyProtection="1">
      <alignment horizontal="left" vertical="center" indent="2"/>
    </xf>
    <xf numFmtId="0" fontId="58" fillId="17" borderId="7" xfId="0" applyFont="1" applyFill="1" applyBorder="1" applyAlignment="1">
      <alignment horizontal="left" indent="2"/>
    </xf>
    <xf numFmtId="38" fontId="56" fillId="17" borderId="60" xfId="0" applyNumberFormat="1" applyFont="1" applyFill="1" applyBorder="1" applyAlignment="1" applyProtection="1"/>
    <xf numFmtId="38" fontId="56" fillId="17" borderId="41" xfId="0" applyNumberFormat="1" applyFont="1" applyFill="1" applyBorder="1" applyAlignment="1" applyProtection="1">
      <alignment horizontal="right"/>
    </xf>
    <xf numFmtId="0" fontId="65" fillId="17" borderId="54" xfId="0" applyFont="1" applyFill="1" applyBorder="1" applyAlignment="1" applyProtection="1">
      <alignment horizontal="left" vertical="center" indent="2"/>
    </xf>
    <xf numFmtId="0" fontId="65" fillId="17" borderId="41" xfId="0" applyFont="1" applyFill="1" applyBorder="1" applyAlignment="1" applyProtection="1">
      <alignment horizontal="center" vertical="center"/>
    </xf>
    <xf numFmtId="0" fontId="65" fillId="17" borderId="41" xfId="0" applyFont="1" applyFill="1" applyBorder="1" applyAlignment="1" applyProtection="1">
      <alignment horizontal="left" vertical="center" indent="1"/>
    </xf>
    <xf numFmtId="0" fontId="58" fillId="17" borderId="41" xfId="0" applyFont="1" applyFill="1" applyBorder="1" applyAlignment="1" applyProtection="1">
      <alignment vertical="center"/>
    </xf>
    <xf numFmtId="38" fontId="56" fillId="17" borderId="22" xfId="0" applyNumberFormat="1" applyFont="1" applyFill="1" applyBorder="1" applyAlignment="1" applyProtection="1">
      <alignment horizontal="right" vertical="center"/>
    </xf>
    <xf numFmtId="0" fontId="63" fillId="17" borderId="0" xfId="10" applyFont="1" applyFill="1" applyAlignment="1">
      <alignment vertical="center"/>
    </xf>
    <xf numFmtId="0" fontId="63" fillId="17" borderId="0" xfId="10" applyFont="1" applyFill="1" applyAlignment="1">
      <alignment horizontal="center" vertical="center"/>
    </xf>
    <xf numFmtId="0" fontId="63" fillId="17" borderId="0" xfId="10" applyFont="1" applyFill="1" applyAlignment="1">
      <alignment horizontal="right" vertical="center"/>
    </xf>
    <xf numFmtId="0" fontId="65" fillId="17" borderId="0" xfId="10" applyFont="1" applyFill="1" applyAlignment="1">
      <alignment horizontal="right" vertical="center" indent="3"/>
    </xf>
    <xf numFmtId="0" fontId="63" fillId="17" borderId="0" xfId="10" applyFont="1" applyFill="1" applyBorder="1" applyAlignment="1">
      <alignment horizontal="right" vertical="center"/>
    </xf>
    <xf numFmtId="3" fontId="65" fillId="17" borderId="57" xfId="10" applyNumberFormat="1" applyFont="1" applyFill="1" applyBorder="1" applyAlignment="1" applyProtection="1">
      <alignment vertical="center"/>
    </xf>
    <xf numFmtId="0" fontId="63" fillId="17" borderId="0" xfId="10" applyFont="1" applyFill="1" applyAlignment="1">
      <alignment horizontal="left" vertical="center"/>
    </xf>
    <xf numFmtId="0" fontId="65" fillId="17" borderId="0" xfId="10" applyFont="1" applyFill="1" applyAlignment="1">
      <alignment horizontal="right" vertical="center"/>
    </xf>
    <xf numFmtId="38" fontId="65" fillId="17" borderId="47" xfId="10" applyNumberFormat="1" applyFont="1" applyFill="1" applyBorder="1" applyAlignment="1">
      <alignment horizontal="right"/>
    </xf>
    <xf numFmtId="0" fontId="63" fillId="17" borderId="0" xfId="10" quotePrefix="1" applyFont="1" applyFill="1" applyAlignment="1">
      <alignment horizontal="left" vertical="center"/>
    </xf>
    <xf numFmtId="38" fontId="63" fillId="17" borderId="58" xfId="10" applyNumberFormat="1" applyFont="1" applyFill="1" applyBorder="1" applyAlignment="1" applyProtection="1">
      <alignment horizontal="right"/>
    </xf>
    <xf numFmtId="0" fontId="63" fillId="17" borderId="0" xfId="11" quotePrefix="1" applyFont="1" applyFill="1" applyAlignment="1">
      <alignment horizontal="left" vertical="center"/>
    </xf>
    <xf numFmtId="0" fontId="65" fillId="17" borderId="0" xfId="10" quotePrefix="1" applyFont="1" applyFill="1" applyAlignment="1">
      <alignment horizontal="left" vertical="center"/>
    </xf>
    <xf numFmtId="40" fontId="65" fillId="17" borderId="47" xfId="10" applyNumberFormat="1" applyFont="1" applyFill="1" applyBorder="1" applyAlignment="1" applyProtection="1">
      <alignment horizontal="right"/>
    </xf>
    <xf numFmtId="0" fontId="63" fillId="17" borderId="0" xfId="11" applyFont="1" applyFill="1" applyAlignment="1">
      <alignment horizontal="left" vertical="center"/>
    </xf>
    <xf numFmtId="0" fontId="63" fillId="17" borderId="0" xfId="11" applyFont="1" applyFill="1" applyAlignment="1">
      <alignment horizontal="right" vertical="center"/>
    </xf>
    <xf numFmtId="0" fontId="65" fillId="17" borderId="0" xfId="11" applyFont="1" applyFill="1" applyAlignment="1">
      <alignment horizontal="right" vertical="center"/>
    </xf>
    <xf numFmtId="0" fontId="63" fillId="17" borderId="0" xfId="11" applyFont="1" applyFill="1" applyBorder="1" applyAlignment="1">
      <alignment horizontal="right" vertical="center"/>
    </xf>
    <xf numFmtId="38" fontId="65" fillId="17" borderId="9" xfId="11" applyNumberFormat="1" applyFont="1" applyFill="1" applyBorder="1" applyAlignment="1" applyProtection="1">
      <alignment horizontal="right"/>
    </xf>
    <xf numFmtId="38" fontId="63" fillId="17" borderId="6" xfId="11" applyNumberFormat="1" applyFont="1" applyFill="1" applyBorder="1" applyAlignment="1" applyProtection="1">
      <alignment horizontal="right"/>
    </xf>
    <xf numFmtId="0" fontId="63" fillId="17" borderId="0" xfId="11" applyFont="1" applyFill="1" applyAlignment="1">
      <alignment vertical="center"/>
    </xf>
    <xf numFmtId="40" fontId="63" fillId="17" borderId="9" xfId="11" applyNumberFormat="1" applyFont="1" applyFill="1" applyBorder="1" applyAlignment="1" applyProtection="1">
      <alignment horizontal="right"/>
    </xf>
    <xf numFmtId="40" fontId="65" fillId="17" borderId="57" xfId="11" applyNumberFormat="1" applyFont="1" applyFill="1" applyBorder="1" applyAlignment="1" applyProtection="1">
      <alignment horizontal="right"/>
    </xf>
    <xf numFmtId="38" fontId="8" fillId="17" borderId="157" xfId="17" applyNumberFormat="1" applyFill="1" applyBorder="1" applyAlignment="1" applyProtection="1">
      <alignment horizontal="right" vertical="top"/>
    </xf>
    <xf numFmtId="38" fontId="8" fillId="17" borderId="157" xfId="17" applyNumberFormat="1" applyFill="1" applyBorder="1" applyAlignment="1" applyProtection="1">
      <alignment vertical="top"/>
    </xf>
    <xf numFmtId="38" fontId="8" fillId="17" borderId="158" xfId="17" applyNumberFormat="1" applyFill="1" applyBorder="1" applyAlignment="1" applyProtection="1">
      <alignment horizontal="right" vertical="top"/>
    </xf>
    <xf numFmtId="38" fontId="8" fillId="17" borderId="158" xfId="17" applyNumberFormat="1" applyFill="1" applyBorder="1" applyAlignment="1" applyProtection="1">
      <alignment vertical="top"/>
    </xf>
    <xf numFmtId="0" fontId="8" fillId="17" borderId="158" xfId="17" applyFill="1" applyBorder="1" applyAlignment="1" applyProtection="1">
      <alignment horizontal="left" vertical="top" wrapText="1"/>
    </xf>
    <xf numFmtId="49" fontId="8" fillId="17" borderId="158" xfId="17" applyNumberFormat="1" applyFill="1" applyBorder="1" applyAlignment="1" applyProtection="1">
      <alignment vertical="top"/>
    </xf>
    <xf numFmtId="0" fontId="8" fillId="17" borderId="158" xfId="17" applyFill="1" applyBorder="1" applyAlignment="1" applyProtection="1">
      <alignment vertical="top"/>
    </xf>
    <xf numFmtId="0" fontId="56" fillId="17" borderId="126" xfId="0" applyFont="1" applyFill="1" applyBorder="1"/>
    <xf numFmtId="37" fontId="56" fillId="17" borderId="126" xfId="0" applyNumberFormat="1" applyFont="1" applyFill="1" applyBorder="1"/>
    <xf numFmtId="37" fontId="56" fillId="17" borderId="128" xfId="0" applyNumberFormat="1" applyFont="1" applyFill="1" applyBorder="1"/>
    <xf numFmtId="0" fontId="56" fillId="17" borderId="14" xfId="0" applyFont="1" applyFill="1" applyBorder="1"/>
    <xf numFmtId="0" fontId="56" fillId="17" borderId="21" xfId="0" applyFont="1" applyFill="1" applyBorder="1"/>
    <xf numFmtId="37" fontId="56" fillId="17" borderId="14" xfId="0" applyNumberFormat="1" applyFont="1" applyFill="1" applyBorder="1"/>
    <xf numFmtId="37" fontId="56" fillId="17" borderId="21" xfId="0" applyNumberFormat="1" applyFont="1" applyFill="1" applyBorder="1"/>
    <xf numFmtId="38" fontId="56" fillId="17" borderId="14" xfId="0" applyNumberFormat="1" applyFont="1" applyFill="1" applyBorder="1"/>
    <xf numFmtId="0" fontId="63" fillId="17" borderId="0" xfId="0" applyFont="1" applyFill="1" applyBorder="1" applyAlignment="1">
      <alignment horizontal="right"/>
    </xf>
    <xf numFmtId="38" fontId="56" fillId="17" borderId="18" xfId="0" applyNumberFormat="1" applyFont="1" applyFill="1" applyBorder="1"/>
    <xf numFmtId="0" fontId="56" fillId="17" borderId="13" xfId="0" applyFont="1" applyFill="1" applyBorder="1" applyAlignment="1">
      <alignment horizontal="right"/>
    </xf>
    <xf numFmtId="10" fontId="55" fillId="17" borderId="14" xfId="0" applyNumberFormat="1" applyFont="1" applyFill="1" applyBorder="1" applyAlignment="1">
      <alignment horizontal="left" indent="2"/>
    </xf>
    <xf numFmtId="38" fontId="56" fillId="17" borderId="2" xfId="3" applyNumberFormat="1" applyFont="1" applyFill="1" applyBorder="1" applyAlignment="1">
      <alignment vertical="center"/>
    </xf>
    <xf numFmtId="38" fontId="56" fillId="17" borderId="2" xfId="3" applyNumberFormat="1" applyFont="1" applyFill="1" applyBorder="1" applyAlignment="1" applyProtection="1">
      <alignment vertical="center"/>
    </xf>
    <xf numFmtId="38" fontId="56" fillId="17" borderId="27" xfId="3" applyNumberFormat="1" applyFont="1" applyFill="1" applyBorder="1" applyAlignment="1">
      <alignment vertical="center"/>
    </xf>
    <xf numFmtId="9" fontId="56" fillId="17" borderId="4" xfId="3" applyNumberFormat="1" applyFont="1" applyFill="1" applyBorder="1" applyAlignment="1">
      <alignment horizontal="center" vertical="center"/>
    </xf>
    <xf numFmtId="38" fontId="56" fillId="17" borderId="22" xfId="3" applyNumberFormat="1" applyFont="1" applyFill="1" applyBorder="1" applyAlignment="1">
      <alignment horizontal="right" vertical="center"/>
    </xf>
    <xf numFmtId="38" fontId="56" fillId="17" borderId="41" xfId="3" applyNumberFormat="1" applyFont="1" applyFill="1" applyBorder="1" applyAlignment="1">
      <alignment horizontal="right" vertical="center"/>
    </xf>
    <xf numFmtId="38" fontId="56" fillId="17" borderId="75" xfId="3" applyNumberFormat="1" applyFont="1" applyFill="1" applyBorder="1" applyAlignment="1">
      <alignment horizontal="right" vertical="center"/>
    </xf>
    <xf numFmtId="38" fontId="55" fillId="17" borderId="75" xfId="3" applyNumberFormat="1" applyFont="1" applyFill="1" applyBorder="1" applyAlignment="1">
      <alignment horizontal="right" vertical="center"/>
    </xf>
    <xf numFmtId="38" fontId="56" fillId="17" borderId="60" xfId="3" applyNumberFormat="1" applyFont="1" applyFill="1" applyBorder="1" applyAlignment="1">
      <alignment horizontal="right" vertical="center"/>
    </xf>
    <xf numFmtId="38" fontId="55" fillId="17" borderId="60" xfId="3" applyNumberFormat="1" applyFont="1" applyFill="1" applyBorder="1" applyAlignment="1">
      <alignment horizontal="right" vertical="center"/>
    </xf>
    <xf numFmtId="38" fontId="56" fillId="17" borderId="127" xfId="0" applyNumberFormat="1" applyFont="1" applyFill="1" applyBorder="1" applyAlignment="1" applyProtection="1">
      <alignment horizontal="right"/>
    </xf>
    <xf numFmtId="0" fontId="65" fillId="16" borderId="17" xfId="0" applyFont="1" applyFill="1" applyBorder="1" applyAlignment="1">
      <alignment horizontal="left" vertical="center" wrapText="1"/>
    </xf>
    <xf numFmtId="49" fontId="65" fillId="16" borderId="26" xfId="0" applyNumberFormat="1" applyFont="1" applyFill="1" applyBorder="1" applyAlignment="1">
      <alignment horizontal="center" vertical="center"/>
    </xf>
    <xf numFmtId="38" fontId="56" fillId="16" borderId="26" xfId="0" applyNumberFormat="1" applyFont="1" applyFill="1" applyBorder="1" applyAlignment="1">
      <alignment horizontal="right"/>
    </xf>
    <xf numFmtId="38" fontId="56" fillId="16" borderId="3" xfId="0" applyNumberFormat="1" applyFont="1" applyFill="1" applyBorder="1" applyAlignment="1">
      <alignment horizontal="right"/>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7" borderId="13" xfId="0" applyFont="1" applyFill="1" applyBorder="1" applyAlignment="1">
      <alignment horizontal="left" vertical="center" wrapText="1"/>
    </xf>
    <xf numFmtId="49" fontId="65" fillId="17"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8" fontId="56" fillId="27" borderId="26" xfId="0" applyNumberFormat="1" applyFont="1" applyFill="1" applyBorder="1" applyAlignment="1">
      <alignment horizontal="right"/>
    </xf>
    <xf numFmtId="3" fontId="63" fillId="0" borderId="12" xfId="0" applyNumberFormat="1" applyFont="1" applyBorder="1" applyAlignment="1">
      <alignment horizontal="left" vertical="top" wrapText="1" indent="1"/>
    </xf>
    <xf numFmtId="38" fontId="56" fillId="17" borderId="19" xfId="0" applyNumberFormat="1" applyFont="1" applyFill="1" applyBorder="1" applyAlignment="1" applyProtection="1">
      <alignment horizontal="right"/>
    </xf>
    <xf numFmtId="49" fontId="34" fillId="0" borderId="0" xfId="2" applyNumberFormat="1" applyBorder="1" applyAlignment="1" applyProtection="1">
      <alignment horizontal="center"/>
    </xf>
    <xf numFmtId="49" fontId="5" fillId="0" borderId="157" xfId="17" applyNumberFormat="1" applyFont="1" applyBorder="1" applyAlignment="1" applyProtection="1">
      <alignment horizontal="center" vertical="center"/>
      <protection locked="0"/>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61" xfId="3" applyFont="1" applyBorder="1" applyProtection="1"/>
    <xf numFmtId="49" fontId="63" fillId="0" borderId="14" xfId="0" applyNumberFormat="1" applyFont="1" applyFill="1" applyBorder="1" applyAlignment="1" applyProtection="1">
      <alignment horizontal="center" vertical="center"/>
    </xf>
    <xf numFmtId="38" fontId="56" fillId="16" borderId="3" xfId="0" applyNumberFormat="1" applyFont="1" applyFill="1" applyBorder="1" applyAlignment="1" applyProtection="1">
      <alignment horizontal="right"/>
    </xf>
    <xf numFmtId="38" fontId="56" fillId="16" borderId="26" xfId="0" applyNumberFormat="1" applyFont="1" applyFill="1" applyBorder="1" applyAlignment="1" applyProtection="1">
      <alignment horizontal="right"/>
    </xf>
    <xf numFmtId="38" fontId="8" fillId="0" borderId="157" xfId="17" applyNumberFormat="1" applyBorder="1" applyAlignment="1" applyProtection="1">
      <alignment horizontal="right" vertical="top"/>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4" borderId="0" xfId="18" applyFont="1" applyFill="1" applyAlignment="1">
      <alignment horizontal="centerContinuous" vertical="center"/>
    </xf>
    <xf numFmtId="0" fontId="101" fillId="24" borderId="0" xfId="18" applyFont="1" applyFill="1" applyAlignment="1">
      <alignment horizontal="centerContinuous"/>
    </xf>
    <xf numFmtId="0" fontId="89" fillId="0" borderId="137"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5" fillId="0" borderId="0" xfId="18" applyFont="1" applyAlignment="1">
      <alignment wrapText="1"/>
    </xf>
    <xf numFmtId="0" fontId="133" fillId="0" borderId="162"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4"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9" xfId="18" applyFont="1" applyBorder="1" applyAlignment="1">
      <alignment horizontal="left" vertical="center" wrapText="1"/>
    </xf>
    <xf numFmtId="0" fontId="105" fillId="0" borderId="160" xfId="18" applyFont="1" applyBorder="1" applyAlignment="1">
      <alignment horizontal="left" vertical="center" wrapText="1"/>
    </xf>
    <xf numFmtId="49" fontId="105" fillId="18"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2" xfId="18" applyFont="1" applyFill="1" applyBorder="1" applyAlignment="1">
      <alignment horizontal="left" vertical="center" wrapText="1"/>
    </xf>
    <xf numFmtId="49" fontId="134" fillId="0" borderId="105" xfId="18" applyNumberFormat="1" applyFont="1" applyBorder="1" applyAlignment="1" applyProtection="1">
      <alignment horizontal="center" vertical="center"/>
      <protection locked="0"/>
    </xf>
    <xf numFmtId="49" fontId="134"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4" fillId="0" borderId="107" xfId="18" applyNumberFormat="1" applyFont="1" applyFill="1" applyBorder="1" applyAlignment="1" applyProtection="1">
      <alignment horizontal="center" vertical="center"/>
      <protection locked="0"/>
    </xf>
    <xf numFmtId="0" fontId="101" fillId="0" borderId="0" xfId="18" applyFont="1" applyProtection="1"/>
    <xf numFmtId="0" fontId="5" fillId="0" borderId="0" xfId="18" applyFont="1"/>
    <xf numFmtId="0" fontId="49" fillId="0" borderId="140" xfId="18" applyFont="1" applyBorder="1" applyAlignment="1">
      <alignment vertical="top"/>
    </xf>
    <xf numFmtId="0" fontId="49" fillId="0" borderId="141" xfId="18" applyFont="1" applyBorder="1" applyAlignment="1">
      <alignment vertical="top"/>
    </xf>
    <xf numFmtId="0" fontId="50" fillId="16" borderId="76" xfId="18" applyFont="1" applyFill="1" applyBorder="1" applyAlignment="1">
      <alignment vertical="top"/>
    </xf>
    <xf numFmtId="0" fontId="49" fillId="0" borderId="140" xfId="18" applyFont="1" applyBorder="1" applyAlignment="1">
      <alignment vertical="top" wrapText="1"/>
    </xf>
    <xf numFmtId="0" fontId="49" fillId="0" borderId="141"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5" fillId="0" borderId="0" xfId="18" applyFont="1"/>
    <xf numFmtId="0" fontId="66" fillId="13" borderId="46" xfId="0" applyFont="1" applyFill="1" applyBorder="1" applyAlignment="1" applyProtection="1">
      <alignment horizontal="left" vertical="center"/>
    </xf>
    <xf numFmtId="0" fontId="65" fillId="13" borderId="6" xfId="0" applyFont="1" applyFill="1" applyBorder="1" applyAlignment="1" applyProtection="1">
      <alignment horizontal="left" vertical="center"/>
    </xf>
    <xf numFmtId="0" fontId="63" fillId="13" borderId="7" xfId="0" applyFont="1" applyFill="1" applyBorder="1" applyAlignment="1" applyProtection="1">
      <alignment horizontal="left" vertical="center" indent="2"/>
    </xf>
    <xf numFmtId="0" fontId="66" fillId="13" borderId="2" xfId="0" applyFont="1" applyFill="1" applyBorder="1" applyAlignment="1">
      <alignment horizontal="center" vertical="center"/>
    </xf>
    <xf numFmtId="49" fontId="65" fillId="0" borderId="2" xfId="0" applyNumberFormat="1" applyFont="1" applyFill="1" applyBorder="1" applyAlignment="1" applyProtection="1">
      <alignment horizontal="center" vertical="top" wrapText="1"/>
    </xf>
    <xf numFmtId="49" fontId="65" fillId="0" borderId="2" xfId="9" applyNumberFormat="1" applyFont="1" applyFill="1" applyBorder="1" applyAlignment="1">
      <alignment horizontal="center" vertical="top" wrapText="1"/>
    </xf>
    <xf numFmtId="49" fontId="65" fillId="5" borderId="2" xfId="9" applyNumberFormat="1" applyFont="1" applyFill="1" applyBorder="1" applyAlignment="1" applyProtection="1">
      <alignment horizontal="center" vertical="top" wrapText="1"/>
    </xf>
    <xf numFmtId="0" fontId="101" fillId="24" borderId="0" xfId="18" applyFont="1" applyFill="1" applyAlignment="1">
      <alignment horizontal="centerContinuous" vertical="center"/>
    </xf>
    <xf numFmtId="0" fontId="105" fillId="24" borderId="138" xfId="18" applyFont="1" applyFill="1" applyBorder="1" applyAlignment="1">
      <alignment horizontal="center" vertical="center" wrapText="1"/>
    </xf>
    <xf numFmtId="0" fontId="105" fillId="24" borderId="163" xfId="18" applyFont="1" applyFill="1" applyBorder="1" applyAlignment="1">
      <alignment horizontal="center" vertical="center" wrapText="1"/>
    </xf>
    <xf numFmtId="0" fontId="105" fillId="18" borderId="139" xfId="18" applyFont="1" applyFill="1" applyBorder="1" applyAlignment="1">
      <alignment horizontal="center" vertical="center" wrapText="1"/>
    </xf>
    <xf numFmtId="49" fontId="105" fillId="18" borderId="107" xfId="18" applyNumberFormat="1" applyFont="1" applyFill="1" applyBorder="1" applyAlignment="1">
      <alignment horizontal="center" vertical="center" wrapText="1"/>
    </xf>
    <xf numFmtId="0" fontId="50" fillId="18" borderId="108" xfId="18" applyFont="1" applyFill="1" applyBorder="1" applyAlignment="1">
      <alignment horizontal="center"/>
    </xf>
    <xf numFmtId="0" fontId="103" fillId="0" borderId="139" xfId="18" applyFont="1" applyFill="1" applyBorder="1" applyAlignment="1" applyProtection="1">
      <alignment horizontal="right"/>
    </xf>
    <xf numFmtId="0" fontId="66" fillId="24" borderId="12" xfId="3" applyNumberFormat="1" applyFont="1" applyFill="1" applyBorder="1" applyAlignment="1">
      <alignment horizontal="left"/>
    </xf>
    <xf numFmtId="0" fontId="55" fillId="0" borderId="12" xfId="3" applyNumberFormat="1" applyFont="1" applyFill="1" applyBorder="1" applyAlignment="1">
      <alignment horizontal="centerContinuous" vertical="center"/>
    </xf>
    <xf numFmtId="0" fontId="55" fillId="0" borderId="3" xfId="3" applyNumberFormat="1" applyFont="1" applyFill="1" applyBorder="1" applyAlignment="1">
      <alignment horizontal="centerContinuous" vertical="center"/>
    </xf>
    <xf numFmtId="0" fontId="56" fillId="13" borderId="39" xfId="0" applyFont="1" applyFill="1" applyBorder="1"/>
    <xf numFmtId="0" fontId="56" fillId="13" borderId="23" xfId="0" applyFont="1" applyFill="1" applyBorder="1" applyAlignment="1">
      <alignment horizontal="left" vertical="top"/>
    </xf>
    <xf numFmtId="0" fontId="56" fillId="13" borderId="23" xfId="0" applyFont="1" applyFill="1" applyBorder="1" applyAlignment="1">
      <alignment vertical="top" wrapText="1"/>
    </xf>
    <xf numFmtId="0" fontId="65" fillId="13"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38" fontId="63" fillId="0" borderId="147" xfId="11" applyNumberFormat="1" applyFont="1" applyFill="1" applyBorder="1" applyAlignment="1" applyProtection="1">
      <alignment horizontal="right"/>
      <protection locked="0"/>
    </xf>
    <xf numFmtId="38" fontId="63" fillId="17" borderId="0" xfId="11" applyNumberFormat="1" applyFont="1" applyFill="1" applyBorder="1" applyAlignment="1" applyProtection="1">
      <alignment horizontal="right"/>
    </xf>
    <xf numFmtId="38" fontId="63" fillId="17" borderId="9" xfId="11" applyNumberFormat="1" applyFont="1" applyFill="1" applyBorder="1" applyAlignment="1" applyProtection="1">
      <alignment horizontal="right"/>
    </xf>
    <xf numFmtId="3" fontId="63" fillId="17" borderId="9" xfId="10" applyNumberFormat="1" applyFont="1" applyFill="1" applyBorder="1" applyAlignment="1" applyProtection="1">
      <alignment vertical="center"/>
    </xf>
    <xf numFmtId="3" fontId="63" fillId="17" borderId="6" xfId="10" applyNumberFormat="1" applyFont="1" applyFill="1" applyBorder="1" applyAlignment="1" applyProtection="1">
      <alignment vertical="center"/>
    </xf>
    <xf numFmtId="38" fontId="63" fillId="17" borderId="9" xfId="10" applyNumberFormat="1" applyFont="1" applyFill="1" applyBorder="1" applyAlignment="1" applyProtection="1">
      <alignment horizontal="right" vertical="center"/>
    </xf>
    <xf numFmtId="38" fontId="63" fillId="17" borderId="0" xfId="10" applyNumberFormat="1" applyFont="1" applyFill="1" applyAlignment="1">
      <alignment vertical="top"/>
    </xf>
    <xf numFmtId="38" fontId="63" fillId="17" borderId="6" xfId="10" applyNumberFormat="1" applyFont="1" applyFill="1" applyBorder="1" applyAlignment="1" applyProtection="1">
      <alignment horizontal="right" vertical="center"/>
    </xf>
    <xf numFmtId="38" fontId="63" fillId="17" borderId="6" xfId="10" applyNumberFormat="1" applyFont="1" applyFill="1" applyBorder="1" applyAlignment="1" applyProtection="1">
      <alignment horizontal="right"/>
    </xf>
    <xf numFmtId="38" fontId="63" fillId="17" borderId="0" xfId="10" applyNumberFormat="1" applyFont="1" applyFill="1" applyAlignment="1">
      <alignment horizontal="right"/>
    </xf>
    <xf numFmtId="38" fontId="63" fillId="17" borderId="9" xfId="10" applyNumberFormat="1" applyFont="1" applyFill="1" applyBorder="1" applyAlignment="1" applyProtection="1">
      <alignment horizontal="right"/>
    </xf>
    <xf numFmtId="38" fontId="63" fillId="17" borderId="6" xfId="10" applyNumberFormat="1" applyFont="1" applyFill="1" applyBorder="1" applyAlignment="1">
      <alignment horizontal="right"/>
    </xf>
    <xf numFmtId="38" fontId="63" fillId="17" borderId="147" xfId="10" applyNumberFormat="1" applyFont="1" applyFill="1" applyBorder="1" applyAlignment="1" applyProtection="1">
      <alignment horizontal="right"/>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65" fillId="0" borderId="0" xfId="11" applyFont="1" applyAlignment="1">
      <alignment horizontal="right" vertical="center"/>
    </xf>
    <xf numFmtId="0" fontId="65" fillId="0" borderId="0" xfId="0" applyFont="1" applyBorder="1" applyAlignment="1" applyProtection="1">
      <alignment horizontal="lef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8" borderId="21" xfId="0" applyFont="1" applyFill="1" applyBorder="1" applyAlignment="1" applyProtection="1">
      <alignment vertical="center"/>
    </xf>
    <xf numFmtId="0" fontId="65" fillId="18" borderId="2" xfId="0" applyFont="1" applyFill="1" applyBorder="1" applyAlignment="1" applyProtection="1">
      <alignment vertical="center"/>
    </xf>
    <xf numFmtId="0" fontId="4" fillId="0" borderId="0" xfId="19" applyAlignment="1">
      <alignment horizontal="center" wrapText="1"/>
    </xf>
    <xf numFmtId="0" fontId="129" fillId="0" borderId="0" xfId="19" applyFont="1" applyAlignment="1">
      <alignment horizontal="center" wrapText="1"/>
    </xf>
    <xf numFmtId="0" fontId="139" fillId="0" borderId="0" xfId="19" applyFont="1" applyAlignment="1">
      <alignment horizontal="center" wrapText="1"/>
    </xf>
    <xf numFmtId="0" fontId="140" fillId="0" borderId="0" xfId="20" applyAlignment="1"/>
    <xf numFmtId="4" fontId="140" fillId="0" borderId="0" xfId="20" applyNumberFormat="1" applyAlignment="1"/>
    <xf numFmtId="37" fontId="4" fillId="0" borderId="0" xfId="19" applyNumberFormat="1" applyAlignment="1">
      <alignment horizontal="left"/>
    </xf>
    <xf numFmtId="0" fontId="4" fillId="0" borderId="0" xfId="19" applyFont="1"/>
    <xf numFmtId="0" fontId="4" fillId="0" borderId="0" xfId="19"/>
    <xf numFmtId="0" fontId="140" fillId="0" borderId="0" xfId="20" quotePrefix="1" applyAlignment="1"/>
    <xf numFmtId="0" fontId="140" fillId="0" borderId="0" xfId="20" applyFont="1" applyAlignment="1"/>
    <xf numFmtId="38" fontId="56" fillId="0" borderId="2" xfId="3" applyNumberFormat="1" applyFont="1" applyBorder="1" applyAlignment="1" applyProtection="1">
      <alignment horizontal="right"/>
      <protection locked="0"/>
    </xf>
    <xf numFmtId="38" fontId="17" fillId="0" borderId="2" xfId="3" applyNumberFormat="1" applyFont="1" applyFill="1" applyBorder="1" applyAlignment="1" applyProtection="1">
      <alignment horizontal="right"/>
      <protection locked="0"/>
    </xf>
    <xf numFmtId="177" fontId="12" fillId="0" borderId="2" xfId="9" applyNumberFormat="1" applyFont="1" applyFill="1" applyBorder="1" applyAlignment="1" applyProtection="1">
      <alignment horizontal="right"/>
      <protection locked="0"/>
    </xf>
    <xf numFmtId="38" fontId="17" fillId="0" borderId="2" xfId="9" applyNumberFormat="1" applyFont="1" applyFill="1" applyBorder="1" applyAlignment="1" applyProtection="1">
      <alignment horizontal="right"/>
      <protection locked="0"/>
    </xf>
    <xf numFmtId="164" fontId="12" fillId="0" borderId="2" xfId="9" applyNumberFormat="1" applyFont="1" applyFill="1" applyBorder="1" applyAlignment="1" applyProtection="1">
      <alignment horizontal="left" vertical="center"/>
      <protection locked="0"/>
    </xf>
    <xf numFmtId="38" fontId="17" fillId="0" borderId="2" xfId="9" applyNumberFormat="1" applyFont="1" applyFill="1" applyBorder="1" applyAlignment="1" applyProtection="1">
      <alignment horizontal="right" vertical="center"/>
      <protection locked="0"/>
    </xf>
    <xf numFmtId="3" fontId="17" fillId="0" borderId="2" xfId="9" applyNumberFormat="1" applyFont="1" applyFill="1" applyBorder="1" applyAlignment="1" applyProtection="1">
      <alignment horizontal="right" vertical="center"/>
      <protection locked="0"/>
    </xf>
    <xf numFmtId="0" fontId="17" fillId="0" borderId="2" xfId="3" applyFont="1" applyFill="1" applyBorder="1" applyAlignment="1" applyProtection="1">
      <alignment horizontal="right"/>
      <protection locked="0"/>
    </xf>
    <xf numFmtId="0" fontId="11" fillId="0" borderId="0" xfId="3" applyFont="1"/>
    <xf numFmtId="0" fontId="11" fillId="0" borderId="0" xfId="3" applyFont="1"/>
    <xf numFmtId="49" fontId="147" fillId="0" borderId="105" xfId="133" applyNumberFormat="1" applyFont="1" applyBorder="1" applyAlignment="1" applyProtection="1">
      <alignment horizontal="center" vertical="center"/>
      <protection locked="0"/>
    </xf>
    <xf numFmtId="0" fontId="146" fillId="0" borderId="105" xfId="133" applyFont="1" applyBorder="1" applyProtection="1">
      <protection locked="0"/>
    </xf>
    <xf numFmtId="49" fontId="145" fillId="0" borderId="107" xfId="133" applyNumberFormat="1" applyFont="1" applyFill="1" applyBorder="1" applyAlignment="1" applyProtection="1">
      <alignment horizontal="center" vertical="center"/>
      <protection locked="0"/>
    </xf>
    <xf numFmtId="0" fontId="1" fillId="0" borderId="157" xfId="138" applyFont="1" applyBorder="1" applyAlignment="1" applyProtection="1">
      <alignment horizontal="left" vertical="top" wrapText="1"/>
      <protection locked="0"/>
    </xf>
    <xf numFmtId="0" fontId="1" fillId="0" borderId="157" xfId="138" applyFont="1" applyBorder="1" applyAlignment="1" applyProtection="1">
      <alignment vertical="top"/>
      <protection locked="0"/>
    </xf>
    <xf numFmtId="49" fontId="1" fillId="0" borderId="157" xfId="138" applyNumberFormat="1" applyFont="1" applyBorder="1" applyAlignment="1" applyProtection="1">
      <alignment horizontal="center" vertical="center"/>
      <protection locked="0"/>
    </xf>
    <xf numFmtId="38" fontId="1" fillId="0" borderId="157" xfId="138" applyNumberFormat="1" applyBorder="1" applyAlignment="1" applyProtection="1">
      <alignment horizontal="right" vertical="top"/>
      <protection locked="0"/>
    </xf>
    <xf numFmtId="49" fontId="1" fillId="0" borderId="157" xfId="138" applyNumberFormat="1" applyFont="1" applyBorder="1" applyAlignment="1" applyProtection="1">
      <alignment horizontal="center" vertical="top"/>
      <protection locked="0"/>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0" fontId="14" fillId="0" borderId="19" xfId="12" applyNumberFormat="1" applyFont="1" applyBorder="1" applyAlignment="1" applyProtection="1">
      <alignment horizontal="lef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14" fontId="14" fillId="0" borderId="125" xfId="12" applyNumberFormat="1" applyFont="1" applyBorder="1" applyAlignment="1" applyProtection="1">
      <alignment horizontal="left" vertical="center" indent="1"/>
      <protection locked="0"/>
    </xf>
    <xf numFmtId="0" fontId="14" fillId="0" borderId="128"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180" fontId="14" fillId="0" borderId="125" xfId="12" applyNumberFormat="1" applyFont="1" applyBorder="1" applyAlignment="1" applyProtection="1">
      <alignment horizontal="left" vertical="center" indent="1"/>
      <protection locked="0"/>
    </xf>
    <xf numFmtId="180" fontId="14" fillId="0" borderId="128"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6" xfId="12"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8"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4" fillId="0" borderId="0" xfId="0" applyNumberFormat="1"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49" fontId="14" fillId="0" borderId="0" xfId="12" applyNumberFormat="1" applyFont="1" applyBorder="1" applyAlignment="1" applyProtection="1">
      <alignment horizontal="center" vertical="center"/>
    </xf>
    <xf numFmtId="0" fontId="15" fillId="0" borderId="19" xfId="12" applyFont="1" applyBorder="1" applyAlignment="1" applyProtection="1">
      <alignment vertical="center"/>
    </xf>
    <xf numFmtId="0" fontId="15"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4" fillId="0" borderId="19" xfId="12"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35" fillId="0" borderId="17" xfId="12" applyNumberFormat="1" applyFont="1" applyBorder="1" applyAlignment="1" applyProtection="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0" fontId="136" fillId="0" borderId="0" xfId="12" applyFont="1" applyBorder="1" applyAlignment="1" applyProtection="1">
      <alignment horizontal="center" vertical="center" wrapText="1"/>
    </xf>
    <xf numFmtId="0" fontId="136" fillId="0" borderId="18" xfId="12" applyFont="1" applyBorder="1" applyAlignment="1" applyProtection="1">
      <alignment horizontal="center" vertical="center" wrapText="1"/>
    </xf>
    <xf numFmtId="0" fontId="136" fillId="0" borderId="128" xfId="12" applyFont="1" applyBorder="1" applyAlignment="1" applyProtection="1">
      <alignment horizontal="center" vertical="center" wrapText="1"/>
    </xf>
    <xf numFmtId="0" fontId="136" fillId="0" borderId="126" xfId="12" applyFont="1" applyBorder="1" applyAlignment="1" applyProtection="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xf>
    <xf numFmtId="0" fontId="59" fillId="0" borderId="0" xfId="2" applyFont="1"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5" xfId="3" applyFont="1" applyBorder="1" applyAlignment="1" applyProtection="1">
      <alignment horizontal="left" vertical="top"/>
      <protection locked="0"/>
    </xf>
    <xf numFmtId="0" fontId="56" fillId="0" borderId="128"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5" fillId="0" borderId="134"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9" borderId="0" xfId="0" applyFont="1" applyFill="1" applyBorder="1" applyAlignment="1" applyProtection="1">
      <alignment horizontal="center" vertical="center"/>
    </xf>
    <xf numFmtId="0" fontId="55" fillId="19"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5" xfId="0" applyFont="1" applyBorder="1" applyAlignment="1" applyProtection="1">
      <alignment horizontal="left" vertical="top" wrapText="1"/>
      <protection locked="0"/>
    </xf>
    <xf numFmtId="0" fontId="56" fillId="0" borderId="128"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6" xfId="0" applyFont="1" applyFill="1" applyBorder="1" applyAlignment="1" applyProtection="1">
      <alignment horizontal="center" vertical="center" wrapText="1"/>
    </xf>
    <xf numFmtId="3" fontId="65" fillId="24" borderId="13" xfId="0" applyNumberFormat="1" applyFont="1" applyFill="1" applyBorder="1" applyAlignment="1" applyProtection="1">
      <alignment horizontal="left" vertical="center"/>
    </xf>
    <xf numFmtId="3" fontId="65" fillId="24" borderId="14" xfId="0" applyNumberFormat="1" applyFont="1" applyFill="1" applyBorder="1" applyAlignment="1" applyProtection="1">
      <alignment horizontal="left" vertical="center"/>
    </xf>
    <xf numFmtId="164" fontId="65" fillId="24" borderId="49" xfId="0" applyNumberFormat="1" applyFont="1" applyFill="1" applyBorder="1" applyAlignment="1" applyProtection="1">
      <alignment horizontal="left" vertical="center"/>
    </xf>
    <xf numFmtId="164" fontId="65" fillId="24" borderId="31" xfId="0" applyNumberFormat="1" applyFont="1" applyFill="1" applyBorder="1" applyAlignment="1" applyProtection="1">
      <alignment horizontal="left" vertical="center"/>
    </xf>
    <xf numFmtId="0" fontId="65" fillId="24" borderId="34" xfId="0" applyFont="1" applyFill="1" applyBorder="1" applyAlignment="1" applyProtection="1">
      <alignment horizontal="left" vertical="center"/>
    </xf>
    <xf numFmtId="0" fontId="65" fillId="24" borderId="31" xfId="0" applyFont="1" applyFill="1" applyBorder="1" applyAlignment="1" applyProtection="1">
      <alignment horizontal="left" vertical="center"/>
    </xf>
    <xf numFmtId="164" fontId="65" fillId="24" borderId="13" xfId="0" applyNumberFormat="1" applyFont="1" applyFill="1" applyBorder="1" applyAlignment="1" applyProtection="1">
      <alignment horizontal="left" vertical="center"/>
    </xf>
    <xf numFmtId="164" fontId="65" fillId="24" borderId="14" xfId="0" applyNumberFormat="1" applyFont="1" applyFill="1" applyBorder="1" applyAlignment="1" applyProtection="1">
      <alignment horizontal="left" vertical="center"/>
    </xf>
    <xf numFmtId="164" fontId="65" fillId="17" borderId="36" xfId="0" applyNumberFormat="1" applyFont="1" applyFill="1" applyBorder="1" applyAlignment="1" applyProtection="1">
      <alignment horizontal="left" vertical="center" wrapText="1" indent="2"/>
    </xf>
    <xf numFmtId="164" fontId="65" fillId="17" borderId="30" xfId="0" applyNumberFormat="1" applyFont="1" applyFill="1" applyBorder="1" applyAlignment="1" applyProtection="1">
      <alignment horizontal="left" vertical="center" wrapText="1" indent="2"/>
    </xf>
    <xf numFmtId="0" fontId="65" fillId="17" borderId="52" xfId="0" applyFont="1" applyFill="1" applyBorder="1" applyAlignment="1" applyProtection="1">
      <alignment horizontal="left" vertical="center" indent="2"/>
    </xf>
    <xf numFmtId="0" fontId="65" fillId="17" borderId="53" xfId="0" applyFont="1" applyFill="1" applyBorder="1" applyAlignment="1" applyProtection="1">
      <alignment horizontal="left" vertical="center" indent="2"/>
    </xf>
    <xf numFmtId="0" fontId="65" fillId="17" borderId="35" xfId="0" applyFont="1" applyFill="1" applyBorder="1" applyAlignment="1" applyProtection="1">
      <alignment horizontal="left" vertical="center" indent="2"/>
    </xf>
    <xf numFmtId="0" fontId="65"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center" wrapText="1" indent="2"/>
    </xf>
    <xf numFmtId="0" fontId="58" fillId="17"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6" xfId="0" applyNumberFormat="1" applyFont="1" applyBorder="1" applyAlignment="1" applyProtection="1">
      <alignment horizontal="center" vertical="center" wrapText="1"/>
    </xf>
    <xf numFmtId="0" fontId="65" fillId="17" borderId="34" xfId="0" applyFont="1" applyFill="1" applyBorder="1" applyAlignment="1" applyProtection="1">
      <alignment horizontal="left" vertical="center" indent="1"/>
    </xf>
    <xf numFmtId="0" fontId="65" fillId="17"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6" borderId="13" xfId="0" applyNumberFormat="1" applyFont="1" applyFill="1" applyBorder="1" applyAlignment="1" applyProtection="1">
      <alignment horizontal="left" vertical="center" wrapText="1" indent="1"/>
    </xf>
    <xf numFmtId="164" fontId="65" fillId="26" borderId="14" xfId="0" applyNumberFormat="1" applyFont="1" applyFill="1" applyBorder="1" applyAlignment="1" applyProtection="1">
      <alignment horizontal="left" vertical="center" wrapText="1" indent="1"/>
    </xf>
    <xf numFmtId="164" fontId="65" fillId="15" borderId="13" xfId="0" applyNumberFormat="1" applyFont="1" applyFill="1" applyBorder="1" applyAlignment="1" applyProtection="1">
      <alignment horizontal="left" vertical="center" wrapText="1" indent="1"/>
    </xf>
    <xf numFmtId="164" fontId="65" fillId="15" borderId="14" xfId="0" applyNumberFormat="1" applyFont="1" applyFill="1" applyBorder="1" applyAlignment="1" applyProtection="1">
      <alignment horizontal="left" vertical="center" wrapText="1" indent="1"/>
    </xf>
    <xf numFmtId="164" fontId="65" fillId="18" borderId="13" xfId="0" applyNumberFormat="1" applyFont="1" applyFill="1" applyBorder="1" applyAlignment="1" applyProtection="1">
      <alignment horizontal="left" vertical="center" wrapText="1"/>
    </xf>
    <xf numFmtId="164" fontId="65" fillId="18" borderId="14" xfId="0" applyNumberFormat="1" applyFont="1" applyFill="1" applyBorder="1" applyAlignment="1" applyProtection="1">
      <alignment horizontal="left" vertical="center" wrapText="1"/>
    </xf>
    <xf numFmtId="49" fontId="65" fillId="24" borderId="13" xfId="0" applyNumberFormat="1" applyFont="1" applyFill="1" applyBorder="1" applyAlignment="1" applyProtection="1">
      <alignment horizontal="left" vertical="center"/>
    </xf>
    <xf numFmtId="49" fontId="65" fillId="24" borderId="14" xfId="0" applyNumberFormat="1" applyFont="1" applyFill="1" applyBorder="1" applyAlignment="1" applyProtection="1">
      <alignment horizontal="left" vertical="center"/>
    </xf>
    <xf numFmtId="0" fontId="65" fillId="24" borderId="13" xfId="0" applyFont="1" applyFill="1" applyBorder="1" applyAlignment="1" applyProtection="1">
      <alignment vertical="center"/>
    </xf>
    <xf numFmtId="0" fontId="65" fillId="24" borderId="14" xfId="0" applyFont="1" applyFill="1" applyBorder="1" applyAlignment="1" applyProtection="1">
      <alignment vertical="center"/>
    </xf>
    <xf numFmtId="164" fontId="65" fillId="17" borderId="13" xfId="0" applyNumberFormat="1" applyFont="1" applyFill="1" applyBorder="1" applyAlignment="1" applyProtection="1">
      <alignment horizontal="left" vertical="center" wrapText="1" indent="2"/>
    </xf>
    <xf numFmtId="164" fontId="65" fillId="17"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7" borderId="24" xfId="0" applyFont="1" applyFill="1" applyBorder="1" applyAlignment="1" applyProtection="1">
      <alignment horizontal="left" vertical="center" indent="1"/>
    </xf>
    <xf numFmtId="0" fontId="58" fillId="17" borderId="51" xfId="0" applyFont="1" applyFill="1" applyBorder="1" applyAlignment="1">
      <alignment horizontal="left" vertical="center" indent="1"/>
    </xf>
    <xf numFmtId="0" fontId="65" fillId="18" borderId="21" xfId="0" applyFont="1" applyFill="1" applyBorder="1" applyAlignment="1">
      <alignment horizontal="left" vertical="center" wrapText="1"/>
    </xf>
    <xf numFmtId="0" fontId="58" fillId="18" borderId="14" xfId="0" applyFont="1" applyFill="1" applyBorder="1" applyAlignment="1">
      <alignment horizontal="left" vertical="center" wrapText="1"/>
    </xf>
    <xf numFmtId="0" fontId="65" fillId="18" borderId="34" xfId="0" applyFont="1" applyFill="1" applyBorder="1" applyAlignment="1">
      <alignment vertical="top" wrapText="1"/>
    </xf>
    <xf numFmtId="0" fontId="58" fillId="18" borderId="31" xfId="0" applyFont="1" applyFill="1" applyBorder="1" applyAlignment="1">
      <alignment vertical="top" wrapText="1"/>
    </xf>
    <xf numFmtId="0" fontId="65" fillId="17" borderId="35" xfId="0" applyFont="1" applyFill="1" applyBorder="1" applyAlignment="1" applyProtection="1">
      <alignment horizontal="left" vertical="top" wrapText="1" indent="1"/>
    </xf>
    <xf numFmtId="0" fontId="58" fillId="17" borderId="30" xfId="0" applyFont="1" applyFill="1" applyBorder="1" applyAlignment="1">
      <alignment horizontal="left" vertical="top" wrapText="1" indent="1"/>
    </xf>
    <xf numFmtId="0" fontId="65" fillId="17" borderId="35" xfId="0" applyFont="1" applyFill="1" applyBorder="1" applyAlignment="1" applyProtection="1">
      <alignment horizontal="left" vertical="top" indent="1"/>
    </xf>
    <xf numFmtId="0" fontId="58" fillId="17" borderId="30" xfId="0" applyFont="1" applyFill="1" applyBorder="1" applyAlignment="1">
      <alignment horizontal="left" vertical="top" indent="1"/>
    </xf>
    <xf numFmtId="0" fontId="65" fillId="18" borderId="34" xfId="0" applyFont="1" applyFill="1" applyBorder="1" applyAlignment="1">
      <alignment vertical="center" wrapText="1"/>
    </xf>
    <xf numFmtId="0" fontId="58" fillId="18" borderId="31" xfId="0" applyFont="1" applyFill="1" applyBorder="1" applyAlignment="1">
      <alignment vertical="center" wrapText="1"/>
    </xf>
    <xf numFmtId="3" fontId="65" fillId="0" borderId="18" xfId="0" applyNumberFormat="1" applyFont="1" applyBorder="1" applyAlignment="1" applyProtection="1">
      <alignment horizontal="center" vertical="center" wrapText="1"/>
    </xf>
    <xf numFmtId="0" fontId="66" fillId="24" borderId="19" xfId="0" applyFont="1" applyFill="1" applyBorder="1" applyAlignment="1">
      <alignment horizontal="center" vertical="center"/>
    </xf>
    <xf numFmtId="0" fontId="58" fillId="24" borderId="11" xfId="0" applyFont="1" applyFill="1" applyBorder="1" applyAlignment="1">
      <alignment horizontal="center" vertical="center"/>
    </xf>
    <xf numFmtId="0" fontId="66" fillId="25" borderId="20" xfId="0" applyFont="1" applyFill="1" applyBorder="1" applyAlignment="1">
      <alignment horizontal="center" vertical="center"/>
    </xf>
    <xf numFmtId="0" fontId="66" fillId="25" borderId="11" xfId="0" applyFont="1" applyFill="1" applyBorder="1" applyAlignment="1">
      <alignment horizontal="center" vertical="center"/>
    </xf>
    <xf numFmtId="0" fontId="58" fillId="25" borderId="11" xfId="0" applyFont="1" applyFill="1" applyBorder="1" applyAlignment="1">
      <alignment horizontal="center" vertical="center"/>
    </xf>
    <xf numFmtId="0" fontId="66" fillId="24" borderId="107" xfId="0" applyFont="1" applyFill="1" applyBorder="1" applyAlignment="1">
      <alignment horizontal="center" vertical="center"/>
    </xf>
    <xf numFmtId="0" fontId="58" fillId="24" borderId="131" xfId="0" applyFont="1" applyFill="1" applyBorder="1" applyAlignment="1">
      <alignment horizontal="center" vertical="center"/>
    </xf>
    <xf numFmtId="0" fontId="66" fillId="24" borderId="20" xfId="0" applyFont="1" applyFill="1" applyBorder="1" applyAlignment="1">
      <alignment horizontal="center" vertical="center"/>
    </xf>
    <xf numFmtId="3" fontId="65" fillId="17" borderId="34" xfId="0" applyNumberFormat="1" applyFont="1" applyFill="1" applyBorder="1" applyAlignment="1">
      <alignment horizontal="left" vertical="top" wrapText="1" indent="1"/>
    </xf>
    <xf numFmtId="0" fontId="58" fillId="17" borderId="31" xfId="0" applyFont="1" applyFill="1" applyBorder="1" applyAlignment="1">
      <alignment horizontal="left" vertical="top" wrapText="1"/>
    </xf>
    <xf numFmtId="3" fontId="65" fillId="17" borderId="23" xfId="0" applyNumberFormat="1" applyFont="1" applyFill="1" applyBorder="1" applyAlignment="1">
      <alignment horizontal="left" vertical="top" wrapText="1" indent="1"/>
    </xf>
    <xf numFmtId="0" fontId="58" fillId="17" borderId="38" xfId="0" applyFont="1" applyFill="1" applyBorder="1" applyAlignment="1">
      <alignment horizontal="left" vertical="top" wrapText="1" indent="1"/>
    </xf>
    <xf numFmtId="3" fontId="65" fillId="17" borderId="24" xfId="0" applyNumberFormat="1" applyFont="1" applyFill="1" applyBorder="1" applyAlignment="1">
      <alignment horizontal="left" vertical="top" wrapText="1" indent="1"/>
    </xf>
    <xf numFmtId="0" fontId="63" fillId="17" borderId="51" xfId="0" applyFont="1" applyFill="1" applyBorder="1" applyAlignment="1">
      <alignment horizontal="left" vertical="top" wrapText="1" indent="1"/>
    </xf>
    <xf numFmtId="3" fontId="65" fillId="17" borderId="35" xfId="0" applyNumberFormat="1" applyFont="1" applyFill="1" applyBorder="1" applyAlignment="1">
      <alignment horizontal="left" vertical="top" wrapText="1" indent="1"/>
    </xf>
    <xf numFmtId="3" fontId="65" fillId="17" borderId="35" xfId="0" applyNumberFormat="1" applyFont="1" applyFill="1" applyBorder="1" applyAlignment="1">
      <alignment horizontal="left" vertical="top" indent="1"/>
    </xf>
    <xf numFmtId="0" fontId="63" fillId="17"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4" borderId="20" xfId="0" applyFont="1" applyFill="1" applyBorder="1" applyAlignment="1">
      <alignment horizontal="center" vertical="center" wrapText="1"/>
    </xf>
    <xf numFmtId="0" fontId="58" fillId="24" borderId="11" xfId="0" applyFont="1" applyFill="1" applyBorder="1" applyAlignment="1">
      <alignment horizontal="center" vertical="center" wrapText="1"/>
    </xf>
    <xf numFmtId="3" fontId="66" fillId="24" borderId="13" xfId="0" applyNumberFormat="1" applyFont="1" applyFill="1" applyBorder="1" applyAlignment="1">
      <alignment horizontal="center" vertical="center"/>
    </xf>
    <xf numFmtId="0" fontId="58" fillId="24" borderId="14" xfId="0" applyFont="1" applyFill="1" applyBorder="1" applyAlignment="1">
      <alignment horizontal="center" vertical="center"/>
    </xf>
    <xf numFmtId="0" fontId="66" fillId="24" borderId="21" xfId="0" applyFont="1" applyFill="1" applyBorder="1" applyAlignment="1">
      <alignment horizontal="center" vertical="center"/>
    </xf>
    <xf numFmtId="3" fontId="65" fillId="17" borderId="49" xfId="0" applyNumberFormat="1" applyFont="1" applyFill="1" applyBorder="1" applyAlignment="1">
      <alignment horizontal="left" vertical="top" indent="1"/>
    </xf>
    <xf numFmtId="3" fontId="65" fillId="17" borderId="31" xfId="0" applyNumberFormat="1" applyFont="1" applyFill="1" applyBorder="1" applyAlignment="1">
      <alignment horizontal="left" vertical="top" indent="1"/>
    </xf>
    <xf numFmtId="3" fontId="65" fillId="16" borderId="10" xfId="0" applyNumberFormat="1" applyFont="1" applyFill="1" applyBorder="1" applyAlignment="1" applyProtection="1">
      <alignment horizontal="center" vertical="center" wrapText="1"/>
    </xf>
    <xf numFmtId="3" fontId="65" fillId="16" borderId="126" xfId="0" applyNumberFormat="1" applyFont="1" applyFill="1" applyBorder="1" applyAlignment="1" applyProtection="1">
      <alignment horizontal="center" vertical="center" wrapText="1"/>
    </xf>
    <xf numFmtId="0" fontId="65" fillId="6" borderId="13" xfId="0"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7" borderId="13" xfId="0" applyNumberFormat="1" applyFont="1" applyFill="1" applyBorder="1" applyAlignment="1" applyProtection="1">
      <alignment horizontal="left" vertical="center" wrapText="1" indent="1"/>
    </xf>
    <xf numFmtId="0" fontId="58" fillId="17" borderId="14" xfId="0" applyFont="1" applyFill="1" applyBorder="1" applyAlignment="1">
      <alignment horizontal="left" vertical="center" wrapText="1" indent="1"/>
    </xf>
    <xf numFmtId="49" fontId="66" fillId="13" borderId="13" xfId="0" applyNumberFormat="1" applyFont="1" applyFill="1" applyBorder="1" applyAlignment="1" applyProtection="1">
      <alignment horizontal="center" vertical="center"/>
    </xf>
    <xf numFmtId="0" fontId="58" fillId="13" borderId="14" xfId="0" applyFont="1" applyFill="1" applyBorder="1" applyAlignment="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17" borderId="13" xfId="0" applyNumberFormat="1" applyFont="1" applyFill="1" applyBorder="1" applyAlignment="1" applyProtection="1">
      <alignment horizontal="left" vertical="center" indent="1"/>
    </xf>
    <xf numFmtId="0" fontId="58" fillId="17" borderId="14" xfId="0" applyFont="1" applyFill="1" applyBorder="1" applyAlignment="1">
      <alignment horizontal="left" vertical="center" inden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66" fillId="13" borderId="13" xfId="9" applyFont="1" applyFill="1" applyBorder="1" applyAlignment="1">
      <alignment horizontal="center" vertical="center"/>
    </xf>
    <xf numFmtId="0" fontId="63" fillId="0" borderId="6" xfId="0" applyFont="1" applyBorder="1" applyAlignment="1" applyProtection="1">
      <alignment horizontal="left" vertical="center" wrapText="1"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Border="1" applyAlignment="1" applyProtection="1">
      <alignment horizontal="left" vertical="center" wrapText="1"/>
    </xf>
    <xf numFmtId="0" fontId="65" fillId="0" borderId="6" xfId="0" applyFont="1" applyBorder="1" applyAlignment="1" applyProtection="1">
      <alignment horizontal="left" vertical="center" wrapText="1"/>
    </xf>
    <xf numFmtId="0" fontId="58" fillId="0" borderId="6" xfId="0" applyFont="1" applyBorder="1" applyAlignment="1">
      <alignment wrapText="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65" fillId="17" borderId="54" xfId="0" applyFont="1" applyFill="1" applyBorder="1" applyAlignment="1" applyProtection="1">
      <alignment horizontal="left" vertical="center" indent="1"/>
    </xf>
    <xf numFmtId="0" fontId="65" fillId="17" borderId="57" xfId="0" applyFont="1" applyFill="1" applyBorder="1" applyAlignment="1" applyProtection="1">
      <alignment horizontal="left" vertical="center" indent="1"/>
    </xf>
    <xf numFmtId="0" fontId="65" fillId="17" borderId="61" xfId="0" applyFont="1" applyFill="1" applyBorder="1" applyAlignment="1" applyProtection="1">
      <alignment horizontal="left" vertical="center" indent="1"/>
    </xf>
    <xf numFmtId="0" fontId="65" fillId="17" borderId="147" xfId="0" applyFont="1" applyFill="1" applyBorder="1" applyAlignment="1" applyProtection="1">
      <alignment horizontal="left" vertical="center" indent="1"/>
    </xf>
    <xf numFmtId="0" fontId="65" fillId="17" borderId="146" xfId="0" applyFont="1" applyFill="1" applyBorder="1" applyAlignment="1" applyProtection="1">
      <alignment horizontal="left" vertical="center" indent="1"/>
    </xf>
    <xf numFmtId="0" fontId="65" fillId="3" borderId="147" xfId="0" applyFont="1" applyFill="1" applyBorder="1" applyAlignment="1" applyProtection="1">
      <alignment horizontal="left" vertical="center"/>
    </xf>
    <xf numFmtId="0" fontId="65" fillId="3" borderId="148" xfId="0" applyFont="1" applyFill="1" applyBorder="1" applyAlignment="1" applyProtection="1">
      <alignment horizontal="left" vertical="center"/>
    </xf>
    <xf numFmtId="0" fontId="66" fillId="13" borderId="46" xfId="0" applyFont="1" applyFill="1" applyBorder="1" applyAlignment="1" applyProtection="1">
      <alignment horizontal="left" vertical="center" wrapText="1"/>
    </xf>
    <xf numFmtId="0" fontId="58" fillId="13" borderId="6" xfId="0" applyFont="1" applyFill="1" applyBorder="1" applyAlignment="1">
      <alignment horizontal="left" wrapText="1"/>
    </xf>
    <xf numFmtId="0" fontId="58" fillId="13"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7" xfId="0" applyFont="1" applyBorder="1" applyAlignment="1" applyProtection="1">
      <alignment horizontal="left" vertical="center" wrapText="1" indent="1"/>
    </xf>
    <xf numFmtId="0" fontId="63" fillId="0" borderId="148" xfId="0" applyFont="1" applyBorder="1" applyAlignment="1" applyProtection="1">
      <alignment horizontal="left" vertical="center" wrapText="1" indent="1"/>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4" borderId="146" xfId="0" applyFont="1" applyFill="1" applyBorder="1" applyAlignment="1" applyProtection="1">
      <alignment horizontal="left" vertical="center" indent="1"/>
    </xf>
    <xf numFmtId="0" fontId="66" fillId="24" borderId="147" xfId="0" applyFont="1" applyFill="1" applyBorder="1" applyAlignment="1" applyProtection="1">
      <alignment horizontal="left" vertical="center" indent="1"/>
    </xf>
    <xf numFmtId="0" fontId="66" fillId="24" borderId="148"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4" borderId="92" xfId="10" applyFont="1" applyFill="1" applyBorder="1" applyAlignment="1">
      <alignment horizontal="center" vertical="center" wrapText="1"/>
    </xf>
    <xf numFmtId="0" fontId="66" fillId="24" borderId="25" xfId="0" applyFont="1" applyFill="1" applyBorder="1" applyAlignment="1">
      <alignment horizontal="center" vertical="center" wrapText="1"/>
    </xf>
    <xf numFmtId="0" fontId="66" fillId="24" borderId="93" xfId="0" applyFont="1" applyFill="1" applyBorder="1" applyAlignment="1">
      <alignment horizontal="center" vertical="center" wrapText="1"/>
    </xf>
    <xf numFmtId="0" fontId="131" fillId="24" borderId="94" xfId="10" applyFont="1" applyFill="1" applyBorder="1" applyAlignment="1">
      <alignment horizontal="center" vertical="center"/>
    </xf>
    <xf numFmtId="0" fontId="56" fillId="24" borderId="47" xfId="0" applyFont="1" applyFill="1" applyBorder="1" applyAlignment="1">
      <alignment horizontal="center" vertical="center"/>
    </xf>
    <xf numFmtId="0" fontId="56" fillId="24"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7" applyFont="1" applyBorder="1" applyAlignment="1">
      <alignment horizontal="left" vertical="top" wrapText="1"/>
    </xf>
    <xf numFmtId="0" fontId="128" fillId="0" borderId="0" xfId="17" applyFont="1" applyBorder="1" applyAlignment="1">
      <alignment horizontal="left" vertical="top" wrapText="1"/>
    </xf>
    <xf numFmtId="0" fontId="128" fillId="0" borderId="97" xfId="17" applyFont="1" applyBorder="1" applyAlignment="1">
      <alignment horizontal="left" vertical="top" wrapText="1"/>
    </xf>
    <xf numFmtId="0" fontId="127" fillId="24" borderId="140" xfId="17" applyFont="1" applyFill="1" applyBorder="1" applyAlignment="1">
      <alignment horizontal="center" vertical="center"/>
    </xf>
    <xf numFmtId="0" fontId="127" fillId="24" borderId="141" xfId="17" applyFont="1" applyFill="1" applyBorder="1" applyAlignment="1">
      <alignment horizontal="center" vertical="center"/>
    </xf>
    <xf numFmtId="0" fontId="127" fillId="24" borderId="142" xfId="17" applyFont="1" applyFill="1" applyBorder="1" applyAlignment="1">
      <alignment horizontal="center" vertical="center"/>
    </xf>
    <xf numFmtId="0" fontId="127" fillId="24" borderId="98" xfId="17" applyFont="1" applyFill="1" applyBorder="1" applyAlignment="1">
      <alignment horizontal="center" vertical="center"/>
    </xf>
    <xf numFmtId="0" fontId="127" fillId="24" borderId="78" xfId="17" applyFont="1" applyFill="1" applyBorder="1" applyAlignment="1">
      <alignment horizontal="center" vertical="center"/>
    </xf>
    <xf numFmtId="0" fontId="127" fillId="24" borderId="99" xfId="17" applyFont="1" applyFill="1" applyBorder="1" applyAlignment="1">
      <alignment horizontal="center" vertical="center"/>
    </xf>
    <xf numFmtId="0" fontId="128" fillId="0" borderId="96" xfId="17" applyFont="1" applyBorder="1" applyAlignment="1">
      <alignment vertical="top" wrapText="1"/>
    </xf>
    <xf numFmtId="0" fontId="128" fillId="0" borderId="0" xfId="17" applyFont="1" applyBorder="1" applyAlignment="1">
      <alignment vertical="top" wrapText="1"/>
    </xf>
    <xf numFmtId="0" fontId="128" fillId="0" borderId="97" xfId="17" applyFont="1" applyBorder="1" applyAlignment="1">
      <alignment vertical="top" wrapText="1"/>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20" borderId="13" xfId="0" applyFont="1" applyFill="1" applyBorder="1" applyAlignment="1" applyProtection="1">
      <alignment horizontal="left" vertical="center" wrapText="1" indent="1"/>
    </xf>
    <xf numFmtId="0" fontId="58" fillId="20" borderId="21" xfId="0" applyFont="1" applyFill="1" applyBorder="1" applyAlignment="1">
      <alignment horizontal="left" vertical="center" wrapText="1" indent="1"/>
    </xf>
    <xf numFmtId="0" fontId="58" fillId="20" borderId="14" xfId="0" applyFont="1" applyFill="1" applyBorder="1" applyAlignment="1">
      <alignment horizontal="left" vertical="center" wrapText="1" indent="1"/>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102" fillId="24" borderId="0" xfId="18" applyFont="1" applyFill="1" applyAlignment="1">
      <alignment horizontal="center" vertical="center"/>
    </xf>
    <xf numFmtId="0" fontId="74" fillId="0" borderId="137"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5" fillId="0" borderId="141" xfId="18" applyFont="1" applyBorder="1" applyAlignment="1" applyProtection="1">
      <alignment horizontal="center" vertical="top" wrapText="1"/>
      <protection locked="0"/>
    </xf>
    <xf numFmtId="0" fontId="5" fillId="0" borderId="142" xfId="18" applyFont="1" applyBorder="1" applyAlignment="1" applyProtection="1">
      <alignment horizontal="center" vertical="top" wrapText="1"/>
      <protection locked="0"/>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50" fillId="0" borderId="141" xfId="18" applyFont="1" applyBorder="1" applyAlignment="1" applyProtection="1">
      <alignment horizontal="center" vertical="top" wrapText="1"/>
      <protection locked="0"/>
    </xf>
    <xf numFmtId="0" fontId="50" fillId="0" borderId="142"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63" fillId="0" borderId="5" xfId="3" quotePrefix="1" applyNumberFormat="1" applyFont="1" applyBorder="1" applyAlignment="1">
      <alignment horizontal="left" vertical="top" wrapText="1" indent="2"/>
    </xf>
    <xf numFmtId="0" fontId="63" fillId="0" borderId="0" xfId="3" quotePrefix="1" applyNumberFormat="1" applyFont="1" applyBorder="1" applyAlignment="1">
      <alignment horizontal="left" vertical="top" wrapText="1" indent="2"/>
    </xf>
    <xf numFmtId="0" fontId="63" fillId="0" borderId="0" xfId="3" applyNumberFormat="1" applyFont="1" applyBorder="1" applyAlignment="1">
      <alignment horizontal="left" vertical="top" wrapText="1" indent="2"/>
    </xf>
    <xf numFmtId="0" fontId="58" fillId="0" borderId="0" xfId="3" applyFont="1" applyAlignment="1">
      <alignment horizontal="left" vertical="top" wrapText="1" indent="2"/>
    </xf>
    <xf numFmtId="0" fontId="63" fillId="0" borderId="0" xfId="3" applyNumberFormat="1" applyFont="1" applyAlignment="1">
      <alignment horizontal="left" vertical="top" wrapText="1" indent="2"/>
    </xf>
    <xf numFmtId="0" fontId="56" fillId="0" borderId="20" xfId="3" applyNumberFormat="1" applyFont="1" applyBorder="1" applyAlignment="1">
      <alignment horizontal="left" vertical="center" indent="1"/>
    </xf>
    <xf numFmtId="0" fontId="56" fillId="0" borderId="20" xfId="3" applyNumberFormat="1" applyFont="1" applyBorder="1" applyAlignment="1">
      <alignment horizontal="left" vertical="center"/>
    </xf>
    <xf numFmtId="0" fontId="56" fillId="24" borderId="17" xfId="3" applyNumberFormat="1" applyFont="1" applyFill="1" applyBorder="1" applyAlignment="1">
      <alignment horizontal="left" vertical="top" wrapText="1"/>
    </xf>
    <xf numFmtId="0" fontId="56" fillId="24" borderId="0" xfId="3" applyFont="1" applyFill="1" applyBorder="1" applyAlignment="1">
      <alignment vertical="top"/>
    </xf>
    <xf numFmtId="0" fontId="56" fillId="24" borderId="18" xfId="3" applyFont="1" applyFill="1" applyBorder="1" applyAlignment="1">
      <alignment vertical="top"/>
    </xf>
    <xf numFmtId="166" fontId="56" fillId="0" borderId="21" xfId="3" applyNumberFormat="1" applyFont="1" applyBorder="1" applyAlignment="1">
      <alignment horizontal="left" vertical="center" indent="1"/>
    </xf>
    <xf numFmtId="0" fontId="65" fillId="0" borderId="19" xfId="3" applyNumberFormat="1" applyFont="1" applyBorder="1" applyAlignment="1">
      <alignment horizontal="center" vertical="center"/>
    </xf>
    <xf numFmtId="0" fontId="58" fillId="0" borderId="20" xfId="3" applyFont="1" applyBorder="1" applyAlignment="1">
      <alignment horizontal="center" vertical="center"/>
    </xf>
    <xf numFmtId="0" fontId="58" fillId="0" borderId="11" xfId="3" applyFont="1" applyBorder="1" applyAlignment="1">
      <alignment horizontal="center" vertical="center"/>
    </xf>
    <xf numFmtId="0" fontId="63"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5" fillId="0" borderId="21" xfId="3" applyNumberFormat="1" applyFont="1" applyBorder="1" applyAlignment="1">
      <alignment vertical="center"/>
    </xf>
    <xf numFmtId="0" fontId="65" fillId="0" borderId="14" xfId="3" applyNumberFormat="1" applyFont="1" applyBorder="1" applyAlignment="1">
      <alignment vertical="center"/>
    </xf>
    <xf numFmtId="0" fontId="74" fillId="0" borderId="133" xfId="3" applyFont="1" applyBorder="1" applyAlignment="1">
      <alignment horizontal="center" vertical="center" wrapText="1"/>
    </xf>
    <xf numFmtId="0" fontId="74" fillId="0" borderId="133" xfId="3" applyNumberFormat="1" applyFont="1" applyBorder="1" applyAlignment="1">
      <alignment horizontal="center"/>
    </xf>
    <xf numFmtId="0" fontId="58" fillId="0" borderId="134" xfId="3" applyNumberFormat="1" applyFont="1" applyBorder="1" applyAlignment="1" applyProtection="1">
      <alignment horizontal="center"/>
      <protection locked="0"/>
    </xf>
    <xf numFmtId="171" fontId="58" fillId="0" borderId="134" xfId="3" applyNumberFormat="1" applyFont="1" applyBorder="1" applyAlignment="1" applyProtection="1">
      <alignment horizontal="center"/>
      <protection locked="0"/>
    </xf>
    <xf numFmtId="0" fontId="58" fillId="0" borderId="134" xfId="3" applyNumberFormat="1" applyFont="1" applyBorder="1" applyAlignment="1" applyProtection="1">
      <alignment horizontal="center" vertical="center"/>
      <protection locked="0"/>
    </xf>
    <xf numFmtId="0" fontId="84" fillId="0" borderId="0" xfId="0" applyFont="1" applyAlignment="1">
      <alignment vertical="top" wrapText="1"/>
    </xf>
    <xf numFmtId="0" fontId="66" fillId="13" borderId="13" xfId="3" applyFont="1" applyFill="1" applyBorder="1" applyAlignment="1">
      <alignment horizontal="center" vertical="center" wrapText="1"/>
    </xf>
    <xf numFmtId="0" fontId="66" fillId="13" borderId="21" xfId="3" applyFont="1" applyFill="1" applyBorder="1" applyAlignment="1">
      <alignment horizontal="center" vertical="center" wrapText="1"/>
    </xf>
    <xf numFmtId="0" fontId="66" fillId="13" borderId="14" xfId="3" applyFont="1" applyFill="1" applyBorder="1" applyAlignment="1">
      <alignment horizontal="center" vertical="center" wrapText="1"/>
    </xf>
    <xf numFmtId="0" fontId="58" fillId="0" borderId="0" xfId="3" applyFont="1" applyBorder="1" applyAlignment="1">
      <alignment wrapText="1"/>
    </xf>
    <xf numFmtId="0" fontId="110" fillId="0" borderId="113"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0" fillId="0" borderId="117" xfId="3" applyFont="1" applyBorder="1" applyAlignment="1">
      <alignment horizontal="center" vertical="center" wrapText="1"/>
    </xf>
    <xf numFmtId="0" fontId="111" fillId="0" borderId="13" xfId="3" applyNumberFormat="1" applyFont="1" applyBorder="1" applyAlignment="1">
      <alignment vertical="top" wrapText="1"/>
    </xf>
    <xf numFmtId="0" fontId="111" fillId="0" borderId="21" xfId="3" applyNumberFormat="1" applyFont="1" applyBorder="1" applyAlignment="1">
      <alignment vertical="top" wrapText="1"/>
    </xf>
    <xf numFmtId="0" fontId="111" fillId="0" borderId="14" xfId="3" applyNumberFormat="1" applyFont="1" applyBorder="1" applyAlignment="1">
      <alignment vertical="top" wrapText="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Border="1" applyAlignment="1">
      <alignment vertical="top"/>
    </xf>
    <xf numFmtId="0" fontId="84" fillId="0" borderId="0" xfId="3" applyFont="1" applyBorder="1" applyAlignment="1">
      <alignment vertical="top"/>
    </xf>
    <xf numFmtId="0" fontId="84" fillId="0" borderId="40" xfId="3" applyFont="1" applyBorder="1" applyAlignment="1">
      <alignment vertical="top"/>
    </xf>
    <xf numFmtId="0" fontId="84" fillId="0" borderId="50" xfId="3" applyFont="1" applyBorder="1" applyAlignment="1">
      <alignment vertical="top"/>
    </xf>
    <xf numFmtId="0" fontId="84" fillId="0" borderId="9" xfId="3" applyFont="1" applyBorder="1" applyAlignment="1">
      <alignment vertical="top"/>
    </xf>
    <xf numFmtId="0" fontId="84" fillId="0" borderId="59" xfId="3" applyFont="1" applyBorder="1" applyAlignment="1">
      <alignment vertical="top"/>
    </xf>
    <xf numFmtId="0" fontId="113" fillId="13" borderId="125" xfId="0" applyFont="1" applyFill="1" applyBorder="1" applyAlignment="1">
      <alignment horizontal="center" vertical="center"/>
    </xf>
    <xf numFmtId="0" fontId="113" fillId="13" borderId="128" xfId="0" applyFont="1" applyFill="1" applyBorder="1" applyAlignment="1">
      <alignment horizontal="center" vertical="center"/>
    </xf>
    <xf numFmtId="0" fontId="113" fillId="13" borderId="153" xfId="0" applyFont="1" applyFill="1" applyBorder="1" applyAlignment="1">
      <alignment horizontal="center" vertical="center"/>
    </xf>
    <xf numFmtId="164" fontId="113" fillId="13" borderId="17" xfId="0" applyNumberFormat="1" applyFont="1" applyFill="1" applyBorder="1" applyAlignment="1">
      <alignment horizontal="center" vertical="center"/>
    </xf>
    <xf numFmtId="164" fontId="113" fillId="13" borderId="0" xfId="0" applyNumberFormat="1" applyFont="1" applyFill="1" applyBorder="1" applyAlignment="1">
      <alignment horizontal="center" vertical="center"/>
    </xf>
    <xf numFmtId="164" fontId="113" fillId="13" borderId="63" xfId="0" applyNumberFormat="1" applyFont="1" applyFill="1" applyBorder="1" applyAlignment="1">
      <alignment horizontal="center" vertical="center"/>
    </xf>
    <xf numFmtId="164" fontId="62" fillId="13" borderId="125" xfId="0" applyNumberFormat="1" applyFont="1" applyFill="1" applyBorder="1" applyAlignment="1">
      <alignment horizontal="center" vertical="top"/>
    </xf>
    <xf numFmtId="164" fontId="114" fillId="13" borderId="128" xfId="0" applyNumberFormat="1" applyFont="1" applyFill="1" applyBorder="1" applyAlignment="1">
      <alignment horizontal="center" vertical="top"/>
    </xf>
    <xf numFmtId="164" fontId="114" fillId="13" borderId="153"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8" xfId="0" applyNumberFormat="1" applyFont="1" applyBorder="1" applyAlignment="1">
      <alignment horizontal="left" vertical="center" wrapText="1"/>
    </xf>
    <xf numFmtId="0" fontId="58" fillId="0" borderId="126"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0" xfId="3" applyNumberFormat="1" applyFont="1" applyAlignment="1" applyProtection="1">
      <alignment horizontal="center" vertical="center"/>
    </xf>
    <xf numFmtId="0" fontId="56" fillId="0" borderId="146" xfId="3" applyNumberFormat="1" applyFont="1" applyBorder="1" applyProtection="1"/>
    <xf numFmtId="0" fontId="56" fillId="0" borderId="147"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5" xfId="3" applyNumberFormat="1" applyFont="1" applyBorder="1" applyAlignment="1" applyProtection="1">
      <alignment horizontal="left"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7" xfId="3" applyNumberFormat="1" applyFont="1" applyBorder="1" applyAlignment="1" applyProtection="1">
      <alignment horizontal="left" indent="1"/>
      <protection locked="0"/>
    </xf>
    <xf numFmtId="0" fontId="66" fillId="0" borderId="147" xfId="3" applyFont="1" applyBorder="1" applyAlignment="1" applyProtection="1">
      <alignment horizontal="left" indent="1"/>
      <protection locked="0"/>
    </xf>
    <xf numFmtId="0" fontId="66" fillId="0" borderId="148" xfId="3" applyFont="1" applyBorder="1" applyAlignment="1" applyProtection="1">
      <alignment horizontal="left" indent="1"/>
      <protection locked="0"/>
    </xf>
    <xf numFmtId="0" fontId="58" fillId="0" borderId="0" xfId="3" applyFont="1" applyAlignment="1">
      <alignment horizontal="center" vertical="center"/>
    </xf>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55"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3" fillId="0" borderId="0" xfId="3" applyFont="1" applyAlignment="1" applyProtection="1">
      <alignment horizontal="left" vertical="center" wrapText="1"/>
    </xf>
    <xf numFmtId="3" fontId="56" fillId="0" borderId="77" xfId="3" applyNumberFormat="1" applyFont="1" applyBorder="1" applyAlignment="1" applyProtection="1">
      <alignment horizontal="right" indent="1"/>
      <protection locked="0"/>
    </xf>
    <xf numFmtId="0" fontId="56" fillId="0" borderId="0" xfId="3" applyFont="1" applyBorder="1" applyAlignment="1" applyProtection="1">
      <alignment vertical="center" wrapText="1"/>
      <protection locked="0"/>
    </xf>
    <xf numFmtId="5" fontId="66" fillId="0" borderId="149" xfId="3" applyNumberFormat="1" applyFont="1" applyBorder="1" applyAlignment="1" applyProtection="1">
      <protection locked="0"/>
    </xf>
    <xf numFmtId="0" fontId="66" fillId="0" borderId="150" xfId="3" applyFont="1" applyBorder="1" applyAlignment="1" applyProtection="1">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55" fillId="0" borderId="78" xfId="3" applyFont="1" applyBorder="1" applyAlignment="1" applyProtection="1">
      <alignment horizont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165" fontId="66" fillId="0" borderId="0" xfId="3" applyNumberFormat="1" applyFont="1" applyAlignment="1" applyProtection="1">
      <alignment horizontal="center" vertic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66" fillId="0" borderId="0" xfId="3" applyNumberFormat="1" applyFont="1" applyAlignment="1">
      <alignment horizont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5" fillId="0" borderId="149"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50"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9" xfId="3" applyNumberFormat="1" applyFont="1" applyBorder="1" applyProtection="1">
      <protection locked="0"/>
    </xf>
    <xf numFmtId="6" fontId="63" fillId="0" borderId="150"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63" fillId="0" borderId="149"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50"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9" xfId="3" applyFont="1" applyBorder="1" applyAlignment="1" applyProtection="1">
      <alignment horizontal="center"/>
    </xf>
    <xf numFmtId="0" fontId="63" fillId="0" borderId="76" xfId="3" applyFont="1" applyBorder="1" applyAlignment="1" applyProtection="1">
      <alignment horizontal="center"/>
    </xf>
    <xf numFmtId="0" fontId="63" fillId="0" borderId="150" xfId="3" applyFont="1" applyBorder="1" applyAlignment="1" applyProtection="1">
      <alignment horizontal="center"/>
    </xf>
    <xf numFmtId="38" fontId="63" fillId="0" borderId="149"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50" xfId="3" applyNumberFormat="1" applyFont="1" applyBorder="1" applyAlignment="1" applyProtection="1">
      <alignment horizontal="right" vertic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4" xfId="3" applyFont="1" applyBorder="1" applyAlignment="1" applyProtection="1">
      <alignment horizontal="center" vertical="center" wrapText="1"/>
    </xf>
    <xf numFmtId="0" fontId="55" fillId="0" borderId="0" xfId="3" applyNumberFormat="1" applyFont="1" applyAlignment="1" applyProtection="1">
      <alignment horizontal="center" vertical="center" wrapText="1"/>
    </xf>
    <xf numFmtId="0" fontId="142" fillId="21" borderId="0" xfId="128" applyFont="1" applyFill="1" applyAlignment="1">
      <alignment horizontal="center" wrapText="1"/>
    </xf>
    <xf numFmtId="0" fontId="143" fillId="21" borderId="0" xfId="128" applyFont="1" applyFill="1" applyAlignment="1">
      <alignment horizontal="center" wrapText="1"/>
    </xf>
  </cellXfs>
  <cellStyles count="140">
    <cellStyle name="Comma" xfId="1" builtinId="3"/>
    <cellStyle name="Currency 2" xfId="21"/>
    <cellStyle name="Currency 2 2" xfId="22"/>
    <cellStyle name="Currency 2 2 2" xfId="23"/>
    <cellStyle name="Currency 2 2 2 2" xfId="24"/>
    <cellStyle name="Currency 2 2 2 2 2" xfId="25"/>
    <cellStyle name="Currency 2 2 2 3" xfId="26"/>
    <cellStyle name="Currency 2 2 3" xfId="27"/>
    <cellStyle name="Currency 2 2 3 2" xfId="28"/>
    <cellStyle name="Currency 2 2 4" xfId="29"/>
    <cellStyle name="Currency 2 3" xfId="30"/>
    <cellStyle name="Currency 2 3 2" xfId="31"/>
    <cellStyle name="Currency 2 3 2 2" xfId="32"/>
    <cellStyle name="Currency 2 3 3" xfId="33"/>
    <cellStyle name="Currency 2 4" xfId="34"/>
    <cellStyle name="Currency 2 4 2" xfId="35"/>
    <cellStyle name="Currency 2 5" xfId="36"/>
    <cellStyle name="Currency 3" xfId="37"/>
    <cellStyle name="Currency 3 2" xfId="38"/>
    <cellStyle name="Currency 3 2 2" xfId="39"/>
    <cellStyle name="Currency 3 2 2 2" xfId="40"/>
    <cellStyle name="Currency 3 2 2 2 2" xfId="41"/>
    <cellStyle name="Currency 3 2 2 3" xfId="42"/>
    <cellStyle name="Currency 3 2 3" xfId="43"/>
    <cellStyle name="Currency 3 2 3 2" xfId="44"/>
    <cellStyle name="Currency 3 2 4" xfId="45"/>
    <cellStyle name="Currency 3 3" xfId="46"/>
    <cellStyle name="Currency 3 3 2" xfId="47"/>
    <cellStyle name="Currency 3 3 2 2" xfId="48"/>
    <cellStyle name="Currency 3 3 3" xfId="49"/>
    <cellStyle name="Currency 3 4" xfId="50"/>
    <cellStyle name="Currency 3 4 2" xfId="51"/>
    <cellStyle name="Currency 3 5" xfId="52"/>
    <cellStyle name="Currency 4" xfId="53"/>
    <cellStyle name="Currency 4 2" xfId="54"/>
    <cellStyle name="Currency 4 2 2" xfId="55"/>
    <cellStyle name="Currency 4 2 2 2" xfId="56"/>
    <cellStyle name="Currency 4 2 3" xfId="57"/>
    <cellStyle name="Currency 4 3" xfId="58"/>
    <cellStyle name="Currency 4 3 2" xfId="59"/>
    <cellStyle name="Currency 4 4" xfId="60"/>
    <cellStyle name="Currency 5" xfId="61"/>
    <cellStyle name="Hyperlink" xfId="2" builtinId="8"/>
    <cellStyle name="Hyperlink 2" xfId="15"/>
    <cellStyle name="Normal" xfId="0" builtinId="0"/>
    <cellStyle name="Normal 10" xfId="128"/>
    <cellStyle name="Normal 2" xfId="3"/>
    <cellStyle name="Normal 3" xfId="4"/>
    <cellStyle name="Normal 3 2" xfId="14"/>
    <cellStyle name="Normal 3 2 2" xfId="18"/>
    <cellStyle name="Normal 3 2 2 2" xfId="62"/>
    <cellStyle name="Normal 3 2 2 2 2" xfId="63"/>
    <cellStyle name="Normal 3 2 2 3" xfId="64"/>
    <cellStyle name="Normal 3 2 2 4" xfId="126"/>
    <cellStyle name="Normal 3 2 2 5" xfId="133"/>
    <cellStyle name="Normal 3 2 2 6" xfId="139"/>
    <cellStyle name="Normal 3 2 3" xfId="65"/>
    <cellStyle name="Normal 3 2 3 2" xfId="66"/>
    <cellStyle name="Normal 3 2 4" xfId="67"/>
    <cellStyle name="Normal 3 2 5" xfId="123"/>
    <cellStyle name="Normal 3 2 6" xfId="130"/>
    <cellStyle name="Normal 3 2 7" xfId="136"/>
    <cellStyle name="Normal 3 3" xfId="68"/>
    <cellStyle name="Normal 3 3 2" xfId="69"/>
    <cellStyle name="Normal 3 3 2 2" xfId="70"/>
    <cellStyle name="Normal 3 3 3" xfId="71"/>
    <cellStyle name="Normal 3 3 4" xfId="127"/>
    <cellStyle name="Normal 3 3 5" xfId="134"/>
    <cellStyle name="Normal 3 4" xfId="72"/>
    <cellStyle name="Normal 3 4 2" xfId="73"/>
    <cellStyle name="Normal 3 4 3" xfId="125"/>
    <cellStyle name="Normal 3 4 4" xfId="132"/>
    <cellStyle name="Normal 3 5" xfId="74"/>
    <cellStyle name="Normal 3 6" xfId="122"/>
    <cellStyle name="Normal 3 7" xfId="129"/>
    <cellStyle name="Normal 3 8" xfId="135"/>
    <cellStyle name="Normal 4" xfId="16"/>
    <cellStyle name="Normal 4 2" xfId="75"/>
    <cellStyle name="Normal 4 2 2" xfId="76"/>
    <cellStyle name="Normal 4 2 2 2" xfId="77"/>
    <cellStyle name="Normal 4 2 2 2 2" xfId="78"/>
    <cellStyle name="Normal 4 2 2 3" xfId="79"/>
    <cellStyle name="Normal 4 2 3" xfId="80"/>
    <cellStyle name="Normal 4 2 3 2" xfId="81"/>
    <cellStyle name="Normal 4 2 4" xfId="82"/>
    <cellStyle name="Normal 4 3" xfId="83"/>
    <cellStyle name="Normal 4 3 2" xfId="84"/>
    <cellStyle name="Normal 4 3 2 2" xfId="85"/>
    <cellStyle name="Normal 4 3 3" xfId="86"/>
    <cellStyle name="Normal 4 4" xfId="87"/>
    <cellStyle name="Normal 4 4 2" xfId="88"/>
    <cellStyle name="Normal 4 5" xfId="89"/>
    <cellStyle name="Normal 4 6" xfId="124"/>
    <cellStyle name="Normal 4 7" xfId="131"/>
    <cellStyle name="Normal 4 8" xfId="137"/>
    <cellStyle name="Normal 5" xfId="17"/>
    <cellStyle name="Normal 5 2" xfId="90"/>
    <cellStyle name="Normal 5 2 2" xfId="91"/>
    <cellStyle name="Normal 5 2 2 2" xfId="92"/>
    <cellStyle name="Normal 5 2 3" xfId="93"/>
    <cellStyle name="Normal 5 3" xfId="94"/>
    <cellStyle name="Normal 5 3 2" xfId="95"/>
    <cellStyle name="Normal 5 4" xfId="96"/>
    <cellStyle name="Normal 5 5" xfId="138"/>
    <cellStyle name="Normal 6" xfId="20"/>
    <cellStyle name="Normal 6 2" xfId="97"/>
    <cellStyle name="Normal 6 2 2" xfId="98"/>
    <cellStyle name="Normal 6 3" xfId="99"/>
    <cellStyle name="Normal 7" xfId="19"/>
    <cellStyle name="Normal 7 2" xfId="100"/>
    <cellStyle name="Normal 7 2 2" xfId="101"/>
    <cellStyle name="Normal 7 3" xfId="102"/>
    <cellStyle name="Normal 8" xfId="103"/>
    <cellStyle name="Normal 8 2" xfId="104"/>
    <cellStyle name="Normal 9" xfId="105"/>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Percent 2" xfId="106"/>
    <cellStyle name="Percent 2 2" xfId="107"/>
    <cellStyle name="Percent 2 2 2" xfId="108"/>
    <cellStyle name="Percent 2 2 2 2" xfId="109"/>
    <cellStyle name="Percent 2 2 2 2 2" xfId="110"/>
    <cellStyle name="Percent 2 2 2 3" xfId="111"/>
    <cellStyle name="Percent 2 2 3" xfId="112"/>
    <cellStyle name="Percent 2 2 3 2" xfId="113"/>
    <cellStyle name="Percent 2 2 4" xfId="114"/>
    <cellStyle name="Percent 2 3" xfId="115"/>
    <cellStyle name="Percent 2 3 2" xfId="116"/>
    <cellStyle name="Percent 2 3 2 2" xfId="117"/>
    <cellStyle name="Percent 2 3 3" xfId="118"/>
    <cellStyle name="Percent 2 4" xfId="119"/>
    <cellStyle name="Percent 2 4 2" xfId="120"/>
    <cellStyle name="Percent 2 5" xfId="121"/>
  </cellStyles>
  <dxfs count="2">
    <dxf>
      <fill>
        <patternFill>
          <bgColor theme="5" tint="0.59996337778862885"/>
        </patternFill>
      </fill>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914400</xdr:colOff>
          <xdr:row>7</xdr:row>
          <xdr:rowOff>38100</xdr:rowOff>
        </xdr:to>
        <xdr:sp macro="" textlink="">
          <xdr:nvSpPr>
            <xdr:cNvPr id="31745" name="Object 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ateriality,%20IS,%20AR,%20RoE,%20and%20PPE%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Materiality"/>
      <sheetName val="Detail - Expense"/>
      <sheetName val="Individually Significant"/>
      <sheetName val="Trial Balance"/>
      <sheetName val="Analytical Review"/>
      <sheetName val="Reasonableness of Expenditure"/>
      <sheetName val="Post Employment Benefits"/>
      <sheetName val="PPE"/>
      <sheetName val="Materiality Backup"/>
    </sheetNames>
    <sheetDataSet>
      <sheetData sheetId="0" refreshError="1"/>
      <sheetData sheetId="1">
        <row r="6">
          <cell r="I6" t="str">
            <v>10E</v>
          </cell>
          <cell r="J6">
            <v>101112.46828</v>
          </cell>
        </row>
        <row r="7">
          <cell r="I7" t="str">
            <v>20E</v>
          </cell>
          <cell r="J7">
            <v>23859.371120000003</v>
          </cell>
        </row>
        <row r="8">
          <cell r="I8" t="str">
            <v>40E</v>
          </cell>
          <cell r="J8">
            <v>20929.269039999999</v>
          </cell>
        </row>
        <row r="9">
          <cell r="I9" t="str">
            <v>50E</v>
          </cell>
          <cell r="J9">
            <v>17472.9113</v>
          </cell>
        </row>
        <row r="10">
          <cell r="I10" t="str">
            <v>60E</v>
          </cell>
          <cell r="J10">
            <v>36537.469280000005</v>
          </cell>
        </row>
        <row r="11">
          <cell r="I11" t="str">
            <v>80E</v>
          </cell>
          <cell r="J11">
            <v>19692.131280000001</v>
          </cell>
        </row>
        <row r="12">
          <cell r="I12" t="str">
            <v>90E</v>
          </cell>
          <cell r="J12">
            <v>41365.85656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047" t="s">
        <v>424</v>
      </c>
      <c r="J1" s="2048"/>
      <c r="K1" s="2048"/>
      <c r="L1" s="2048"/>
      <c r="M1" s="2048"/>
      <c r="N1" s="2048"/>
      <c r="O1" s="2048"/>
      <c r="P1" s="2048"/>
      <c r="Q1" s="2048"/>
      <c r="R1" s="2048"/>
      <c r="S1" s="2048"/>
    </row>
    <row r="2" spans="1:28" ht="12" customHeight="1" x14ac:dyDescent="0.2">
      <c r="A2" s="47" t="s">
        <v>1683</v>
      </c>
      <c r="D2" s="48"/>
      <c r="I2" s="2049" t="s">
        <v>1035</v>
      </c>
      <c r="J2" s="2048"/>
      <c r="K2" s="2048"/>
      <c r="L2" s="2048"/>
      <c r="M2" s="2048"/>
      <c r="N2" s="2048"/>
      <c r="O2" s="2048"/>
      <c r="P2" s="2048"/>
      <c r="Q2" s="2048"/>
      <c r="R2" s="2048"/>
      <c r="S2" s="2048"/>
    </row>
    <row r="3" spans="1:28" ht="12" customHeight="1" x14ac:dyDescent="0.2">
      <c r="A3" s="155" t="s">
        <v>1684</v>
      </c>
      <c r="B3" s="156"/>
      <c r="C3" s="156"/>
      <c r="D3" s="157"/>
      <c r="I3" s="2049" t="s">
        <v>54</v>
      </c>
      <c r="J3" s="2048"/>
      <c r="K3" s="2048"/>
      <c r="L3" s="2048"/>
      <c r="M3" s="2048"/>
      <c r="N3" s="2048"/>
      <c r="O3" s="2048"/>
      <c r="P3" s="2048"/>
      <c r="Q3" s="2048"/>
      <c r="R3" s="2048"/>
      <c r="S3" s="2048"/>
    </row>
    <row r="4" spans="1:28" ht="12" customHeight="1" x14ac:dyDescent="0.2">
      <c r="A4" s="37"/>
      <c r="I4" s="2049" t="s">
        <v>544</v>
      </c>
      <c r="J4" s="2048"/>
      <c r="K4" s="2048"/>
      <c r="L4" s="2048"/>
      <c r="M4" s="2048"/>
      <c r="N4" s="2048"/>
      <c r="O4" s="2048"/>
      <c r="P4" s="2048"/>
      <c r="Q4" s="2048"/>
      <c r="R4" s="2048"/>
      <c r="S4" s="2048"/>
    </row>
    <row r="5" spans="1:28" ht="14.1" customHeight="1" x14ac:dyDescent="0.2">
      <c r="B5" s="104" t="s">
        <v>2089</v>
      </c>
      <c r="C5" s="26" t="s">
        <v>965</v>
      </c>
      <c r="D5" s="84"/>
      <c r="E5" s="84"/>
      <c r="H5" s="38"/>
      <c r="I5" s="2056" t="s">
        <v>700</v>
      </c>
      <c r="J5" s="2001"/>
      <c r="K5" s="2001"/>
      <c r="L5" s="2001"/>
      <c r="M5" s="2001"/>
      <c r="N5" s="2001"/>
      <c r="O5" s="2001"/>
      <c r="P5" s="2001"/>
      <c r="Q5" s="2001"/>
      <c r="R5" s="2001"/>
      <c r="S5" s="2001"/>
    </row>
    <row r="6" spans="1:28" ht="14.1" customHeight="1" x14ac:dyDescent="0.2">
      <c r="B6" s="104"/>
      <c r="C6" s="26" t="s">
        <v>966</v>
      </c>
      <c r="D6" s="84"/>
      <c r="E6" s="84"/>
      <c r="I6" s="2055" t="s">
        <v>937</v>
      </c>
      <c r="J6" s="2001"/>
      <c r="K6" s="2001"/>
      <c r="L6" s="2001"/>
      <c r="M6" s="2001"/>
      <c r="N6" s="2001"/>
      <c r="O6" s="2001"/>
      <c r="P6" s="2001"/>
      <c r="Q6" s="2001"/>
      <c r="R6" s="2001"/>
      <c r="S6" s="2001"/>
    </row>
    <row r="7" spans="1:28" ht="12.2" customHeight="1" x14ac:dyDescent="0.2">
      <c r="I7" s="2050">
        <v>43281</v>
      </c>
      <c r="J7" s="2051"/>
      <c r="K7" s="2051"/>
      <c r="L7" s="2051"/>
      <c r="M7" s="2051"/>
      <c r="N7" s="2051"/>
      <c r="O7" s="2051"/>
      <c r="P7" s="2051"/>
      <c r="Q7" s="2051"/>
      <c r="R7" s="2051"/>
      <c r="S7" s="2051"/>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52" t="s">
        <v>694</v>
      </c>
      <c r="J9" s="2053"/>
      <c r="K9" s="2053"/>
      <c r="L9" s="2053"/>
      <c r="M9" s="2053"/>
      <c r="N9" s="2053"/>
      <c r="O9" s="2053"/>
      <c r="P9" s="2053"/>
      <c r="Q9" s="2053"/>
      <c r="R9" s="2053"/>
      <c r="S9" s="2054"/>
      <c r="T9" s="1997" t="s">
        <v>553</v>
      </c>
      <c r="U9" s="1998"/>
      <c r="V9" s="1998"/>
      <c r="W9" s="1998"/>
      <c r="X9" s="1998"/>
      <c r="Y9" s="1998"/>
      <c r="Z9" s="1998"/>
      <c r="AA9" s="1999"/>
    </row>
    <row r="10" spans="1:28" ht="13.5" customHeight="1" x14ac:dyDescent="0.2">
      <c r="A10" s="2006" t="s">
        <v>695</v>
      </c>
      <c r="B10" s="2007"/>
      <c r="C10" s="2007"/>
      <c r="D10" s="2007"/>
      <c r="E10" s="2007"/>
      <c r="F10" s="2007"/>
      <c r="G10" s="2007"/>
      <c r="H10" s="2008"/>
      <c r="I10" s="29"/>
      <c r="J10" s="30"/>
      <c r="K10" s="28"/>
      <c r="R10" s="30"/>
      <c r="S10" s="30"/>
      <c r="T10" s="2000"/>
      <c r="U10" s="2001"/>
      <c r="V10" s="2001"/>
      <c r="W10" s="2001"/>
      <c r="X10" s="2001"/>
      <c r="Y10" s="2001"/>
      <c r="Z10" s="2001"/>
      <c r="AA10" s="2002"/>
    </row>
    <row r="11" spans="1:28" ht="14.25" customHeight="1" x14ac:dyDescent="0.2">
      <c r="A11" s="2009" t="s">
        <v>1011</v>
      </c>
      <c r="B11" s="2010"/>
      <c r="C11" s="2010"/>
      <c r="D11" s="2010"/>
      <c r="E11" s="2010"/>
      <c r="F11" s="2010"/>
      <c r="G11" s="2010"/>
      <c r="H11" s="2011"/>
      <c r="I11" s="27"/>
      <c r="J11" s="74"/>
      <c r="K11" s="27"/>
      <c r="O11" s="148" t="s">
        <v>2089</v>
      </c>
      <c r="P11" s="100" t="s">
        <v>210</v>
      </c>
      <c r="Q11" s="30"/>
      <c r="R11" s="28"/>
      <c r="S11" s="27"/>
      <c r="T11" s="2003"/>
      <c r="U11" s="2004"/>
      <c r="V11" s="2004"/>
      <c r="W11" s="2004"/>
      <c r="X11" s="2004"/>
      <c r="Y11" s="2004"/>
      <c r="Z11" s="2004"/>
      <c r="AA11" s="2005"/>
    </row>
    <row r="12" spans="1:28" ht="13.5" customHeight="1" x14ac:dyDescent="0.2">
      <c r="A12" s="85" t="s">
        <v>981</v>
      </c>
      <c r="B12" s="76"/>
      <c r="C12" s="76"/>
      <c r="D12" s="76"/>
      <c r="E12" s="76"/>
      <c r="F12" s="76"/>
      <c r="G12" s="76"/>
      <c r="H12" s="53"/>
      <c r="I12" s="29"/>
      <c r="J12" s="30"/>
      <c r="K12" s="28"/>
      <c r="O12" s="149"/>
      <c r="P12" s="100" t="s">
        <v>211</v>
      </c>
      <c r="Q12" s="74"/>
      <c r="R12" s="30"/>
      <c r="S12" s="30"/>
      <c r="T12" s="85" t="s">
        <v>282</v>
      </c>
      <c r="U12" s="51"/>
      <c r="V12" s="51"/>
      <c r="W12" s="51"/>
      <c r="X12" s="51"/>
      <c r="Y12" s="45"/>
      <c r="Z12" s="45"/>
      <c r="AA12" s="46"/>
    </row>
    <row r="13" spans="1:28" ht="13.5" customHeight="1" x14ac:dyDescent="0.2">
      <c r="A13" s="2017">
        <v>35050140017</v>
      </c>
      <c r="B13" s="2018"/>
      <c r="C13" s="2018"/>
      <c r="D13" s="2018"/>
      <c r="E13" s="2018"/>
      <c r="F13" s="2018"/>
      <c r="G13" s="2018"/>
      <c r="H13" s="2019"/>
      <c r="I13" s="31"/>
      <c r="J13" s="30"/>
      <c r="K13" s="28"/>
      <c r="L13" s="30"/>
      <c r="M13" s="30"/>
      <c r="N13" s="30"/>
      <c r="O13" s="30"/>
      <c r="P13" s="30"/>
      <c r="Q13" s="30"/>
      <c r="R13" s="30"/>
      <c r="S13" s="30"/>
      <c r="T13" s="2022" t="s">
        <v>2076</v>
      </c>
      <c r="U13" s="2023"/>
      <c r="V13" s="2023"/>
      <c r="W13" s="2023"/>
      <c r="X13" s="2023"/>
      <c r="Y13" s="2024"/>
      <c r="Z13" s="2024"/>
      <c r="AA13" s="2025"/>
    </row>
    <row r="14" spans="1:28" ht="14.1" customHeight="1" x14ac:dyDescent="0.2">
      <c r="A14" s="85" t="s">
        <v>736</v>
      </c>
      <c r="B14" s="76"/>
      <c r="C14" s="76"/>
      <c r="D14" s="76"/>
      <c r="E14" s="76"/>
      <c r="F14" s="76"/>
      <c r="G14" s="76"/>
      <c r="H14" s="53"/>
      <c r="I14" s="116"/>
      <c r="S14" s="48"/>
      <c r="T14" s="85" t="s">
        <v>1395</v>
      </c>
      <c r="U14" s="51"/>
      <c r="V14" s="51"/>
      <c r="W14" s="51"/>
      <c r="X14" s="51"/>
      <c r="Y14" s="45"/>
      <c r="Z14" s="45"/>
      <c r="AA14" s="46"/>
    </row>
    <row r="15" spans="1:28" ht="13.5" customHeight="1" x14ac:dyDescent="0.2">
      <c r="A15" s="2015" t="s">
        <v>2084</v>
      </c>
      <c r="B15" s="2020"/>
      <c r="C15" s="2020"/>
      <c r="D15" s="2020"/>
      <c r="E15" s="2020"/>
      <c r="F15" s="2020"/>
      <c r="G15" s="2020"/>
      <c r="H15" s="2021"/>
      <c r="T15" s="1983" t="s">
        <v>2083</v>
      </c>
      <c r="U15" s="1984"/>
      <c r="V15" s="1984"/>
      <c r="W15" s="1984"/>
      <c r="X15" s="1984"/>
      <c r="Y15" s="2026"/>
      <c r="Z15" s="2026"/>
      <c r="AA15" s="2027"/>
    </row>
    <row r="16" spans="1:28" ht="13.5" customHeight="1" x14ac:dyDescent="0.2">
      <c r="A16" s="85" t="s">
        <v>735</v>
      </c>
      <c r="B16" s="76"/>
      <c r="C16" s="76"/>
      <c r="D16" s="72"/>
      <c r="E16" s="72"/>
      <c r="F16" s="72"/>
      <c r="G16" s="72"/>
      <c r="H16" s="56"/>
      <c r="I16" s="68"/>
      <c r="J16" s="45"/>
      <c r="K16" s="45"/>
      <c r="L16" s="45"/>
      <c r="M16" s="45"/>
      <c r="N16" s="45"/>
      <c r="O16" s="45"/>
      <c r="P16" s="45"/>
      <c r="Q16" s="45"/>
      <c r="R16" s="45"/>
      <c r="S16" s="46"/>
      <c r="T16" s="85" t="s">
        <v>550</v>
      </c>
      <c r="U16" s="51"/>
      <c r="V16" s="51"/>
      <c r="W16" s="51"/>
      <c r="X16" s="51"/>
      <c r="Y16" s="45"/>
      <c r="Z16" s="73"/>
      <c r="AA16" s="46"/>
    </row>
    <row r="17" spans="1:27" ht="13.5" customHeight="1" x14ac:dyDescent="0.2">
      <c r="A17" s="1975" t="s">
        <v>2085</v>
      </c>
      <c r="B17" s="2045"/>
      <c r="C17" s="2045"/>
      <c r="D17" s="2045"/>
      <c r="E17" s="2045"/>
      <c r="F17" s="2045"/>
      <c r="G17" s="2045"/>
      <c r="H17" s="2046"/>
      <c r="T17" s="2032" t="s">
        <v>2077</v>
      </c>
      <c r="U17" s="2033"/>
      <c r="V17" s="2033"/>
      <c r="W17" s="2033"/>
      <c r="X17" s="2033"/>
      <c r="Y17" s="2033"/>
      <c r="Z17" s="2033"/>
      <c r="AA17" s="2034"/>
    </row>
    <row r="18" spans="1:27" ht="13.5" customHeight="1" x14ac:dyDescent="0.2">
      <c r="A18" s="85" t="s">
        <v>550</v>
      </c>
      <c r="B18" s="76"/>
      <c r="C18" s="72"/>
      <c r="D18" s="76"/>
      <c r="E18" s="76"/>
      <c r="F18" s="76"/>
      <c r="G18" s="76"/>
      <c r="H18" s="56"/>
      <c r="I18" s="2042" t="s">
        <v>696</v>
      </c>
      <c r="J18" s="2043"/>
      <c r="K18" s="2043"/>
      <c r="L18" s="2043"/>
      <c r="M18" s="2043"/>
      <c r="N18" s="2043"/>
      <c r="O18" s="2043"/>
      <c r="P18" s="2043"/>
      <c r="Q18" s="2043"/>
      <c r="R18" s="2043"/>
      <c r="S18" s="2044"/>
      <c r="T18" s="85" t="s">
        <v>734</v>
      </c>
      <c r="U18" s="51"/>
      <c r="V18" s="72"/>
      <c r="W18" s="50"/>
      <c r="X18" s="85" t="s">
        <v>283</v>
      </c>
      <c r="Y18" s="81"/>
      <c r="Z18" s="159" t="s">
        <v>697</v>
      </c>
      <c r="AA18" s="46"/>
    </row>
    <row r="19" spans="1:27" ht="13.5" customHeight="1" x14ac:dyDescent="0.2">
      <c r="A19" s="2015" t="s">
        <v>2086</v>
      </c>
      <c r="B19" s="2016"/>
      <c r="C19" s="2016"/>
      <c r="D19" s="2016"/>
      <c r="E19" s="2016"/>
      <c r="F19" s="2016"/>
      <c r="G19" s="2016"/>
      <c r="H19" s="2014"/>
      <c r="I19" s="30"/>
      <c r="J19" s="99"/>
      <c r="K19" s="40"/>
      <c r="L19" s="38"/>
      <c r="M19" s="112" t="s">
        <v>332</v>
      </c>
      <c r="P19" s="27"/>
      <c r="Q19" s="27"/>
      <c r="R19" s="27"/>
      <c r="S19" s="31"/>
      <c r="T19" s="2015" t="s">
        <v>2078</v>
      </c>
      <c r="U19" s="2013"/>
      <c r="V19" s="2013"/>
      <c r="W19" s="2014"/>
      <c r="X19" s="2030" t="s">
        <v>2079</v>
      </c>
      <c r="Y19" s="2031"/>
      <c r="Z19" s="2028">
        <v>61350</v>
      </c>
      <c r="AA19" s="2029"/>
    </row>
    <row r="20" spans="1:27" ht="13.5" customHeight="1" x14ac:dyDescent="0.2">
      <c r="A20" s="86" t="s">
        <v>734</v>
      </c>
      <c r="B20" s="58"/>
      <c r="C20" s="58"/>
      <c r="D20" s="58"/>
      <c r="E20" s="58"/>
      <c r="F20" s="58"/>
      <c r="G20" s="58"/>
      <c r="H20" s="62"/>
      <c r="M20" s="111"/>
      <c r="N20" s="28"/>
      <c r="P20" s="28"/>
      <c r="Q20" s="28"/>
      <c r="R20" s="28"/>
      <c r="T20" s="85" t="s">
        <v>284</v>
      </c>
      <c r="U20" s="51"/>
      <c r="V20" s="72"/>
      <c r="W20" s="51"/>
      <c r="X20" s="160" t="s">
        <v>983</v>
      </c>
      <c r="Z20" s="45"/>
      <c r="AA20" s="46"/>
    </row>
    <row r="21" spans="1:27" ht="13.5" customHeight="1" x14ac:dyDescent="0.2">
      <c r="A21" s="2012" t="s">
        <v>2078</v>
      </c>
      <c r="B21" s="2013"/>
      <c r="C21" s="2013"/>
      <c r="D21" s="2013"/>
      <c r="E21" s="2013"/>
      <c r="F21" s="2013"/>
      <c r="G21" s="2013"/>
      <c r="H21" s="2014"/>
      <c r="I21" s="2038" t="s">
        <v>698</v>
      </c>
      <c r="J21" s="2001"/>
      <c r="K21" s="2001"/>
      <c r="L21" s="2001"/>
      <c r="M21" s="2001"/>
      <c r="N21" s="2001"/>
      <c r="O21" s="2001"/>
      <c r="P21" s="2001"/>
      <c r="Q21" s="2001"/>
      <c r="R21" s="2001"/>
      <c r="S21" s="2002"/>
      <c r="T21" s="1980" t="s">
        <v>2080</v>
      </c>
      <c r="U21" s="1981"/>
      <c r="V21" s="1981"/>
      <c r="W21" s="1981"/>
      <c r="X21" s="1994" t="s">
        <v>2081</v>
      </c>
      <c r="Y21" s="1995"/>
      <c r="Z21" s="1995"/>
      <c r="AA21" s="1996"/>
    </row>
    <row r="22" spans="1:27" ht="13.5" customHeight="1" x14ac:dyDescent="0.2">
      <c r="A22" s="87" t="s">
        <v>551</v>
      </c>
      <c r="B22" s="59"/>
      <c r="C22" s="59"/>
      <c r="D22" s="59"/>
      <c r="E22" s="59"/>
      <c r="F22" s="59"/>
      <c r="G22" s="59"/>
      <c r="H22" s="60"/>
      <c r="I22" s="2039" t="s">
        <v>1503</v>
      </c>
      <c r="J22" s="2040"/>
      <c r="K22" s="2040"/>
      <c r="L22" s="2040"/>
      <c r="M22" s="2040"/>
      <c r="N22" s="2040"/>
      <c r="O22" s="2040"/>
      <c r="P22" s="2040"/>
      <c r="Q22" s="2040"/>
      <c r="R22" s="2040"/>
      <c r="S22" s="2041"/>
      <c r="T22" s="85" t="s">
        <v>1595</v>
      </c>
      <c r="U22" s="51"/>
      <c r="V22" s="72"/>
      <c r="W22" s="51"/>
      <c r="X22" s="160" t="s">
        <v>1384</v>
      </c>
      <c r="Z22" s="45"/>
      <c r="AA22" s="46"/>
    </row>
    <row r="23" spans="1:27" ht="13.5" customHeight="1" x14ac:dyDescent="0.2">
      <c r="A23" s="2035"/>
      <c r="B23" s="2036"/>
      <c r="C23" s="2036"/>
      <c r="D23" s="2036"/>
      <c r="E23" s="2036"/>
      <c r="F23" s="2036"/>
      <c r="G23" s="2036"/>
      <c r="H23" s="2037"/>
      <c r="T23" s="1975" t="s">
        <v>3452</v>
      </c>
      <c r="U23" s="1976"/>
      <c r="V23" s="1976"/>
      <c r="W23" s="1976"/>
      <c r="X23" s="1991">
        <v>43466</v>
      </c>
      <c r="Y23" s="1992"/>
      <c r="Z23" s="1992"/>
      <c r="AA23" s="1993"/>
    </row>
    <row r="24" spans="1:27" ht="14.1" customHeight="1" x14ac:dyDescent="0.2">
      <c r="A24" s="88" t="s">
        <v>697</v>
      </c>
      <c r="B24" s="49"/>
      <c r="C24" s="49"/>
      <c r="D24" s="49"/>
      <c r="E24" s="49"/>
      <c r="F24" s="49"/>
      <c r="G24" s="49"/>
      <c r="H24" s="61"/>
      <c r="J24" s="2077">
        <f>IF(B5="x",IF(AUDITCHECK!D29="AFR form Incomplete.","",IF(AUDITCHECK!D29="Deficit reduction plan is required.","School District must complete a deficit reduction plan in the 2018-2019 Budget",)),"")</f>
        <v>0</v>
      </c>
      <c r="K24" s="2077"/>
      <c r="L24" s="2077"/>
      <c r="M24" s="2077"/>
      <c r="N24" s="2077"/>
      <c r="O24" s="2077"/>
      <c r="P24" s="2077"/>
      <c r="Q24" s="2077"/>
      <c r="R24" s="2077"/>
      <c r="S24" s="2078"/>
      <c r="T24" s="105" t="s">
        <v>551</v>
      </c>
      <c r="U24" s="106"/>
      <c r="V24" s="106"/>
      <c r="W24" s="106"/>
      <c r="X24" s="107"/>
      <c r="Y24" s="107"/>
      <c r="Z24" s="107"/>
      <c r="AA24" s="108"/>
    </row>
    <row r="25" spans="1:27" ht="14.1" customHeight="1" x14ac:dyDescent="0.2">
      <c r="A25" s="2012">
        <v>61350</v>
      </c>
      <c r="B25" s="2013"/>
      <c r="C25" s="2013"/>
      <c r="D25" s="2013"/>
      <c r="E25" s="2013"/>
      <c r="F25" s="2013"/>
      <c r="G25" s="2013"/>
      <c r="H25" s="2014"/>
      <c r="I25" s="113"/>
      <c r="J25" s="2079"/>
      <c r="K25" s="2079"/>
      <c r="L25" s="2079"/>
      <c r="M25" s="2079"/>
      <c r="N25" s="2079"/>
      <c r="O25" s="2079"/>
      <c r="P25" s="2079"/>
      <c r="Q25" s="2079"/>
      <c r="R25" s="2079"/>
      <c r="S25" s="2080"/>
      <c r="T25" s="1972" t="s">
        <v>2082</v>
      </c>
      <c r="U25" s="1973"/>
      <c r="V25" s="1973"/>
      <c r="W25" s="1973"/>
      <c r="X25" s="1973"/>
      <c r="Y25" s="1973"/>
      <c r="Z25" s="1973"/>
      <c r="AA25" s="197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1223</v>
      </c>
      <c r="D27" s="119"/>
      <c r="E27" s="119"/>
      <c r="I27" s="2070" t="s">
        <v>1590</v>
      </c>
      <c r="J27" s="2043"/>
      <c r="K27" s="2043"/>
      <c r="L27" s="2043"/>
      <c r="M27" s="2043"/>
      <c r="N27" s="2043"/>
      <c r="O27" s="2043"/>
      <c r="P27" s="2043"/>
      <c r="Q27" s="2043"/>
      <c r="R27" s="2043"/>
      <c r="S27" s="2044"/>
      <c r="T27" s="130"/>
      <c r="U27" s="131"/>
      <c r="V27" s="131"/>
      <c r="W27" s="131"/>
      <c r="X27" s="131"/>
      <c r="Y27" s="131"/>
      <c r="Z27" s="131"/>
      <c r="AA27" s="132"/>
    </row>
    <row r="28" spans="1:27" ht="14.1" customHeight="1" x14ac:dyDescent="0.2">
      <c r="A28" s="152"/>
      <c r="B28" s="114"/>
      <c r="C28" s="118" t="s">
        <v>1224</v>
      </c>
      <c r="D28" s="114"/>
      <c r="E28" s="114"/>
      <c r="F28" s="114"/>
      <c r="G28" s="114"/>
      <c r="I28" s="116"/>
      <c r="S28" s="48"/>
      <c r="T28" s="130"/>
      <c r="U28" s="131"/>
      <c r="V28" s="131"/>
      <c r="W28" s="133" t="s">
        <v>1107</v>
      </c>
      <c r="X28" s="131"/>
      <c r="Y28" s="131"/>
      <c r="Z28" s="131"/>
      <c r="AA28" s="132"/>
    </row>
    <row r="29" spans="1:27" ht="14.1" customHeight="1" x14ac:dyDescent="0.2">
      <c r="A29" s="152"/>
      <c r="B29" s="136"/>
      <c r="C29" s="124" t="s">
        <v>873</v>
      </c>
      <c r="D29" s="114"/>
      <c r="E29" s="136"/>
      <c r="F29" s="141" t="s">
        <v>1382</v>
      </c>
      <c r="G29" s="114"/>
      <c r="I29" s="54"/>
      <c r="J29" s="102"/>
      <c r="K29" s="28" t="s">
        <v>596</v>
      </c>
      <c r="L29" s="102" t="s">
        <v>2089</v>
      </c>
      <c r="M29" s="40" t="s">
        <v>101</v>
      </c>
      <c r="N29" s="32" t="s">
        <v>1603</v>
      </c>
      <c r="O29" s="32"/>
      <c r="P29" s="32"/>
      <c r="Q29" s="32"/>
      <c r="R29" s="32"/>
      <c r="S29" s="123"/>
      <c r="T29" s="6"/>
      <c r="U29" s="6"/>
      <c r="V29" s="6"/>
      <c r="W29" s="6"/>
      <c r="X29" s="6"/>
      <c r="Y29" s="6"/>
      <c r="Z29" s="6"/>
      <c r="AA29" s="132"/>
    </row>
    <row r="30" spans="1:27" ht="13.5" customHeight="1" x14ac:dyDescent="0.2">
      <c r="A30" s="153"/>
      <c r="B30" s="136" t="s">
        <v>2089</v>
      </c>
      <c r="C30" s="124" t="s">
        <v>1225</v>
      </c>
      <c r="D30" s="28"/>
      <c r="E30" s="28"/>
      <c r="F30" s="140"/>
      <c r="G30" s="114"/>
      <c r="H30" s="114"/>
      <c r="I30" s="54"/>
      <c r="J30" s="102"/>
      <c r="K30" s="28" t="s">
        <v>596</v>
      </c>
      <c r="L30" s="102" t="s">
        <v>2089</v>
      </c>
      <c r="M30" s="40" t="s">
        <v>101</v>
      </c>
      <c r="N30" s="32" t="s">
        <v>1591</v>
      </c>
      <c r="O30" s="32"/>
      <c r="P30" s="32"/>
      <c r="Q30" s="32"/>
      <c r="R30" s="32"/>
      <c r="S30" s="55"/>
      <c r="T30" s="6"/>
      <c r="U30" s="6"/>
      <c r="V30" s="6"/>
      <c r="W30" s="6"/>
      <c r="X30" s="6"/>
      <c r="Y30" s="6"/>
      <c r="Z30" s="6"/>
      <c r="AA30" s="48"/>
    </row>
    <row r="31" spans="1:27" ht="13.5" customHeight="1" x14ac:dyDescent="0.2">
      <c r="A31" s="153"/>
      <c r="B31" s="136"/>
      <c r="C31" s="124" t="s">
        <v>1226</v>
      </c>
      <c r="D31" s="28"/>
      <c r="E31" s="28"/>
      <c r="F31" s="28"/>
      <c r="G31" s="28"/>
      <c r="H31" s="28"/>
      <c r="I31" s="54"/>
      <c r="J31" s="102"/>
      <c r="K31" s="40" t="s">
        <v>939</v>
      </c>
      <c r="L31" s="102"/>
      <c r="M31" s="40" t="s">
        <v>101</v>
      </c>
      <c r="N31" s="32" t="s">
        <v>1681</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562</v>
      </c>
      <c r="D34" s="31"/>
      <c r="E34" s="31"/>
      <c r="F34" s="31"/>
      <c r="G34" s="31"/>
      <c r="H34" s="31"/>
      <c r="I34" s="54"/>
      <c r="J34" s="83"/>
      <c r="L34" s="101"/>
      <c r="M34" s="93" t="s">
        <v>730</v>
      </c>
      <c r="N34" s="30"/>
      <c r="O34" s="30"/>
      <c r="P34" s="30"/>
      <c r="Q34" s="30"/>
      <c r="R34" s="30"/>
      <c r="S34" s="55"/>
      <c r="T34" s="30"/>
      <c r="U34" s="102"/>
      <c r="V34" s="32" t="s">
        <v>435</v>
      </c>
      <c r="W34" s="30"/>
      <c r="X34" s="30"/>
      <c r="AA34" s="48"/>
    </row>
    <row r="35" spans="1:27" ht="13.5" customHeight="1" x14ac:dyDescent="0.2">
      <c r="A35" s="54"/>
      <c r="B35" s="30"/>
      <c r="C35" s="30"/>
      <c r="D35" s="34"/>
      <c r="E35" s="34"/>
      <c r="F35" s="34"/>
      <c r="G35" s="34"/>
      <c r="H35" s="34"/>
      <c r="I35" s="54"/>
      <c r="J35" s="33"/>
      <c r="L35" s="32" t="s">
        <v>731</v>
      </c>
      <c r="N35" s="33"/>
      <c r="O35" s="33"/>
      <c r="P35" s="2016"/>
      <c r="Q35" s="2013"/>
      <c r="R35" s="201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726</v>
      </c>
      <c r="B37" s="76"/>
      <c r="C37" s="76"/>
      <c r="D37" s="76"/>
      <c r="E37" s="76"/>
      <c r="F37" s="78"/>
      <c r="G37" s="76"/>
      <c r="H37" s="56"/>
      <c r="I37" s="85" t="s">
        <v>498</v>
      </c>
      <c r="J37" s="126"/>
      <c r="K37" s="126"/>
      <c r="L37" s="126"/>
      <c r="M37" s="126"/>
      <c r="N37" s="126"/>
      <c r="O37" s="126"/>
      <c r="P37" s="75"/>
      <c r="Q37" s="79"/>
      <c r="R37" s="67"/>
      <c r="S37" s="56"/>
      <c r="T37" s="91" t="s">
        <v>434</v>
      </c>
      <c r="U37" s="92"/>
      <c r="V37" s="92"/>
      <c r="W37" s="92"/>
      <c r="X37" s="78"/>
      <c r="Y37" s="77"/>
      <c r="Z37" s="45"/>
      <c r="AA37" s="46"/>
    </row>
    <row r="38" spans="1:27" ht="13.5" customHeight="1" x14ac:dyDescent="0.2">
      <c r="A38" s="1975" t="s">
        <v>2087</v>
      </c>
      <c r="B38" s="2045"/>
      <c r="C38" s="2045"/>
      <c r="D38" s="2045"/>
      <c r="E38" s="2045"/>
      <c r="F38" s="2013"/>
      <c r="G38" s="2013"/>
      <c r="H38" s="2014"/>
      <c r="I38" s="2064"/>
      <c r="J38" s="1984"/>
      <c r="K38" s="1984"/>
      <c r="L38" s="1984"/>
      <c r="M38" s="1984"/>
      <c r="N38" s="1984"/>
      <c r="O38" s="1984"/>
      <c r="P38" s="1985"/>
      <c r="Q38" s="1985"/>
      <c r="R38" s="1985"/>
      <c r="S38" s="1986"/>
      <c r="T38" s="1983"/>
      <c r="U38" s="1984"/>
      <c r="V38" s="1984"/>
      <c r="W38" s="1984"/>
      <c r="X38" s="1985"/>
      <c r="Y38" s="1985"/>
      <c r="Z38" s="1985"/>
      <c r="AA38" s="1986"/>
    </row>
    <row r="39" spans="1:27" ht="12" customHeight="1" x14ac:dyDescent="0.2">
      <c r="A39" s="2068" t="s">
        <v>551</v>
      </c>
      <c r="B39" s="2069"/>
      <c r="C39" s="72"/>
      <c r="D39" s="69"/>
      <c r="E39" s="69"/>
      <c r="F39" s="79"/>
      <c r="G39" s="69"/>
      <c r="H39" s="56"/>
      <c r="I39" s="2068" t="s">
        <v>551</v>
      </c>
      <c r="J39" s="2069"/>
      <c r="K39" s="2069"/>
      <c r="L39" s="2069"/>
      <c r="M39" s="2069"/>
      <c r="N39" s="67"/>
      <c r="O39" s="72"/>
      <c r="P39" s="72"/>
      <c r="Q39" s="78"/>
      <c r="R39" s="72"/>
      <c r="S39" s="56"/>
      <c r="T39" s="72" t="s">
        <v>551</v>
      </c>
      <c r="U39" s="51"/>
      <c r="V39" s="72"/>
      <c r="W39" s="50"/>
      <c r="X39" s="78"/>
      <c r="Y39" s="45"/>
      <c r="Z39" s="45"/>
      <c r="AA39" s="46"/>
    </row>
    <row r="40" spans="1:27" ht="13.5" customHeight="1" x14ac:dyDescent="0.2">
      <c r="A40" s="2071" t="s">
        <v>2088</v>
      </c>
      <c r="B40" s="2072"/>
      <c r="C40" s="2073"/>
      <c r="D40" s="2073"/>
      <c r="E40" s="2073"/>
      <c r="F40" s="2074"/>
      <c r="G40" s="2074"/>
      <c r="H40" s="2075"/>
      <c r="I40" s="1987"/>
      <c r="J40" s="1989"/>
      <c r="K40" s="1989"/>
      <c r="L40" s="1989"/>
      <c r="M40" s="1989"/>
      <c r="N40" s="1989"/>
      <c r="O40" s="1989"/>
      <c r="P40" s="1989"/>
      <c r="Q40" s="1989"/>
      <c r="R40" s="1989"/>
      <c r="S40" s="1990"/>
      <c r="T40" s="1987"/>
      <c r="U40" s="1988"/>
      <c r="V40" s="1989"/>
      <c r="W40" s="1989"/>
      <c r="X40" s="1989"/>
      <c r="Y40" s="1989"/>
      <c r="Z40" s="1989"/>
      <c r="AA40" s="1990"/>
    </row>
    <row r="41" spans="1:27" ht="11.45" customHeight="1" x14ac:dyDescent="0.2">
      <c r="A41" s="89" t="s">
        <v>982</v>
      </c>
      <c r="B41" s="76"/>
      <c r="C41" s="76"/>
      <c r="D41" s="85" t="s">
        <v>983</v>
      </c>
      <c r="E41" s="72"/>
      <c r="F41" s="78"/>
      <c r="G41" s="76"/>
      <c r="H41" s="71"/>
      <c r="I41" s="90" t="s">
        <v>982</v>
      </c>
      <c r="J41" s="32"/>
      <c r="K41" s="31"/>
      <c r="L41" s="31"/>
      <c r="M41" s="31"/>
      <c r="N41" s="31"/>
      <c r="O41" s="31"/>
      <c r="P41" s="85" t="s">
        <v>983</v>
      </c>
      <c r="Q41" s="32"/>
      <c r="R41" s="31"/>
      <c r="S41" s="70"/>
      <c r="T41" s="72" t="s">
        <v>982</v>
      </c>
      <c r="U41" s="76"/>
      <c r="V41" s="76"/>
      <c r="W41" s="76"/>
      <c r="X41" s="85" t="s">
        <v>983</v>
      </c>
      <c r="Y41" s="80"/>
      <c r="Z41" s="81"/>
      <c r="AA41" s="82"/>
    </row>
    <row r="42" spans="1:27" ht="13.5" customHeight="1" x14ac:dyDescent="0.2">
      <c r="A42" s="2061"/>
      <c r="B42" s="2062"/>
      <c r="C42" s="2063"/>
      <c r="D42" s="2076"/>
      <c r="E42" s="2062"/>
      <c r="F42" s="2062"/>
      <c r="G42" s="2062"/>
      <c r="H42" s="2063"/>
      <c r="I42" s="1982"/>
      <c r="J42" s="1978"/>
      <c r="K42" s="1978"/>
      <c r="L42" s="1978"/>
      <c r="M42" s="1978"/>
      <c r="N42" s="1978"/>
      <c r="O42" s="1979"/>
      <c r="P42" s="1977"/>
      <c r="Q42" s="1978"/>
      <c r="R42" s="1978"/>
      <c r="S42" s="1979"/>
      <c r="T42" s="1982"/>
      <c r="U42" s="1978"/>
      <c r="V42" s="1978"/>
      <c r="W42" s="1979"/>
      <c r="X42" s="1977"/>
      <c r="Y42" s="1978"/>
      <c r="Z42" s="1978"/>
      <c r="AA42" s="1979"/>
    </row>
    <row r="43" spans="1:27" x14ac:dyDescent="0.2">
      <c r="A43" s="85" t="s">
        <v>984</v>
      </c>
      <c r="B43" s="76"/>
      <c r="C43" s="76"/>
      <c r="D43" s="76"/>
      <c r="E43" s="76"/>
      <c r="F43" s="76"/>
      <c r="G43" s="76"/>
      <c r="H43" s="53"/>
      <c r="I43" s="72" t="s">
        <v>984</v>
      </c>
      <c r="J43" s="76"/>
      <c r="K43" s="76"/>
      <c r="L43" s="76"/>
      <c r="M43" s="76"/>
      <c r="N43" s="76"/>
      <c r="O43" s="76"/>
      <c r="P43" s="76"/>
      <c r="Q43" s="76"/>
      <c r="R43" s="76"/>
      <c r="S43" s="53"/>
      <c r="T43" s="50" t="s">
        <v>984</v>
      </c>
      <c r="U43" s="51"/>
      <c r="V43" s="51"/>
      <c r="W43" s="51"/>
      <c r="X43" s="51"/>
      <c r="Y43" s="45"/>
      <c r="Z43" s="45"/>
      <c r="AA43" s="46"/>
    </row>
    <row r="44" spans="1:27" ht="13.5" customHeight="1" x14ac:dyDescent="0.2">
      <c r="A44" s="2065"/>
      <c r="B44" s="2066"/>
      <c r="C44" s="2066"/>
      <c r="D44" s="2066"/>
      <c r="E44" s="2066"/>
      <c r="F44" s="2066"/>
      <c r="G44" s="2066"/>
      <c r="H44" s="2067"/>
      <c r="I44" s="2057"/>
      <c r="J44" s="2059"/>
      <c r="K44" s="2059"/>
      <c r="L44" s="2059"/>
      <c r="M44" s="2059"/>
      <c r="N44" s="2059"/>
      <c r="O44" s="2059"/>
      <c r="P44" s="2059"/>
      <c r="Q44" s="2059"/>
      <c r="R44" s="2059"/>
      <c r="S44" s="2060"/>
      <c r="T44" s="2057"/>
      <c r="U44" s="2058"/>
      <c r="V44" s="2058"/>
      <c r="W44" s="2058"/>
      <c r="X44" s="2058"/>
      <c r="Y44" s="2058"/>
      <c r="Z44" s="2059"/>
      <c r="AA44" s="2060"/>
    </row>
    <row r="45" spans="1:27" ht="13.5" customHeight="1" x14ac:dyDescent="0.2">
      <c r="A45" s="41" t="s">
        <v>195</v>
      </c>
      <c r="Q45" s="41" t="s">
        <v>1490</v>
      </c>
      <c r="R45" s="41"/>
      <c r="S45" s="41"/>
      <c r="T45" s="147"/>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7"/>
      <c r="Q47" s="41" t="s">
        <v>2066</v>
      </c>
      <c r="R47" s="41"/>
      <c r="S47" s="41"/>
      <c r="T47" s="41"/>
      <c r="U47" s="41"/>
      <c r="V47" s="41"/>
      <c r="W47" s="41"/>
      <c r="X47" s="41"/>
      <c r="Y47" s="41"/>
      <c r="Z47" s="41"/>
      <c r="AA47" s="41"/>
    </row>
    <row r="48" spans="1:27" x14ac:dyDescent="0.2">
      <c r="Q48" s="41" t="s">
        <v>2067</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6"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P51" sqref="P51:P52"/>
    </sheetView>
  </sheetViews>
  <sheetFormatPr defaultColWidth="9.140625" defaultRowHeight="12.75" x14ac:dyDescent="0.2"/>
  <cols>
    <col min="1" max="1" width="41.42578125" style="252" customWidth="1"/>
    <col min="2" max="3" width="17.7109375" style="704" customWidth="1"/>
    <col min="4" max="5" width="17.7109375" style="705"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6" t="s">
        <v>106</v>
      </c>
    </row>
    <row r="2" spans="1:6" ht="39.75" customHeight="1" x14ac:dyDescent="0.2">
      <c r="A2" s="2214" t="s">
        <v>1904</v>
      </c>
      <c r="B2" s="1540" t="s">
        <v>2036</v>
      </c>
      <c r="C2" s="706" t="s">
        <v>1909</v>
      </c>
      <c r="D2" s="706" t="s">
        <v>1910</v>
      </c>
      <c r="E2" s="706" t="s">
        <v>1911</v>
      </c>
      <c r="F2" s="706" t="s">
        <v>1912</v>
      </c>
    </row>
    <row r="3" spans="1:6" ht="12" customHeight="1" x14ac:dyDescent="0.2">
      <c r="A3" s="2215"/>
      <c r="B3" s="1537"/>
      <c r="C3" s="1538"/>
      <c r="D3" s="1539" t="s">
        <v>274</v>
      </c>
      <c r="E3" s="1538"/>
      <c r="F3" s="1539" t="s">
        <v>275</v>
      </c>
    </row>
    <row r="4" spans="1:6" ht="13.7" customHeight="1" x14ac:dyDescent="0.2">
      <c r="A4" s="707" t="s">
        <v>1216</v>
      </c>
      <c r="B4" s="1761">
        <f>'Revenues 9-14'!C5</f>
        <v>7084481</v>
      </c>
      <c r="C4" s="1536"/>
      <c r="D4" s="1764">
        <f>B4-C4</f>
        <v>7084481</v>
      </c>
      <c r="E4" s="1536">
        <v>7284365</v>
      </c>
      <c r="F4" s="1764">
        <f>E4-C4</f>
        <v>7284365</v>
      </c>
    </row>
    <row r="5" spans="1:6" ht="13.7" customHeight="1" x14ac:dyDescent="0.2">
      <c r="A5" s="707" t="s">
        <v>924</v>
      </c>
      <c r="B5" s="1762">
        <f>'Revenues 9-14'!D5</f>
        <v>1394306</v>
      </c>
      <c r="C5" s="580"/>
      <c r="D5" s="1765">
        <f t="shared" ref="D5:D18" si="0">B5-C5</f>
        <v>1394306</v>
      </c>
      <c r="E5" s="580">
        <v>1433930</v>
      </c>
      <c r="F5" s="1765">
        <f>E5-C5</f>
        <v>1433930</v>
      </c>
    </row>
    <row r="6" spans="1:6" ht="13.7" customHeight="1" x14ac:dyDescent="0.2">
      <c r="A6" s="707" t="s">
        <v>430</v>
      </c>
      <c r="B6" s="1762">
        <f>'Revenues 9-14'!E5</f>
        <v>2724253</v>
      </c>
      <c r="C6" s="580"/>
      <c r="D6" s="1765">
        <f t="shared" si="0"/>
        <v>2724253</v>
      </c>
      <c r="E6" s="580">
        <v>2934854</v>
      </c>
      <c r="F6" s="1765">
        <f t="shared" ref="F6:F18" si="1">E6-C6</f>
        <v>2934854</v>
      </c>
    </row>
    <row r="7" spans="1:6" ht="13.7" customHeight="1" x14ac:dyDescent="0.2">
      <c r="A7" s="707" t="s">
        <v>157</v>
      </c>
      <c r="B7" s="1762">
        <f>'Revenues 9-14'!F5</f>
        <v>669268</v>
      </c>
      <c r="C7" s="580"/>
      <c r="D7" s="1765">
        <f t="shared" si="0"/>
        <v>669268</v>
      </c>
      <c r="E7" s="580">
        <v>688286</v>
      </c>
      <c r="F7" s="1765">
        <f t="shared" si="1"/>
        <v>688286</v>
      </c>
    </row>
    <row r="8" spans="1:6" ht="13.7" customHeight="1" x14ac:dyDescent="0.2">
      <c r="A8" s="707" t="s">
        <v>1240</v>
      </c>
      <c r="B8" s="1762">
        <f>'Revenues 9-14'!G5</f>
        <v>261852</v>
      </c>
      <c r="C8" s="580"/>
      <c r="D8" s="1765">
        <f t="shared" si="0"/>
        <v>261852</v>
      </c>
      <c r="E8" s="580">
        <v>249619</v>
      </c>
      <c r="F8" s="1765">
        <f t="shared" si="1"/>
        <v>249619</v>
      </c>
    </row>
    <row r="9" spans="1:6" ht="13.7" customHeight="1" x14ac:dyDescent="0.2">
      <c r="A9" s="707" t="s">
        <v>427</v>
      </c>
      <c r="B9" s="1762">
        <f>'Revenues 9-14'!H5</f>
        <v>0</v>
      </c>
      <c r="C9" s="580"/>
      <c r="D9" s="1765">
        <f t="shared" si="0"/>
        <v>0</v>
      </c>
      <c r="E9" s="580"/>
      <c r="F9" s="1765">
        <f t="shared" si="1"/>
        <v>0</v>
      </c>
    </row>
    <row r="10" spans="1:6" ht="13.7" customHeight="1" x14ac:dyDescent="0.2">
      <c r="A10" s="707" t="s">
        <v>426</v>
      </c>
      <c r="B10" s="1762">
        <f>'Revenues 9-14'!I5</f>
        <v>278859</v>
      </c>
      <c r="C10" s="580"/>
      <c r="D10" s="1765">
        <f t="shared" si="0"/>
        <v>278859</v>
      </c>
      <c r="E10" s="580">
        <v>286786</v>
      </c>
      <c r="F10" s="1765">
        <f t="shared" si="1"/>
        <v>286786</v>
      </c>
    </row>
    <row r="11" spans="1:6" x14ac:dyDescent="0.2">
      <c r="A11" s="707" t="s">
        <v>428</v>
      </c>
      <c r="B11" s="1762">
        <f>'Revenues 9-14'!J5</f>
        <v>624316</v>
      </c>
      <c r="C11" s="580"/>
      <c r="D11" s="1765">
        <f t="shared" si="0"/>
        <v>624316</v>
      </c>
      <c r="E11" s="580">
        <v>688917</v>
      </c>
      <c r="F11" s="1765">
        <f t="shared" si="1"/>
        <v>688917</v>
      </c>
    </row>
    <row r="12" spans="1:6" ht="13.7" customHeight="1" x14ac:dyDescent="0.2">
      <c r="A12" s="707" t="s">
        <v>159</v>
      </c>
      <c r="B12" s="1762">
        <f>'Revenues 9-14'!K5</f>
        <v>278859</v>
      </c>
      <c r="C12" s="580"/>
      <c r="D12" s="1765">
        <f t="shared" si="0"/>
        <v>278859</v>
      </c>
      <c r="E12" s="580">
        <v>286786</v>
      </c>
      <c r="F12" s="1765">
        <f t="shared" si="1"/>
        <v>286786</v>
      </c>
    </row>
    <row r="13" spans="1:6" ht="13.7" customHeight="1" x14ac:dyDescent="0.2">
      <c r="A13" s="707" t="s">
        <v>992</v>
      </c>
      <c r="B13" s="1762">
        <f>SUM('Revenues 9-14'!C6:D6)</f>
        <v>278859</v>
      </c>
      <c r="C13" s="580"/>
      <c r="D13" s="1765">
        <f t="shared" si="0"/>
        <v>278859</v>
      </c>
      <c r="E13" s="580">
        <v>286786</v>
      </c>
      <c r="F13" s="1765">
        <f t="shared" si="1"/>
        <v>286786</v>
      </c>
    </row>
    <row r="14" spans="1:6" ht="13.7" customHeight="1" x14ac:dyDescent="0.2">
      <c r="A14" s="707" t="s">
        <v>429</v>
      </c>
      <c r="B14" s="1762">
        <f>SUM('Revenues 9-14'!C7:D7,'Revenues 9-14'!F7:H7)</f>
        <v>111544</v>
      </c>
      <c r="C14" s="580"/>
      <c r="D14" s="1765">
        <f t="shared" si="0"/>
        <v>111544</v>
      </c>
      <c r="E14" s="580">
        <v>114714</v>
      </c>
      <c r="F14" s="1765">
        <f t="shared" si="1"/>
        <v>114714</v>
      </c>
    </row>
    <row r="15" spans="1:6" ht="13.7" customHeight="1" x14ac:dyDescent="0.2">
      <c r="A15" s="707" t="s">
        <v>1219</v>
      </c>
      <c r="B15" s="1762">
        <f>'Revenues 9-14'!E9</f>
        <v>0</v>
      </c>
      <c r="C15" s="580"/>
      <c r="D15" s="1765">
        <f t="shared" si="0"/>
        <v>0</v>
      </c>
      <c r="E15" s="580"/>
      <c r="F15" s="1765">
        <f t="shared" si="1"/>
        <v>0</v>
      </c>
    </row>
    <row r="16" spans="1:6" ht="13.7" customHeight="1" x14ac:dyDescent="0.2">
      <c r="A16" s="707" t="s">
        <v>1220</v>
      </c>
      <c r="B16" s="1762">
        <f>'Revenues 9-14'!G8</f>
        <v>261852</v>
      </c>
      <c r="C16" s="580"/>
      <c r="D16" s="1765">
        <f t="shared" si="0"/>
        <v>261852</v>
      </c>
      <c r="E16" s="580">
        <v>249619</v>
      </c>
      <c r="F16" s="1765">
        <f t="shared" si="1"/>
        <v>249619</v>
      </c>
    </row>
    <row r="17" spans="1:6" ht="13.7" customHeight="1" x14ac:dyDescent="0.2">
      <c r="A17" s="707" t="s">
        <v>1221</v>
      </c>
      <c r="B17" s="1762">
        <f>'Revenues 9-14'!C10</f>
        <v>0</v>
      </c>
      <c r="C17" s="580"/>
      <c r="D17" s="1765">
        <f t="shared" si="0"/>
        <v>0</v>
      </c>
      <c r="E17" s="580"/>
      <c r="F17" s="1765">
        <f t="shared" si="1"/>
        <v>0</v>
      </c>
    </row>
    <row r="18" spans="1:6" ht="13.7" customHeight="1" x14ac:dyDescent="0.2">
      <c r="A18" s="707" t="s">
        <v>785</v>
      </c>
      <c r="B18" s="1762">
        <f>SUM('Revenues 9-14'!C11:K11)</f>
        <v>0</v>
      </c>
      <c r="C18" s="580"/>
      <c r="D18" s="1765">
        <f t="shared" si="0"/>
        <v>0</v>
      </c>
      <c r="E18" s="580"/>
      <c r="F18" s="1765">
        <f t="shared" si="1"/>
        <v>0</v>
      </c>
    </row>
    <row r="19" spans="1:6" ht="13.7" customHeight="1" thickBot="1" x14ac:dyDescent="0.25">
      <c r="A19" s="1766" t="s">
        <v>1222</v>
      </c>
      <c r="B19" s="1763">
        <f>SUM(B4:B18)</f>
        <v>13968449</v>
      </c>
      <c r="C19" s="1763">
        <f>SUM(C4:C18)</f>
        <v>0</v>
      </c>
      <c r="D19" s="1763">
        <f>SUM(D4:D18)</f>
        <v>13968449</v>
      </c>
      <c r="E19" s="1763">
        <f>SUM(E4:E18)</f>
        <v>14504662</v>
      </c>
      <c r="F19" s="1763">
        <f>SUM(F4:F18)</f>
        <v>14504662</v>
      </c>
    </row>
    <row r="20" spans="1:6" ht="13.5" thickTop="1" x14ac:dyDescent="0.2">
      <c r="B20" s="705"/>
      <c r="F20" s="708"/>
    </row>
    <row r="21" spans="1:6" x14ac:dyDescent="0.2">
      <c r="A21" s="709" t="s">
        <v>1914</v>
      </c>
      <c r="B21" s="710"/>
      <c r="F21" s="708"/>
    </row>
    <row r="22" spans="1:6" x14ac:dyDescent="0.2">
      <c r="A22" s="711" t="s">
        <v>648</v>
      </c>
      <c r="B22" s="712"/>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Normal="100" workbookViewId="0">
      <selection activeCell="P51" sqref="P51:P52"/>
    </sheetView>
  </sheetViews>
  <sheetFormatPr defaultColWidth="9.140625" defaultRowHeight="12.75" x14ac:dyDescent="0.2"/>
  <cols>
    <col min="1" max="1" width="44" style="401" customWidth="1"/>
    <col min="2" max="2" width="12.140625" style="714" customWidth="1"/>
    <col min="3" max="5" width="16.7109375" style="714"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0" t="s">
        <v>649</v>
      </c>
      <c r="B1" s="2221"/>
      <c r="C1" s="713"/>
    </row>
    <row r="2" spans="1:7" ht="33.75" x14ac:dyDescent="0.2">
      <c r="A2" s="2229" t="s">
        <v>1904</v>
      </c>
      <c r="B2" s="2230"/>
      <c r="C2" s="1897" t="s">
        <v>2037</v>
      </c>
      <c r="D2" s="715" t="s">
        <v>2044</v>
      </c>
      <c r="E2" s="715" t="s">
        <v>2045</v>
      </c>
      <c r="F2" s="1897" t="s">
        <v>2038</v>
      </c>
    </row>
    <row r="3" spans="1:7" ht="15.75" customHeight="1" x14ac:dyDescent="0.2">
      <c r="A3" s="2233" t="s">
        <v>1175</v>
      </c>
      <c r="B3" s="2234"/>
      <c r="C3" s="2222"/>
      <c r="D3" s="2223"/>
      <c r="E3" s="2223"/>
      <c r="F3" s="2224"/>
    </row>
    <row r="4" spans="1:7" ht="12.75" customHeight="1" thickBot="1" x14ac:dyDescent="0.25">
      <c r="A4" s="2231" t="s">
        <v>650</v>
      </c>
      <c r="B4" s="2232"/>
      <c r="C4" s="576"/>
      <c r="D4" s="576"/>
      <c r="E4" s="576"/>
      <c r="F4" s="1767">
        <f>SUM(C4+D4)-E4</f>
        <v>0</v>
      </c>
    </row>
    <row r="5" spans="1:7" ht="15.75" customHeight="1" thickTop="1" x14ac:dyDescent="0.2">
      <c r="A5" s="2216" t="s">
        <v>1171</v>
      </c>
      <c r="B5" s="2217"/>
      <c r="C5" s="2225"/>
      <c r="D5" s="2226"/>
      <c r="E5" s="2226"/>
      <c r="F5" s="2227"/>
    </row>
    <row r="6" spans="1:7" ht="12.75" customHeight="1" thickBot="1" x14ac:dyDescent="0.25">
      <c r="A6" s="716" t="s">
        <v>66</v>
      </c>
      <c r="B6" s="717"/>
      <c r="C6" s="718"/>
      <c r="D6" s="580"/>
      <c r="E6" s="718"/>
      <c r="F6" s="1767">
        <f t="shared" ref="F6:F14" si="0">SUM(C6+D6)-E6</f>
        <v>0</v>
      </c>
    </row>
    <row r="7" spans="1:7" ht="12.75" customHeight="1" thickTop="1" thickBot="1" x14ac:dyDescent="0.25">
      <c r="A7" s="716" t="s">
        <v>6</v>
      </c>
      <c r="B7" s="717"/>
      <c r="C7" s="718"/>
      <c r="D7" s="580"/>
      <c r="E7" s="718"/>
      <c r="F7" s="1767">
        <f t="shared" si="0"/>
        <v>0</v>
      </c>
    </row>
    <row r="8" spans="1:7" ht="12.75" customHeight="1" thickTop="1" thickBot="1" x14ac:dyDescent="0.25">
      <c r="A8" s="716" t="s">
        <v>528</v>
      </c>
      <c r="B8" s="717"/>
      <c r="C8" s="718"/>
      <c r="D8" s="580"/>
      <c r="E8" s="718"/>
      <c r="F8" s="1767">
        <f t="shared" si="0"/>
        <v>0</v>
      </c>
    </row>
    <row r="9" spans="1:7" ht="12.75" customHeight="1" thickTop="1" thickBot="1" x14ac:dyDescent="0.25">
      <c r="A9" s="716" t="s">
        <v>529</v>
      </c>
      <c r="B9" s="717"/>
      <c r="C9" s="718"/>
      <c r="D9" s="580"/>
      <c r="E9" s="718"/>
      <c r="F9" s="1767">
        <f t="shared" si="0"/>
        <v>0</v>
      </c>
    </row>
    <row r="10" spans="1:7" ht="12.75" customHeight="1" thickTop="1" thickBot="1" x14ac:dyDescent="0.25">
      <c r="A10" s="716" t="s">
        <v>530</v>
      </c>
      <c r="B10" s="717"/>
      <c r="C10" s="718"/>
      <c r="D10" s="580"/>
      <c r="E10" s="718"/>
      <c r="F10" s="1767">
        <f t="shared" si="0"/>
        <v>0</v>
      </c>
    </row>
    <row r="11" spans="1:7" ht="12.75" customHeight="1" thickTop="1" thickBot="1" x14ac:dyDescent="0.25">
      <c r="A11" s="716" t="s">
        <v>358</v>
      </c>
      <c r="B11" s="717"/>
      <c r="C11" s="718"/>
      <c r="D11" s="580"/>
      <c r="E11" s="718"/>
      <c r="F11" s="1767">
        <f t="shared" si="0"/>
        <v>0</v>
      </c>
    </row>
    <row r="12" spans="1:7" ht="12.75" customHeight="1" thickTop="1" thickBot="1" x14ac:dyDescent="0.25">
      <c r="A12" s="716" t="s">
        <v>1218</v>
      </c>
      <c r="B12" s="717"/>
      <c r="C12" s="718"/>
      <c r="D12" s="580"/>
      <c r="E12" s="718"/>
      <c r="F12" s="1767">
        <f t="shared" si="0"/>
        <v>0</v>
      </c>
    </row>
    <row r="13" spans="1:7" ht="12.75" customHeight="1" thickTop="1" thickBot="1" x14ac:dyDescent="0.25">
      <c r="A13" s="716" t="s">
        <v>405</v>
      </c>
      <c r="B13" s="717"/>
      <c r="C13" s="718"/>
      <c r="D13" s="580"/>
      <c r="E13" s="718"/>
      <c r="F13" s="1767">
        <f t="shared" si="0"/>
        <v>0</v>
      </c>
    </row>
    <row r="14" spans="1:7" ht="12.75" customHeight="1" thickTop="1" thickBot="1" x14ac:dyDescent="0.25">
      <c r="A14" s="716" t="s">
        <v>467</v>
      </c>
      <c r="B14" s="717"/>
      <c r="C14" s="718"/>
      <c r="D14" s="580"/>
      <c r="E14" s="718"/>
      <c r="F14" s="1767">
        <f t="shared" si="0"/>
        <v>0</v>
      </c>
    </row>
    <row r="15" spans="1:7" ht="14.25" thickTop="1" thickBot="1" x14ac:dyDescent="0.25">
      <c r="A15" s="2218" t="s">
        <v>651</v>
      </c>
      <c r="B15" s="2219"/>
      <c r="C15" s="1767">
        <f>SUM(C6:C14)</f>
        <v>0</v>
      </c>
      <c r="D15" s="1767">
        <f>SUM(D6:D14)</f>
        <v>0</v>
      </c>
      <c r="E15" s="1767">
        <f>SUM(E6:E14)</f>
        <v>0</v>
      </c>
      <c r="F15" s="1767">
        <f>SUM(F6:F14)</f>
        <v>0</v>
      </c>
      <c r="G15" s="549"/>
    </row>
    <row r="16" spans="1:7" s="202" customFormat="1" ht="15.75" customHeight="1" thickTop="1" x14ac:dyDescent="0.2">
      <c r="A16" s="2228" t="s">
        <v>1172</v>
      </c>
      <c r="B16" s="2217"/>
      <c r="C16" s="2225"/>
      <c r="D16" s="2226"/>
      <c r="E16" s="2226"/>
      <c r="F16" s="2227"/>
    </row>
    <row r="17" spans="1:11" ht="12.75" customHeight="1" thickBot="1" x14ac:dyDescent="0.25">
      <c r="A17" s="2241" t="s">
        <v>66</v>
      </c>
      <c r="B17" s="2242"/>
      <c r="C17" s="718"/>
      <c r="D17" s="580"/>
      <c r="E17" s="718"/>
      <c r="F17" s="1767">
        <f>SUM(C17+D17)-E17</f>
        <v>0</v>
      </c>
    </row>
    <row r="18" spans="1:11" ht="12.75" customHeight="1" thickTop="1" thickBot="1" x14ac:dyDescent="0.25">
      <c r="A18" s="2241" t="s">
        <v>6</v>
      </c>
      <c r="B18" s="2242"/>
      <c r="C18" s="718"/>
      <c r="D18" s="580"/>
      <c r="E18" s="718"/>
      <c r="F18" s="1767">
        <f>SUM(C18+D18)-E18</f>
        <v>0</v>
      </c>
    </row>
    <row r="19" spans="1:11" ht="12.75" customHeight="1" thickTop="1" thickBot="1" x14ac:dyDescent="0.25">
      <c r="A19" s="2241" t="s">
        <v>405</v>
      </c>
      <c r="B19" s="2242"/>
      <c r="C19" s="718"/>
      <c r="D19" s="580"/>
      <c r="E19" s="718"/>
      <c r="F19" s="1767">
        <f>SUM(C19+D19)-E19</f>
        <v>0</v>
      </c>
    </row>
    <row r="20" spans="1:11" ht="12.75" customHeight="1" thickTop="1" thickBot="1" x14ac:dyDescent="0.25">
      <c r="A20" s="2241" t="s">
        <v>467</v>
      </c>
      <c r="B20" s="2242"/>
      <c r="C20" s="718"/>
      <c r="D20" s="580"/>
      <c r="E20" s="718"/>
      <c r="F20" s="1767">
        <f>SUM(C20+D20)-E20</f>
        <v>0</v>
      </c>
    </row>
    <row r="21" spans="1:11" ht="14.25" thickTop="1" thickBot="1" x14ac:dyDescent="0.25">
      <c r="A21" s="2218" t="s">
        <v>652</v>
      </c>
      <c r="B21" s="2219"/>
      <c r="C21" s="1767">
        <f>SUM(C17:C20)</f>
        <v>0</v>
      </c>
      <c r="D21" s="1767">
        <f>SUM(D17:D20)</f>
        <v>0</v>
      </c>
      <c r="E21" s="1767">
        <f>SUM(E17:E20)</f>
        <v>0</v>
      </c>
      <c r="F21" s="1767">
        <f>SUM(F17:F20)</f>
        <v>0</v>
      </c>
      <c r="G21" s="549"/>
    </row>
    <row r="22" spans="1:11" ht="15.75" customHeight="1" thickTop="1" x14ac:dyDescent="0.2">
      <c r="A22" s="2243" t="s">
        <v>1173</v>
      </c>
      <c r="B22" s="2217"/>
      <c r="C22" s="2225"/>
      <c r="D22" s="2226"/>
      <c r="E22" s="2226"/>
      <c r="F22" s="2227"/>
    </row>
    <row r="23" spans="1:11" ht="13.5" thickBot="1" x14ac:dyDescent="0.25">
      <c r="A23" s="2231" t="s">
        <v>653</v>
      </c>
      <c r="B23" s="2232"/>
      <c r="C23" s="576"/>
      <c r="D23" s="576"/>
      <c r="E23" s="576"/>
      <c r="F23" s="1767">
        <f>SUM(C23+D23)-E23</f>
        <v>0</v>
      </c>
      <c r="G23" s="549"/>
    </row>
    <row r="24" spans="1:11" ht="15.75" customHeight="1" thickTop="1" x14ac:dyDescent="0.2">
      <c r="A24" s="2243" t="s">
        <v>1174</v>
      </c>
      <c r="B24" s="2217"/>
      <c r="C24" s="2225"/>
      <c r="D24" s="2226"/>
      <c r="E24" s="2226"/>
      <c r="F24" s="2227"/>
    </row>
    <row r="25" spans="1:11" ht="13.5" thickBot="1" x14ac:dyDescent="0.25">
      <c r="A25" s="2231" t="s">
        <v>654</v>
      </c>
      <c r="B25" s="2232"/>
      <c r="C25" s="576"/>
      <c r="D25" s="576"/>
      <c r="E25" s="576"/>
      <c r="F25" s="1767">
        <f>SUM(C25+D25)-E25</f>
        <v>0</v>
      </c>
      <c r="G25" s="549"/>
    </row>
    <row r="26" spans="1:11" ht="15.75" customHeight="1" thickTop="1" x14ac:dyDescent="0.2">
      <c r="A26" s="2216" t="s">
        <v>677</v>
      </c>
      <c r="B26" s="2217"/>
      <c r="C26" s="719"/>
      <c r="D26" s="719"/>
      <c r="E26" s="719"/>
      <c r="F26" s="720"/>
    </row>
    <row r="27" spans="1:11" ht="13.5" thickBot="1" x14ac:dyDescent="0.25">
      <c r="A27" s="2218" t="s">
        <v>1129</v>
      </c>
      <c r="B27" s="2219"/>
      <c r="C27" s="580"/>
      <c r="D27" s="580"/>
      <c r="E27" s="580"/>
      <c r="F27" s="1767">
        <f>SUM(C27+D27)-E27</f>
        <v>0</v>
      </c>
      <c r="G27" s="549"/>
    </row>
    <row r="28" spans="1:11" ht="7.5" customHeight="1" thickTop="1" x14ac:dyDescent="0.2">
      <c r="A28" s="587"/>
    </row>
    <row r="29" spans="1:11" ht="23.25" customHeight="1" x14ac:dyDescent="0.2">
      <c r="A29" s="2244" t="s">
        <v>602</v>
      </c>
      <c r="B29" s="2221"/>
      <c r="C29" s="721"/>
      <c r="D29" s="721"/>
      <c r="E29" s="721"/>
      <c r="F29" s="721"/>
      <c r="G29" s="721"/>
      <c r="H29" s="721"/>
      <c r="I29" s="721"/>
      <c r="J29" s="721"/>
    </row>
    <row r="30" spans="1:11" ht="33.75" x14ac:dyDescent="0.2">
      <c r="A30" s="1541" t="s">
        <v>1130</v>
      </c>
      <c r="B30" s="722" t="s">
        <v>1185</v>
      </c>
      <c r="C30" s="1898" t="s">
        <v>603</v>
      </c>
      <c r="D30" s="1898" t="s">
        <v>1771</v>
      </c>
      <c r="E30" s="1898" t="s">
        <v>2039</v>
      </c>
      <c r="F30" s="1898" t="s">
        <v>2040</v>
      </c>
      <c r="G30" s="1898" t="s">
        <v>2043</v>
      </c>
      <c r="H30" s="1898" t="s">
        <v>2041</v>
      </c>
      <c r="I30" s="1898" t="s">
        <v>2042</v>
      </c>
      <c r="J30" s="1899" t="s">
        <v>2</v>
      </c>
      <c r="K30" s="723"/>
    </row>
    <row r="31" spans="1:11" ht="12" customHeight="1" x14ac:dyDescent="0.2">
      <c r="A31" s="1958" t="s">
        <v>159</v>
      </c>
      <c r="B31" s="1956">
        <v>41409</v>
      </c>
      <c r="C31" s="1957">
        <v>4600000</v>
      </c>
      <c r="D31" s="1960">
        <v>4</v>
      </c>
      <c r="E31" s="726">
        <v>2805000</v>
      </c>
      <c r="F31" s="726"/>
      <c r="G31" s="726"/>
      <c r="H31" s="726">
        <v>920000</v>
      </c>
      <c r="I31" s="1768">
        <f>((E31+F31)-H31)+G31</f>
        <v>1885000</v>
      </c>
      <c r="J31" s="726">
        <v>1893391</v>
      </c>
      <c r="K31" s="728"/>
    </row>
    <row r="32" spans="1:11" ht="12" customHeight="1" x14ac:dyDescent="0.2">
      <c r="A32" s="1958" t="s">
        <v>426</v>
      </c>
      <c r="B32" s="1956">
        <v>41957</v>
      </c>
      <c r="C32" s="1957">
        <v>4010000</v>
      </c>
      <c r="D32" s="1960">
        <v>1</v>
      </c>
      <c r="E32" s="726">
        <v>2660000</v>
      </c>
      <c r="F32" s="726"/>
      <c r="G32" s="726"/>
      <c r="H32" s="726">
        <v>1380000</v>
      </c>
      <c r="I32" s="1768">
        <f>((E32+F32)-H32)+G32</f>
        <v>1280000</v>
      </c>
      <c r="J32" s="726">
        <v>1261053</v>
      </c>
      <c r="K32" s="728"/>
    </row>
    <row r="33" spans="1:11" ht="12" customHeight="1" x14ac:dyDescent="0.2">
      <c r="A33" s="1958" t="s">
        <v>159</v>
      </c>
      <c r="B33" s="1956">
        <v>41957</v>
      </c>
      <c r="C33" s="1957">
        <v>3310000</v>
      </c>
      <c r="D33" s="1960">
        <v>4</v>
      </c>
      <c r="E33" s="726">
        <v>3300000</v>
      </c>
      <c r="F33" s="726"/>
      <c r="G33" s="726"/>
      <c r="H33" s="726">
        <v>5000</v>
      </c>
      <c r="I33" s="1768">
        <f t="shared" ref="I33:I48" si="1">((E33+F33)-H33)+G33</f>
        <v>3295000</v>
      </c>
      <c r="J33" s="726">
        <v>3296643</v>
      </c>
      <c r="K33" s="728"/>
    </row>
    <row r="34" spans="1:11" ht="12" customHeight="1" x14ac:dyDescent="0.2">
      <c r="A34" s="1958" t="s">
        <v>3357</v>
      </c>
      <c r="B34" s="1956">
        <v>42186</v>
      </c>
      <c r="C34" s="1959">
        <v>168911</v>
      </c>
      <c r="D34" s="1960">
        <v>7</v>
      </c>
      <c r="E34" s="726">
        <v>56297</v>
      </c>
      <c r="F34" s="726"/>
      <c r="G34" s="726"/>
      <c r="H34" s="726">
        <v>56297</v>
      </c>
      <c r="I34" s="1768">
        <f t="shared" si="1"/>
        <v>0</v>
      </c>
      <c r="J34" s="726">
        <v>0</v>
      </c>
      <c r="K34" s="729"/>
    </row>
    <row r="35" spans="1:11" ht="12" customHeight="1" x14ac:dyDescent="0.2">
      <c r="A35" s="1958" t="s">
        <v>426</v>
      </c>
      <c r="B35" s="1956">
        <v>42423</v>
      </c>
      <c r="C35" s="1957">
        <v>3780000</v>
      </c>
      <c r="D35" s="1960">
        <v>1</v>
      </c>
      <c r="E35" s="730">
        <v>3625000</v>
      </c>
      <c r="F35" s="730"/>
      <c r="G35" s="730"/>
      <c r="H35" s="730">
        <v>145000</v>
      </c>
      <c r="I35" s="1768">
        <f t="shared" si="1"/>
        <v>3480000</v>
      </c>
      <c r="J35" s="730">
        <v>3482871</v>
      </c>
      <c r="K35" s="729"/>
    </row>
    <row r="36" spans="1:11" ht="12" customHeight="1" x14ac:dyDescent="0.2">
      <c r="A36" s="1958" t="s">
        <v>3357</v>
      </c>
      <c r="B36" s="1956">
        <v>42683</v>
      </c>
      <c r="C36" s="1955">
        <v>78084</v>
      </c>
      <c r="D36" s="1961">
        <v>7</v>
      </c>
      <c r="E36" s="726">
        <v>51597</v>
      </c>
      <c r="F36" s="726"/>
      <c r="G36" s="726"/>
      <c r="H36" s="726">
        <v>25434</v>
      </c>
      <c r="I36" s="1768">
        <f t="shared" si="1"/>
        <v>26163</v>
      </c>
      <c r="J36" s="726">
        <v>26163</v>
      </c>
      <c r="K36" s="731"/>
    </row>
    <row r="37" spans="1:11" ht="12" customHeight="1" x14ac:dyDescent="0.2">
      <c r="A37" s="1958" t="s">
        <v>3357</v>
      </c>
      <c r="B37" s="1956">
        <v>42917</v>
      </c>
      <c r="C37" s="1955">
        <v>114880</v>
      </c>
      <c r="D37" s="1961">
        <v>7</v>
      </c>
      <c r="E37" s="467"/>
      <c r="F37" s="467"/>
      <c r="G37" s="467">
        <v>117860</v>
      </c>
      <c r="H37" s="467">
        <v>40181</v>
      </c>
      <c r="I37" s="1768">
        <f t="shared" si="1"/>
        <v>77679</v>
      </c>
      <c r="J37" s="467">
        <v>77679</v>
      </c>
      <c r="K37" s="729"/>
    </row>
    <row r="38" spans="1:11" ht="12" customHeight="1" x14ac:dyDescent="0.2">
      <c r="A38" s="1958" t="s">
        <v>159</v>
      </c>
      <c r="B38" s="725">
        <v>43165</v>
      </c>
      <c r="C38" s="726">
        <v>3100000</v>
      </c>
      <c r="D38" s="1960">
        <v>4</v>
      </c>
      <c r="E38" s="733"/>
      <c r="F38" s="733">
        <v>3100000</v>
      </c>
      <c r="G38" s="733"/>
      <c r="H38" s="733"/>
      <c r="I38" s="1768">
        <f t="shared" si="1"/>
        <v>3100000</v>
      </c>
      <c r="J38" s="734">
        <v>3100000</v>
      </c>
      <c r="K38" s="735"/>
    </row>
    <row r="39" spans="1:11" ht="12" customHeight="1" x14ac:dyDescent="0.2">
      <c r="A39" s="724"/>
      <c r="B39" s="725"/>
      <c r="C39" s="726"/>
      <c r="D39" s="732"/>
      <c r="E39" s="733"/>
      <c r="F39" s="733"/>
      <c r="G39" s="733"/>
      <c r="H39" s="733"/>
      <c r="I39" s="1768">
        <f t="shared" si="1"/>
        <v>0</v>
      </c>
      <c r="J39" s="734"/>
      <c r="K39" s="735"/>
    </row>
    <row r="40" spans="1:11" ht="12" customHeight="1" x14ac:dyDescent="0.2">
      <c r="A40" s="724"/>
      <c r="B40" s="725"/>
      <c r="C40" s="726"/>
      <c r="D40" s="732"/>
      <c r="E40" s="733"/>
      <c r="F40" s="733"/>
      <c r="G40" s="733"/>
      <c r="H40" s="733"/>
      <c r="I40" s="1768">
        <f t="shared" si="1"/>
        <v>0</v>
      </c>
      <c r="J40" s="734"/>
      <c r="K40" s="735"/>
    </row>
    <row r="41" spans="1:11" ht="12" customHeight="1" x14ac:dyDescent="0.2">
      <c r="A41" s="724"/>
      <c r="B41" s="725"/>
      <c r="C41" s="726"/>
      <c r="D41" s="732"/>
      <c r="E41" s="733"/>
      <c r="F41" s="733"/>
      <c r="G41" s="733"/>
      <c r="H41" s="733"/>
      <c r="I41" s="1768">
        <f t="shared" si="1"/>
        <v>0</v>
      </c>
      <c r="J41" s="734"/>
      <c r="K41" s="735"/>
    </row>
    <row r="42" spans="1:11" ht="12" customHeight="1" x14ac:dyDescent="0.2">
      <c r="A42" s="724"/>
      <c r="B42" s="725"/>
      <c r="C42" s="726"/>
      <c r="D42" s="732"/>
      <c r="E42" s="733"/>
      <c r="F42" s="733"/>
      <c r="G42" s="733"/>
      <c r="H42" s="733"/>
      <c r="I42" s="1768">
        <f t="shared" si="1"/>
        <v>0</v>
      </c>
      <c r="J42" s="734"/>
      <c r="K42" s="735"/>
    </row>
    <row r="43" spans="1:11" ht="12" customHeight="1" x14ac:dyDescent="0.2">
      <c r="A43" s="724"/>
      <c r="B43" s="725"/>
      <c r="C43" s="726"/>
      <c r="D43" s="732"/>
      <c r="E43" s="733"/>
      <c r="F43" s="733"/>
      <c r="G43" s="733"/>
      <c r="H43" s="733"/>
      <c r="I43" s="1768">
        <f t="shared" si="1"/>
        <v>0</v>
      </c>
      <c r="J43" s="734"/>
      <c r="K43" s="735"/>
    </row>
    <row r="44" spans="1:11" ht="12" customHeight="1" x14ac:dyDescent="0.2">
      <c r="A44" s="724"/>
      <c r="B44" s="725"/>
      <c r="C44" s="726"/>
      <c r="D44" s="727"/>
      <c r="E44" s="726"/>
      <c r="F44" s="726"/>
      <c r="G44" s="726"/>
      <c r="H44" s="726"/>
      <c r="I44" s="1768">
        <f t="shared" si="1"/>
        <v>0</v>
      </c>
      <c r="J44" s="726"/>
      <c r="K44" s="729"/>
    </row>
    <row r="45" spans="1:11" ht="12" customHeight="1" x14ac:dyDescent="0.2">
      <c r="A45" s="724"/>
      <c r="B45" s="725"/>
      <c r="C45" s="726"/>
      <c r="D45" s="727"/>
      <c r="E45" s="726"/>
      <c r="F45" s="726"/>
      <c r="G45" s="726"/>
      <c r="H45" s="726"/>
      <c r="I45" s="1768">
        <f t="shared" si="1"/>
        <v>0</v>
      </c>
      <c r="J45" s="726"/>
      <c r="K45" s="729"/>
    </row>
    <row r="46" spans="1:11" ht="12" customHeight="1" x14ac:dyDescent="0.2">
      <c r="A46" s="724"/>
      <c r="B46" s="725"/>
      <c r="C46" s="726"/>
      <c r="D46" s="727"/>
      <c r="E46" s="726"/>
      <c r="F46" s="726"/>
      <c r="G46" s="726"/>
      <c r="H46" s="726"/>
      <c r="I46" s="1768">
        <f t="shared" si="1"/>
        <v>0</v>
      </c>
      <c r="J46" s="726"/>
      <c r="K46" s="729"/>
    </row>
    <row r="47" spans="1:11" ht="12" customHeight="1" x14ac:dyDescent="0.2">
      <c r="A47" s="724"/>
      <c r="B47" s="725"/>
      <c r="C47" s="730"/>
      <c r="D47" s="727"/>
      <c r="E47" s="730"/>
      <c r="F47" s="730"/>
      <c r="G47" s="730"/>
      <c r="H47" s="730"/>
      <c r="I47" s="1768">
        <f t="shared" si="1"/>
        <v>0</v>
      </c>
      <c r="J47" s="730"/>
      <c r="K47" s="729"/>
    </row>
    <row r="48" spans="1:11" ht="12" customHeight="1" x14ac:dyDescent="0.2">
      <c r="A48" s="724"/>
      <c r="B48" s="725"/>
      <c r="C48" s="726"/>
      <c r="D48" s="727"/>
      <c r="E48" s="726"/>
      <c r="F48" s="726"/>
      <c r="G48" s="726"/>
      <c r="H48" s="726"/>
      <c r="I48" s="1768">
        <f t="shared" si="1"/>
        <v>0</v>
      </c>
      <c r="J48" s="726"/>
      <c r="K48" s="729"/>
    </row>
    <row r="49" spans="1:11" ht="12" customHeight="1" x14ac:dyDescent="0.2">
      <c r="A49" s="724"/>
      <c r="B49" s="725"/>
      <c r="C49" s="1768">
        <f>SUM(C31:C48)</f>
        <v>19161875</v>
      </c>
      <c r="D49" s="736"/>
      <c r="E49" s="1768">
        <f t="shared" ref="E49:J49" si="2">SUM(E31:E48)</f>
        <v>12497894</v>
      </c>
      <c r="F49" s="1768">
        <f t="shared" si="2"/>
        <v>3100000</v>
      </c>
      <c r="G49" s="1768">
        <f t="shared" si="2"/>
        <v>117860</v>
      </c>
      <c r="H49" s="1768">
        <f t="shared" si="2"/>
        <v>2571912</v>
      </c>
      <c r="I49" s="1768">
        <f t="shared" si="2"/>
        <v>13143842</v>
      </c>
      <c r="J49" s="1768">
        <f t="shared" si="2"/>
        <v>13137800</v>
      </c>
      <c r="K49" s="729"/>
    </row>
    <row r="50" spans="1:11" ht="6" customHeight="1" x14ac:dyDescent="0.2">
      <c r="A50" s="737"/>
      <c r="B50" s="728"/>
      <c r="C50" s="728"/>
      <c r="D50" s="728"/>
      <c r="E50" s="728"/>
      <c r="F50" s="728"/>
      <c r="G50" s="728"/>
      <c r="H50" s="728"/>
      <c r="I50" s="728"/>
      <c r="J50" s="737"/>
    </row>
    <row r="51" spans="1:11" x14ac:dyDescent="0.2">
      <c r="A51" s="738" t="s">
        <v>1913</v>
      </c>
      <c r="B51" s="737"/>
      <c r="C51" s="729"/>
      <c r="D51" s="729"/>
      <c r="E51" s="729"/>
      <c r="F51" s="729"/>
      <c r="G51" s="729"/>
      <c r="H51" s="728"/>
      <c r="I51" s="728"/>
      <c r="J51" s="737"/>
    </row>
    <row r="52" spans="1:11" ht="11.25" customHeight="1" x14ac:dyDescent="0.2">
      <c r="A52" s="739" t="s">
        <v>967</v>
      </c>
      <c r="B52" s="2235" t="s">
        <v>604</v>
      </c>
      <c r="C52" s="2236"/>
      <c r="D52" s="2236"/>
      <c r="E52" s="740" t="s">
        <v>899</v>
      </c>
      <c r="F52" s="2237" t="s">
        <v>3357</v>
      </c>
      <c r="G52" s="2238"/>
      <c r="H52" s="728"/>
      <c r="I52" s="728"/>
      <c r="J52" s="737"/>
    </row>
    <row r="53" spans="1:11" ht="11.25" customHeight="1" x14ac:dyDescent="0.2">
      <c r="A53" s="741" t="s">
        <v>968</v>
      </c>
      <c r="B53" s="742" t="s">
        <v>1007</v>
      </c>
      <c r="C53" s="737"/>
      <c r="D53" s="729"/>
      <c r="E53" s="740" t="s">
        <v>517</v>
      </c>
      <c r="F53" s="2239"/>
      <c r="G53" s="2240"/>
      <c r="H53" s="728"/>
      <c r="I53" s="728"/>
      <c r="J53" s="737"/>
    </row>
    <row r="54" spans="1:11" ht="11.25" customHeight="1" x14ac:dyDescent="0.2">
      <c r="A54" s="743" t="s">
        <v>969</v>
      </c>
      <c r="B54" s="738" t="s">
        <v>1008</v>
      </c>
      <c r="C54" s="737"/>
      <c r="D54" s="729"/>
      <c r="E54" s="740" t="s">
        <v>518</v>
      </c>
      <c r="F54" s="2239"/>
      <c r="G54" s="2240"/>
      <c r="H54" s="728"/>
      <c r="I54" s="728"/>
      <c r="J54" s="737"/>
    </row>
    <row r="55" spans="1:11" ht="6" customHeight="1" x14ac:dyDescent="0.2">
      <c r="A55" s="729"/>
      <c r="B55" s="744"/>
      <c r="C55" s="745"/>
      <c r="D55" s="746"/>
      <c r="E55" s="747"/>
      <c r="F55" s="748"/>
      <c r="G55" s="737"/>
      <c r="H55" s="728"/>
      <c r="I55" s="728"/>
      <c r="J55" s="737"/>
    </row>
    <row r="56" spans="1:11" ht="11.25" customHeight="1" x14ac:dyDescent="0.2">
      <c r="A56" s="744"/>
      <c r="B56" s="749"/>
      <c r="C56" s="729"/>
      <c r="D56" s="729"/>
      <c r="E56" s="729"/>
      <c r="F56" s="729"/>
      <c r="G56" s="728"/>
      <c r="H56" s="728"/>
      <c r="I56" s="728"/>
      <c r="J56" s="737"/>
    </row>
    <row r="57" spans="1:11" ht="11.25" customHeight="1" x14ac:dyDescent="0.2">
      <c r="A57" s="729"/>
      <c r="B57" s="750"/>
      <c r="C57" s="729"/>
      <c r="D57" s="729"/>
      <c r="E57" s="729"/>
      <c r="F57" s="729"/>
      <c r="G57" s="728"/>
      <c r="H57" s="728"/>
      <c r="I57" s="728"/>
      <c r="J57" s="737"/>
    </row>
    <row r="58" spans="1:11" ht="11.25" customHeight="1" x14ac:dyDescent="0.2">
      <c r="A58" s="744"/>
      <c r="B58" s="749"/>
      <c r="C58" s="729"/>
      <c r="D58" s="729"/>
      <c r="E58" s="729"/>
      <c r="F58" s="729"/>
      <c r="G58" s="728"/>
      <c r="H58" s="728"/>
      <c r="I58" s="728"/>
      <c r="J58" s="73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6"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P51" sqref="P51:P52"/>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9" t="s">
        <v>910</v>
      </c>
      <c r="B1" s="2270"/>
      <c r="C1" s="2270"/>
      <c r="D1" s="2270"/>
      <c r="E1" s="2270"/>
      <c r="F1" s="2270"/>
      <c r="G1" s="2271"/>
      <c r="H1" s="1542"/>
      <c r="I1" s="751"/>
      <c r="J1" s="433"/>
    </row>
    <row r="2" spans="1:11" ht="26.25" x14ac:dyDescent="0.2">
      <c r="A2" s="2248" t="s">
        <v>1775</v>
      </c>
      <c r="B2" s="2249"/>
      <c r="C2" s="2249"/>
      <c r="D2" s="2249"/>
      <c r="E2" s="2250"/>
      <c r="F2" s="752" t="s">
        <v>959</v>
      </c>
      <c r="G2" s="753" t="s">
        <v>1772</v>
      </c>
      <c r="H2" s="753" t="s">
        <v>429</v>
      </c>
      <c r="I2" s="753" t="s">
        <v>1219</v>
      </c>
      <c r="J2" s="753" t="s">
        <v>1918</v>
      </c>
      <c r="K2" s="753" t="s">
        <v>140</v>
      </c>
    </row>
    <row r="3" spans="1:11" x14ac:dyDescent="0.2">
      <c r="A3" s="2251" t="s">
        <v>1697</v>
      </c>
      <c r="B3" s="2252"/>
      <c r="C3" s="2252"/>
      <c r="D3" s="2252"/>
      <c r="E3" s="2253"/>
      <c r="F3" s="754"/>
      <c r="G3" s="755"/>
      <c r="H3" s="755"/>
      <c r="I3" s="755"/>
      <c r="J3" s="756"/>
      <c r="K3" s="756"/>
    </row>
    <row r="4" spans="1:11" x14ac:dyDescent="0.2">
      <c r="A4" s="2254" t="s">
        <v>386</v>
      </c>
      <c r="B4" s="2255"/>
      <c r="C4" s="2255"/>
      <c r="D4" s="2255"/>
      <c r="E4" s="2236"/>
      <c r="F4" s="757"/>
      <c r="G4" s="758"/>
      <c r="H4" s="759"/>
      <c r="I4" s="758"/>
      <c r="J4" s="760"/>
      <c r="K4" s="760"/>
    </row>
    <row r="5" spans="1:11" x14ac:dyDescent="0.2">
      <c r="A5" s="2272" t="s">
        <v>1128</v>
      </c>
      <c r="B5" s="2245"/>
      <c r="C5" s="2245"/>
      <c r="D5" s="2245"/>
      <c r="E5" s="2273"/>
      <c r="F5" s="761" t="s">
        <v>902</v>
      </c>
      <c r="G5" s="762"/>
      <c r="H5" s="755">
        <v>111544</v>
      </c>
      <c r="I5" s="763"/>
      <c r="J5" s="764"/>
      <c r="K5" s="764"/>
    </row>
    <row r="6" spans="1:11" x14ac:dyDescent="0.2">
      <c r="A6" s="765" t="s">
        <v>743</v>
      </c>
      <c r="B6" s="766"/>
      <c r="C6" s="766"/>
      <c r="D6" s="766"/>
      <c r="E6" s="767"/>
      <c r="F6" s="768" t="s">
        <v>903</v>
      </c>
      <c r="G6" s="755"/>
      <c r="H6" s="755"/>
      <c r="I6" s="755"/>
      <c r="J6" s="756"/>
      <c r="K6" s="756"/>
    </row>
    <row r="7" spans="1:11" x14ac:dyDescent="0.2">
      <c r="A7" s="769" t="s">
        <v>264</v>
      </c>
      <c r="B7" s="770"/>
      <c r="C7" s="770"/>
      <c r="D7" s="770"/>
      <c r="E7" s="771"/>
      <c r="F7" s="761" t="s">
        <v>904</v>
      </c>
      <c r="G7" s="758"/>
      <c r="H7" s="758"/>
      <c r="I7" s="758"/>
      <c r="J7" s="772"/>
      <c r="K7" s="756"/>
    </row>
    <row r="8" spans="1:11" x14ac:dyDescent="0.2">
      <c r="A8" s="769" t="s">
        <v>362</v>
      </c>
      <c r="B8" s="770"/>
      <c r="C8" s="770"/>
      <c r="D8" s="770"/>
      <c r="E8" s="771"/>
      <c r="F8" s="761" t="s">
        <v>905</v>
      </c>
      <c r="G8" s="773"/>
      <c r="H8" s="773"/>
      <c r="I8" s="773"/>
      <c r="J8" s="756"/>
      <c r="K8" s="760"/>
    </row>
    <row r="9" spans="1:11" x14ac:dyDescent="0.2">
      <c r="A9" s="769" t="s">
        <v>140</v>
      </c>
      <c r="B9" s="770"/>
      <c r="C9" s="770"/>
      <c r="D9" s="770"/>
      <c r="E9" s="771"/>
      <c r="F9" s="768" t="s">
        <v>907</v>
      </c>
      <c r="G9" s="773"/>
      <c r="H9" s="762"/>
      <c r="I9" s="762"/>
      <c r="J9" s="772"/>
      <c r="K9" s="756"/>
    </row>
    <row r="10" spans="1:11" x14ac:dyDescent="0.2">
      <c r="A10" s="2272" t="s">
        <v>1919</v>
      </c>
      <c r="B10" s="2245"/>
      <c r="C10" s="2245"/>
      <c r="D10" s="2245"/>
      <c r="E10" s="2274"/>
      <c r="F10" s="774" t="s">
        <v>916</v>
      </c>
      <c r="G10" s="773"/>
      <c r="H10" s="775"/>
      <c r="I10" s="755"/>
      <c r="J10" s="756"/>
      <c r="K10" s="756"/>
    </row>
    <row r="11" spans="1:11" x14ac:dyDescent="0.2">
      <c r="A11" s="2272" t="s">
        <v>162</v>
      </c>
      <c r="B11" s="2245"/>
      <c r="C11" s="2245"/>
      <c r="D11" s="2245"/>
      <c r="E11" s="2273"/>
      <c r="F11" s="761" t="s">
        <v>906</v>
      </c>
      <c r="G11" s="762"/>
      <c r="H11" s="755"/>
      <c r="I11" s="755"/>
      <c r="J11" s="756"/>
      <c r="K11" s="764"/>
    </row>
    <row r="12" spans="1:11" ht="13.5" thickBot="1" x14ac:dyDescent="0.25">
      <c r="A12" s="2262" t="s">
        <v>960</v>
      </c>
      <c r="B12" s="2263"/>
      <c r="C12" s="2263"/>
      <c r="D12" s="2263"/>
      <c r="E12" s="2264"/>
      <c r="F12" s="1769"/>
      <c r="G12" s="1770">
        <f>SUM(G5:G11)</f>
        <v>0</v>
      </c>
      <c r="H12" s="1770">
        <f>SUM(H5:H11)</f>
        <v>111544</v>
      </c>
      <c r="I12" s="1770">
        <f>SUM(I5:I11)</f>
        <v>0</v>
      </c>
      <c r="J12" s="1770">
        <f>SUM(J5:J11)</f>
        <v>0</v>
      </c>
      <c r="K12" s="1770">
        <f>SUM(K5:K11)</f>
        <v>0</v>
      </c>
    </row>
    <row r="13" spans="1:11" ht="13.5" thickTop="1" x14ac:dyDescent="0.2">
      <c r="A13" s="2256" t="s">
        <v>387</v>
      </c>
      <c r="B13" s="2257"/>
      <c r="C13" s="2257"/>
      <c r="D13" s="2257"/>
      <c r="E13" s="2258"/>
      <c r="F13" s="776"/>
      <c r="G13" s="777"/>
      <c r="H13" s="778"/>
      <c r="I13" s="779"/>
      <c r="J13" s="779"/>
      <c r="K13" s="779"/>
    </row>
    <row r="14" spans="1:11" x14ac:dyDescent="0.2">
      <c r="A14" s="2278" t="s">
        <v>475</v>
      </c>
      <c r="B14" s="2278"/>
      <c r="C14" s="2278"/>
      <c r="D14" s="2278"/>
      <c r="E14" s="2279"/>
      <c r="F14" s="780" t="s">
        <v>908</v>
      </c>
      <c r="G14" s="773"/>
      <c r="H14" s="755">
        <v>111544</v>
      </c>
      <c r="I14" s="762"/>
      <c r="J14" s="764"/>
      <c r="K14" s="756"/>
    </row>
    <row r="15" spans="1:11" x14ac:dyDescent="0.2">
      <c r="A15" s="2245" t="s">
        <v>4</v>
      </c>
      <c r="B15" s="2245"/>
      <c r="C15" s="2245"/>
      <c r="D15" s="2245"/>
      <c r="E15" s="2273"/>
      <c r="F15" s="780" t="s">
        <v>909</v>
      </c>
      <c r="G15" s="762"/>
      <c r="H15" s="755"/>
      <c r="I15" s="755"/>
      <c r="J15" s="756"/>
      <c r="K15" s="756"/>
    </row>
    <row r="16" spans="1:11" x14ac:dyDescent="0.2">
      <c r="A16" s="2245" t="s">
        <v>315</v>
      </c>
      <c r="B16" s="2245"/>
      <c r="C16" s="2245"/>
      <c r="D16" s="2245"/>
      <c r="E16" s="2273"/>
      <c r="F16" s="780" t="s">
        <v>979</v>
      </c>
      <c r="G16" s="763"/>
      <c r="H16" s="758"/>
      <c r="I16" s="758"/>
      <c r="J16" s="760"/>
      <c r="K16" s="760"/>
    </row>
    <row r="17" spans="1:11" x14ac:dyDescent="0.2">
      <c r="A17" s="2267" t="s">
        <v>991</v>
      </c>
      <c r="B17" s="2267"/>
      <c r="C17" s="2267"/>
      <c r="D17" s="2267"/>
      <c r="E17" s="2268"/>
      <c r="F17" s="781"/>
      <c r="G17" s="782"/>
      <c r="H17" s="783"/>
      <c r="I17" s="783"/>
      <c r="J17" s="784"/>
      <c r="K17" s="785"/>
    </row>
    <row r="18" spans="1:11" x14ac:dyDescent="0.2">
      <c r="A18" s="2259" t="s">
        <v>385</v>
      </c>
      <c r="B18" s="2260"/>
      <c r="C18" s="2260"/>
      <c r="D18" s="2260"/>
      <c r="E18" s="2261"/>
      <c r="F18" s="780" t="s">
        <v>988</v>
      </c>
      <c r="G18" s="773"/>
      <c r="H18" s="773"/>
      <c r="I18" s="773"/>
      <c r="J18" s="756"/>
      <c r="K18" s="786"/>
    </row>
    <row r="19" spans="1:11" ht="21.75" customHeight="1" x14ac:dyDescent="0.2">
      <c r="A19" s="2280" t="s">
        <v>1915</v>
      </c>
      <c r="B19" s="2280"/>
      <c r="C19" s="2280"/>
      <c r="D19" s="2280"/>
      <c r="E19" s="2281"/>
      <c r="F19" s="780" t="s">
        <v>989</v>
      </c>
      <c r="G19" s="773"/>
      <c r="H19" s="773"/>
      <c r="I19" s="773"/>
      <c r="J19" s="756"/>
      <c r="K19" s="786"/>
    </row>
    <row r="20" spans="1:11" x14ac:dyDescent="0.2">
      <c r="A20" s="2259" t="s">
        <v>1920</v>
      </c>
      <c r="B20" s="2260"/>
      <c r="C20" s="2260"/>
      <c r="D20" s="2260"/>
      <c r="E20" s="2261"/>
      <c r="F20" s="780" t="s">
        <v>990</v>
      </c>
      <c r="G20" s="773"/>
      <c r="H20" s="773"/>
      <c r="I20" s="773"/>
      <c r="J20" s="756"/>
      <c r="K20" s="786"/>
    </row>
    <row r="21" spans="1:11" ht="13.5" thickBot="1" x14ac:dyDescent="0.25">
      <c r="A21" s="2265" t="s">
        <v>658</v>
      </c>
      <c r="B21" s="2265"/>
      <c r="C21" s="2265"/>
      <c r="D21" s="2265"/>
      <c r="E21" s="2265"/>
      <c r="F21" s="1771"/>
      <c r="G21" s="783"/>
      <c r="H21" s="787"/>
      <c r="I21" s="787"/>
      <c r="J21" s="1772">
        <f>SUM(J18:J20)</f>
        <v>0</v>
      </c>
      <c r="K21" s="784"/>
    </row>
    <row r="22" spans="1:11" ht="13.5" thickTop="1" x14ac:dyDescent="0.2">
      <c r="A22" s="2245" t="s">
        <v>1921</v>
      </c>
      <c r="B22" s="2245"/>
      <c r="C22" s="2245"/>
      <c r="D22" s="2245"/>
      <c r="E22" s="2273"/>
      <c r="F22" s="780" t="s">
        <v>916</v>
      </c>
      <c r="G22" s="773"/>
      <c r="H22" s="755"/>
      <c r="I22" s="755"/>
      <c r="J22" s="788"/>
      <c r="K22" s="756"/>
    </row>
    <row r="23" spans="1:11" ht="13.5" thickBot="1" x14ac:dyDescent="0.25">
      <c r="A23" s="2266" t="s">
        <v>961</v>
      </c>
      <c r="B23" s="2265"/>
      <c r="C23" s="2265"/>
      <c r="D23" s="2265"/>
      <c r="E23" s="2265"/>
      <c r="F23" s="1773"/>
      <c r="G23" s="1770">
        <f>SUM(G14:G16,G21,G22)</f>
        <v>0</v>
      </c>
      <c r="H23" s="1770">
        <f>SUM(H14:H16,H21,H22)</f>
        <v>111544</v>
      </c>
      <c r="I23" s="1770">
        <f>SUM(I14:I16,I21,I22)</f>
        <v>0</v>
      </c>
      <c r="J23" s="1770">
        <f>SUM(J14:J16,J21,J22)</f>
        <v>0</v>
      </c>
      <c r="K23" s="1770">
        <f>SUM(K14:K16,K21,K22)</f>
        <v>0</v>
      </c>
    </row>
    <row r="24" spans="1:11" ht="14.25" thickTop="1" thickBot="1" x14ac:dyDescent="0.25">
      <c r="A24" s="2266" t="s">
        <v>2025</v>
      </c>
      <c r="B24" s="2265"/>
      <c r="C24" s="2265"/>
      <c r="D24" s="2265"/>
      <c r="E24" s="2265"/>
      <c r="F24" s="1774"/>
      <c r="G24" s="1775">
        <f>SUM(G3,G12)-G23</f>
        <v>0</v>
      </c>
      <c r="H24" s="1775">
        <f>SUM(H3,H12)-H23</f>
        <v>0</v>
      </c>
      <c r="I24" s="1775">
        <f>SUM(I3,I12)-I23</f>
        <v>0</v>
      </c>
      <c r="J24" s="1775">
        <f>SUM(J3,J12)-J23</f>
        <v>0</v>
      </c>
      <c r="K24" s="1775">
        <f>SUM(K3,K12)-K23</f>
        <v>0</v>
      </c>
    </row>
    <row r="25" spans="1:11" ht="13.5" thickTop="1" x14ac:dyDescent="0.2">
      <c r="A25" s="789" t="s">
        <v>439</v>
      </c>
      <c r="B25" s="790"/>
      <c r="C25" s="790"/>
      <c r="D25" s="790"/>
      <c r="E25" s="791"/>
      <c r="F25" s="792">
        <v>714</v>
      </c>
      <c r="G25" s="793"/>
      <c r="H25" s="793"/>
      <c r="I25" s="793"/>
      <c r="J25" s="788"/>
      <c r="K25" s="788"/>
    </row>
    <row r="26" spans="1:11" ht="13.5" thickBot="1" x14ac:dyDescent="0.25">
      <c r="A26" s="789" t="s">
        <v>359</v>
      </c>
      <c r="B26" s="790"/>
      <c r="C26" s="790"/>
      <c r="D26" s="790"/>
      <c r="E26" s="791"/>
      <c r="F26" s="792">
        <v>730</v>
      </c>
      <c r="G26" s="1770">
        <f>G24-G25</f>
        <v>0</v>
      </c>
      <c r="H26" s="1770">
        <f>H24-H25</f>
        <v>0</v>
      </c>
      <c r="I26" s="1770">
        <f>I24-I25</f>
        <v>0</v>
      </c>
      <c r="J26" s="1770">
        <f>J24-J25</f>
        <v>0</v>
      </c>
      <c r="K26" s="1770">
        <f>K24-K25</f>
        <v>0</v>
      </c>
    </row>
    <row r="27" spans="1:11" ht="5.25" customHeight="1" thickTop="1" x14ac:dyDescent="0.2">
      <c r="I27" s="202"/>
      <c r="J27" s="202"/>
    </row>
    <row r="28" spans="1:11" ht="29.25" customHeight="1" x14ac:dyDescent="0.2">
      <c r="A28" s="1893" t="s">
        <v>2035</v>
      </c>
      <c r="B28" s="1894"/>
      <c r="C28" s="1894"/>
      <c r="D28" s="1894"/>
      <c r="E28" s="1895"/>
      <c r="F28" s="794"/>
      <c r="G28" s="795"/>
    </row>
    <row r="29" spans="1:11" x14ac:dyDescent="0.2">
      <c r="B29" s="500"/>
      <c r="C29" s="500"/>
      <c r="D29" s="500"/>
      <c r="F29" s="202"/>
      <c r="G29" s="796"/>
    </row>
    <row r="30" spans="1:11" x14ac:dyDescent="0.2">
      <c r="A30" s="797" t="s">
        <v>592</v>
      </c>
      <c r="B30" s="798"/>
      <c r="C30" s="797" t="s">
        <v>400</v>
      </c>
      <c r="D30" s="798"/>
      <c r="E30" s="799" t="s">
        <v>791</v>
      </c>
      <c r="F30" s="202"/>
      <c r="G30" s="796"/>
    </row>
    <row r="31" spans="1:11" x14ac:dyDescent="0.2">
      <c r="A31" s="800"/>
      <c r="D31" s="237"/>
      <c r="E31" s="801" t="s">
        <v>792</v>
      </c>
      <c r="F31" s="802" t="s">
        <v>559</v>
      </c>
      <c r="G31" s="755"/>
      <c r="H31" s="2275"/>
      <c r="I31" s="2276"/>
      <c r="J31" s="2276"/>
      <c r="K31" s="2276"/>
    </row>
    <row r="32" spans="1:11" x14ac:dyDescent="0.2">
      <c r="A32" s="800"/>
      <c r="B32" s="237"/>
      <c r="C32" s="237"/>
      <c r="D32" s="237"/>
      <c r="E32" s="796"/>
      <c r="F32" s="802" t="s">
        <v>560</v>
      </c>
      <c r="G32" s="755"/>
      <c r="H32" s="2277"/>
      <c r="I32" s="2276"/>
      <c r="J32" s="2276"/>
      <c r="K32" s="2276"/>
    </row>
    <row r="33" spans="1:11" ht="1.5" customHeight="1" x14ac:dyDescent="0.2">
      <c r="A33" s="803" t="s">
        <v>1230</v>
      </c>
      <c r="B33" s="364"/>
      <c r="C33" s="364"/>
      <c r="D33" s="364"/>
      <c r="E33" s="364"/>
      <c r="F33" s="364"/>
      <c r="G33" s="804"/>
      <c r="H33" s="2277"/>
      <c r="I33" s="2276"/>
      <c r="J33" s="2276"/>
      <c r="K33" s="2276"/>
    </row>
    <row r="34" spans="1:11" x14ac:dyDescent="0.2">
      <c r="A34" s="805" t="s">
        <v>1922</v>
      </c>
      <c r="B34" s="364"/>
      <c r="C34" s="364"/>
      <c r="D34" s="364"/>
      <c r="E34" s="364"/>
      <c r="F34" s="364"/>
      <c r="G34" s="804"/>
    </row>
    <row r="35" spans="1:11" ht="15" x14ac:dyDescent="0.2">
      <c r="A35" s="816" t="s">
        <v>962</v>
      </c>
      <c r="B35" s="806"/>
      <c r="C35" s="806"/>
      <c r="D35" s="806"/>
      <c r="E35" s="806"/>
      <c r="F35" s="806"/>
      <c r="G35" s="807"/>
      <c r="H35" s="808"/>
    </row>
    <row r="36" spans="1:11" x14ac:dyDescent="0.2">
      <c r="A36" s="769" t="s">
        <v>1170</v>
      </c>
      <c r="B36" s="809"/>
      <c r="C36" s="809"/>
      <c r="D36" s="809"/>
      <c r="E36" s="809"/>
      <c r="F36" s="810"/>
      <c r="G36" s="756"/>
    </row>
    <row r="37" spans="1:11" x14ac:dyDescent="0.2">
      <c r="A37" s="811" t="s">
        <v>951</v>
      </c>
      <c r="B37" s="809"/>
      <c r="C37" s="809"/>
      <c r="D37" s="809"/>
      <c r="E37" s="809"/>
      <c r="F37" s="810"/>
      <c r="G37" s="756"/>
    </row>
    <row r="38" spans="1:11" x14ac:dyDescent="0.2">
      <c r="A38" s="811" t="s">
        <v>1049</v>
      </c>
      <c r="B38" s="809"/>
      <c r="C38" s="809"/>
      <c r="D38" s="809"/>
      <c r="E38" s="809"/>
      <c r="F38" s="810"/>
      <c r="G38" s="756"/>
    </row>
    <row r="39" spans="1:11" x14ac:dyDescent="0.2">
      <c r="A39" s="811" t="s">
        <v>1050</v>
      </c>
      <c r="B39" s="809"/>
      <c r="C39" s="809"/>
      <c r="D39" s="809"/>
      <c r="E39" s="809"/>
      <c r="F39" s="810"/>
      <c r="G39" s="756"/>
    </row>
    <row r="40" spans="1:11" x14ac:dyDescent="0.2">
      <c r="A40" s="811" t="s">
        <v>1051</v>
      </c>
      <c r="B40" s="809"/>
      <c r="C40" s="809"/>
      <c r="D40" s="809"/>
      <c r="E40" s="809"/>
      <c r="F40" s="810"/>
      <c r="G40" s="756"/>
    </row>
    <row r="41" spans="1:11" x14ac:dyDescent="0.2">
      <c r="A41" s="2245" t="s">
        <v>561</v>
      </c>
      <c r="B41" s="2246"/>
      <c r="C41" s="2246"/>
      <c r="D41" s="2246"/>
      <c r="E41" s="2246"/>
      <c r="F41" s="2247"/>
      <c r="G41" s="756"/>
    </row>
    <row r="42" spans="1:11" x14ac:dyDescent="0.2">
      <c r="A42" s="811" t="s">
        <v>1026</v>
      </c>
      <c r="B42" s="809"/>
      <c r="C42" s="809"/>
      <c r="D42" s="809"/>
      <c r="E42" s="809"/>
      <c r="F42" s="810"/>
      <c r="G42" s="756"/>
    </row>
    <row r="43" spans="1:11" x14ac:dyDescent="0.2">
      <c r="A43" s="811" t="s">
        <v>1027</v>
      </c>
      <c r="B43" s="809"/>
      <c r="C43" s="809"/>
      <c r="D43" s="809"/>
      <c r="E43" s="809"/>
      <c r="F43" s="810"/>
      <c r="G43" s="756"/>
    </row>
    <row r="44" spans="1:11" x14ac:dyDescent="0.2">
      <c r="A44" s="811" t="s">
        <v>1028</v>
      </c>
      <c r="B44" s="809"/>
      <c r="C44" s="809"/>
      <c r="D44" s="809"/>
      <c r="E44" s="809"/>
      <c r="F44" s="810"/>
      <c r="G44" s="756"/>
    </row>
    <row r="45" spans="1:11" ht="6.75" customHeight="1" x14ac:dyDescent="0.2"/>
    <row r="46" spans="1:11" ht="15" x14ac:dyDescent="0.2">
      <c r="A46" s="1543" t="s">
        <v>1916</v>
      </c>
      <c r="B46" s="408" t="s">
        <v>1773</v>
      </c>
    </row>
    <row r="47" spans="1:11" s="814" customFormat="1" ht="12.75" customHeight="1" x14ac:dyDescent="0.2">
      <c r="A47" s="812"/>
      <c r="B47" s="813" t="s">
        <v>1774</v>
      </c>
      <c r="E47" s="813"/>
      <c r="K47" s="815"/>
    </row>
    <row r="48" spans="1:11" ht="12.75" customHeight="1" x14ac:dyDescent="0.2">
      <c r="A48" s="1544" t="s">
        <v>1917</v>
      </c>
      <c r="B48" s="408" t="s">
        <v>980</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P51" sqref="P51:P52"/>
    </sheetView>
  </sheetViews>
  <sheetFormatPr defaultColWidth="9.140625" defaultRowHeight="12.75" x14ac:dyDescent="0.2"/>
  <cols>
    <col min="1" max="1" width="28.85546875" style="79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84" t="s">
        <v>2034</v>
      </c>
      <c r="B1" s="2285"/>
      <c r="C1" s="2286"/>
      <c r="D1" s="817"/>
      <c r="E1" s="818"/>
      <c r="F1" s="818"/>
      <c r="G1" s="819"/>
      <c r="H1" s="820"/>
      <c r="I1" s="821"/>
      <c r="J1" s="2282"/>
      <c r="K1" s="2283"/>
      <c r="L1" s="2283"/>
    </row>
    <row r="2" spans="1:14" ht="69.75" customHeight="1" x14ac:dyDescent="0.2">
      <c r="A2" s="822" t="s">
        <v>1776</v>
      </c>
      <c r="B2" s="823" t="s">
        <v>395</v>
      </c>
      <c r="C2" s="824" t="s">
        <v>2029</v>
      </c>
      <c r="D2" s="824" t="s">
        <v>2026</v>
      </c>
      <c r="E2" s="824" t="s">
        <v>2027</v>
      </c>
      <c r="F2" s="824" t="s">
        <v>2028</v>
      </c>
      <c r="G2" s="824" t="s">
        <v>625</v>
      </c>
      <c r="H2" s="824" t="s">
        <v>2030</v>
      </c>
      <c r="I2" s="824" t="s">
        <v>2031</v>
      </c>
      <c r="J2" s="824" t="s">
        <v>2046</v>
      </c>
      <c r="K2" s="824" t="s">
        <v>2032</v>
      </c>
      <c r="L2" s="824" t="s">
        <v>2033</v>
      </c>
      <c r="M2" s="825"/>
      <c r="N2" s="825"/>
    </row>
    <row r="3" spans="1:14" ht="13.5" thickBot="1" x14ac:dyDescent="0.25">
      <c r="A3" s="1641" t="s">
        <v>947</v>
      </c>
      <c r="B3" s="1642">
        <v>210</v>
      </c>
      <c r="C3" s="826"/>
      <c r="D3" s="826"/>
      <c r="E3" s="826"/>
      <c r="F3" s="1772">
        <f>(C3+D3)-E3</f>
        <v>0</v>
      </c>
      <c r="G3" s="827"/>
      <c r="H3" s="826">
        <v>0</v>
      </c>
      <c r="I3" s="826"/>
      <c r="J3" s="826"/>
      <c r="K3" s="1781">
        <f>(H3+I3)-J3</f>
        <v>0</v>
      </c>
      <c r="L3" s="1781">
        <f>F3-K3</f>
        <v>0</v>
      </c>
      <c r="M3" s="825"/>
      <c r="N3" s="825"/>
    </row>
    <row r="4" spans="1:14" ht="15" customHeight="1" thickTop="1" x14ac:dyDescent="0.2">
      <c r="A4" s="1643" t="s">
        <v>160</v>
      </c>
      <c r="B4" s="1642">
        <v>220</v>
      </c>
      <c r="C4" s="772"/>
      <c r="D4" s="772"/>
      <c r="E4" s="772"/>
      <c r="F4" s="764"/>
      <c r="G4" s="828"/>
      <c r="H4" s="829"/>
      <c r="I4" s="829"/>
      <c r="J4" s="829"/>
      <c r="K4" s="830"/>
      <c r="L4" s="764"/>
    </row>
    <row r="5" spans="1:14" ht="13.5" thickBot="1" x14ac:dyDescent="0.25">
      <c r="A5" s="769" t="s">
        <v>948</v>
      </c>
      <c r="B5" s="831">
        <v>221</v>
      </c>
      <c r="C5" s="832">
        <v>1126202</v>
      </c>
      <c r="D5" s="832"/>
      <c r="E5" s="832"/>
      <c r="F5" s="1772">
        <f>(C5+D5)-E5</f>
        <v>1126202</v>
      </c>
      <c r="G5" s="828"/>
      <c r="H5" s="833"/>
      <c r="I5" s="833"/>
      <c r="J5" s="833"/>
      <c r="K5" s="784"/>
      <c r="L5" s="1781">
        <f>F5-K5</f>
        <v>1126202</v>
      </c>
    </row>
    <row r="6" spans="1:14" ht="14.25" thickTop="1" thickBot="1" x14ac:dyDescent="0.25">
      <c r="A6" s="769" t="s">
        <v>1178</v>
      </c>
      <c r="B6" s="831">
        <v>222</v>
      </c>
      <c r="C6" s="756">
        <v>0</v>
      </c>
      <c r="D6" s="756"/>
      <c r="E6" s="756"/>
      <c r="F6" s="1772">
        <f>(C6+D6)-E6</f>
        <v>0</v>
      </c>
      <c r="G6" s="828">
        <v>50</v>
      </c>
      <c r="H6" s="756">
        <v>0</v>
      </c>
      <c r="I6" s="756"/>
      <c r="J6" s="756"/>
      <c r="K6" s="1781">
        <f>(H6+I6)-J6</f>
        <v>0</v>
      </c>
      <c r="L6" s="1781">
        <f>F6-K6</f>
        <v>0</v>
      </c>
    </row>
    <row r="7" spans="1:14" ht="15" customHeight="1" thickTop="1" x14ac:dyDescent="0.2">
      <c r="A7" s="1643" t="s">
        <v>161</v>
      </c>
      <c r="B7" s="1642">
        <v>230</v>
      </c>
      <c r="C7" s="772"/>
      <c r="D7" s="772"/>
      <c r="E7" s="772"/>
      <c r="F7" s="764"/>
      <c r="G7" s="834"/>
      <c r="H7" s="772"/>
      <c r="I7" s="772"/>
      <c r="J7" s="772"/>
      <c r="K7" s="764"/>
      <c r="L7" s="764"/>
    </row>
    <row r="8" spans="1:14" ht="13.5" thickBot="1" x14ac:dyDescent="0.25">
      <c r="A8" s="769" t="s">
        <v>1179</v>
      </c>
      <c r="B8" s="831">
        <v>231</v>
      </c>
      <c r="C8" s="835">
        <v>42227281</v>
      </c>
      <c r="D8" s="835">
        <v>96756</v>
      </c>
      <c r="E8" s="835">
        <v>0</v>
      </c>
      <c r="F8" s="1772">
        <f>(C8+D8)-E8</f>
        <v>42324037</v>
      </c>
      <c r="G8" s="834">
        <v>50</v>
      </c>
      <c r="H8" s="756">
        <v>12881595</v>
      </c>
      <c r="I8" s="756">
        <v>781521</v>
      </c>
      <c r="J8" s="756">
        <v>0</v>
      </c>
      <c r="K8" s="1781">
        <f>(H8+I8)-J8</f>
        <v>13663116</v>
      </c>
      <c r="L8" s="1781">
        <f>F8-K8</f>
        <v>28660921</v>
      </c>
    </row>
    <row r="9" spans="1:14" ht="14.25" thickTop="1" thickBot="1" x14ac:dyDescent="0.25">
      <c r="A9" s="769" t="s">
        <v>1180</v>
      </c>
      <c r="B9" s="831">
        <v>232</v>
      </c>
      <c r="C9" s="756">
        <v>0</v>
      </c>
      <c r="D9" s="756"/>
      <c r="E9" s="756"/>
      <c r="F9" s="1772">
        <f>(C9+D9)-E9</f>
        <v>0</v>
      </c>
      <c r="G9" s="834">
        <v>20</v>
      </c>
      <c r="H9" s="756">
        <v>0</v>
      </c>
      <c r="I9" s="756"/>
      <c r="J9" s="756"/>
      <c r="K9" s="1781">
        <f>(H9+I9)-J9</f>
        <v>0</v>
      </c>
      <c r="L9" s="1781">
        <f>F9-K9</f>
        <v>0</v>
      </c>
    </row>
    <row r="10" spans="1:14" ht="24" thickTop="1" thickBot="1" x14ac:dyDescent="0.25">
      <c r="A10" s="836" t="s">
        <v>1181</v>
      </c>
      <c r="B10" s="831">
        <v>240</v>
      </c>
      <c r="C10" s="837">
        <v>2529471</v>
      </c>
      <c r="D10" s="837">
        <v>0</v>
      </c>
      <c r="E10" s="837"/>
      <c r="F10" s="1776">
        <f>(C10+D10)-E10</f>
        <v>2529471</v>
      </c>
      <c r="G10" s="834">
        <v>20</v>
      </c>
      <c r="H10" s="838">
        <v>2025530</v>
      </c>
      <c r="I10" s="838">
        <v>77210</v>
      </c>
      <c r="J10" s="838"/>
      <c r="K10" s="1781">
        <f>(H10+I10)-J10</f>
        <v>2102740</v>
      </c>
      <c r="L10" s="1781">
        <f>F10-K10</f>
        <v>426731</v>
      </c>
    </row>
    <row r="11" spans="1:14" ht="13.5" thickTop="1" x14ac:dyDescent="0.2">
      <c r="A11" s="1644" t="s">
        <v>1197</v>
      </c>
      <c r="B11" s="1642">
        <v>250</v>
      </c>
      <c r="C11" s="772"/>
      <c r="D11" s="772"/>
      <c r="E11" s="772"/>
      <c r="F11" s="764"/>
      <c r="G11" s="834"/>
      <c r="H11" s="772"/>
      <c r="I11" s="772"/>
      <c r="J11" s="772"/>
      <c r="K11" s="764"/>
      <c r="L11" s="764"/>
    </row>
    <row r="12" spans="1:14" ht="13.5" thickBot="1" x14ac:dyDescent="0.25">
      <c r="A12" s="839" t="s">
        <v>1182</v>
      </c>
      <c r="B12" s="831">
        <v>251</v>
      </c>
      <c r="C12" s="835">
        <v>2818617</v>
      </c>
      <c r="D12" s="835">
        <v>242093</v>
      </c>
      <c r="E12" s="835">
        <v>249306</v>
      </c>
      <c r="F12" s="1772">
        <f>(C12+D12)-E12</f>
        <v>2811404</v>
      </c>
      <c r="G12" s="834">
        <v>10</v>
      </c>
      <c r="H12" s="756">
        <v>1649474</v>
      </c>
      <c r="I12" s="756">
        <v>281140</v>
      </c>
      <c r="J12" s="756">
        <v>249306</v>
      </c>
      <c r="K12" s="1781">
        <f>(H12+I12)-J12</f>
        <v>1681308</v>
      </c>
      <c r="L12" s="1781">
        <f>F12-K12</f>
        <v>1130096</v>
      </c>
    </row>
    <row r="13" spans="1:14" ht="14.25" thickTop="1" thickBot="1" x14ac:dyDescent="0.25">
      <c r="A13" s="839" t="s">
        <v>1183</v>
      </c>
      <c r="B13" s="831">
        <v>252</v>
      </c>
      <c r="C13" s="835">
        <v>281329</v>
      </c>
      <c r="D13" s="835"/>
      <c r="E13" s="835">
        <v>101549</v>
      </c>
      <c r="F13" s="1772">
        <f>(C13+D13)-E13</f>
        <v>179780</v>
      </c>
      <c r="G13" s="834">
        <v>5</v>
      </c>
      <c r="H13" s="756">
        <v>229448</v>
      </c>
      <c r="I13" s="756">
        <v>23646</v>
      </c>
      <c r="J13" s="756">
        <v>101549</v>
      </c>
      <c r="K13" s="1781">
        <f>(H13+I13)-J13</f>
        <v>151545</v>
      </c>
      <c r="L13" s="1781">
        <f>F13-K13</f>
        <v>28235</v>
      </c>
    </row>
    <row r="14" spans="1:14" ht="14.25" thickTop="1" thickBot="1" x14ac:dyDescent="0.25">
      <c r="A14" s="839" t="s">
        <v>1184</v>
      </c>
      <c r="B14" s="831">
        <v>253</v>
      </c>
      <c r="C14" s="756">
        <v>0</v>
      </c>
      <c r="D14" s="756"/>
      <c r="E14" s="756"/>
      <c r="F14" s="1772">
        <f>(C14+D14)-E14</f>
        <v>0</v>
      </c>
      <c r="G14" s="834">
        <v>3</v>
      </c>
      <c r="H14" s="756">
        <v>0</v>
      </c>
      <c r="I14" s="756"/>
      <c r="J14" s="756"/>
      <c r="K14" s="1781">
        <f>(H14+I14)-J14</f>
        <v>0</v>
      </c>
      <c r="L14" s="1781">
        <f>F14-K14</f>
        <v>0</v>
      </c>
    </row>
    <row r="15" spans="1:14" ht="15" customHeight="1" thickTop="1" thickBot="1" x14ac:dyDescent="0.25">
      <c r="A15" s="1643" t="s">
        <v>548</v>
      </c>
      <c r="B15" s="1642">
        <v>260</v>
      </c>
      <c r="C15" s="835">
        <v>0</v>
      </c>
      <c r="D15" s="835"/>
      <c r="E15" s="835"/>
      <c r="F15" s="1772">
        <f>(C15+D15)-E15</f>
        <v>0</v>
      </c>
      <c r="G15" s="840" t="s">
        <v>916</v>
      </c>
      <c r="H15" s="772"/>
      <c r="I15" s="772"/>
      <c r="J15" s="772"/>
      <c r="K15" s="772"/>
      <c r="L15" s="1781">
        <f>F15-K15</f>
        <v>0</v>
      </c>
    </row>
    <row r="16" spans="1:14" ht="15" customHeight="1" thickTop="1" thickBot="1" x14ac:dyDescent="0.25">
      <c r="A16" s="1777" t="s">
        <v>663</v>
      </c>
      <c r="B16" s="1778">
        <v>200</v>
      </c>
      <c r="C16" s="1772">
        <f>SUM(C3,C5:C6,C8:C10,C12:C15)</f>
        <v>48982900</v>
      </c>
      <c r="D16" s="1772">
        <f>SUM(D3,D5:D6,D8:D10,D12:D15)</f>
        <v>338849</v>
      </c>
      <c r="E16" s="1772">
        <f>SUM(E3,E5:E6,E8:E10,E12:E15)</f>
        <v>350855</v>
      </c>
      <c r="F16" s="1772">
        <f>SUM(F3,F5:F6,F8:F10,F12:F15)</f>
        <v>48970894</v>
      </c>
      <c r="G16" s="834"/>
      <c r="H16" s="1772">
        <f>SUM(H3,H6,H8:H10,H12:H14,)</f>
        <v>16786047</v>
      </c>
      <c r="I16" s="1772">
        <f>SUM(I3,I6,I8:I10,I12:I14,)</f>
        <v>1163517</v>
      </c>
      <c r="J16" s="1772">
        <f>SUM(J3,J6,J8:J10,J12:J14,)</f>
        <v>350855</v>
      </c>
      <c r="K16" s="1772">
        <f>(H16+I16)-J16</f>
        <v>17598709</v>
      </c>
      <c r="L16" s="1772">
        <f>F16-K16</f>
        <v>31372185</v>
      </c>
    </row>
    <row r="17" spans="1:12" ht="15" customHeight="1" thickTop="1" thickBot="1" x14ac:dyDescent="0.25">
      <c r="A17" s="1645" t="s">
        <v>308</v>
      </c>
      <c r="B17" s="1642">
        <v>700</v>
      </c>
      <c r="C17" s="760"/>
      <c r="D17" s="760"/>
      <c r="E17" s="760"/>
      <c r="F17" s="1772">
        <f>SUM('Expenditures 15-22'!I114,'Expenditures 15-22'!I151,'Expenditures 15-22'!I210,'Expenditures 15-22'!I312,'Expenditures 15-22'!I342,'Expenditures 15-22'!I367)</f>
        <v>0</v>
      </c>
      <c r="G17" s="828">
        <v>10</v>
      </c>
      <c r="H17" s="760"/>
      <c r="I17" s="1781">
        <f>F17/G17</f>
        <v>0</v>
      </c>
      <c r="J17" s="760"/>
      <c r="K17" s="786"/>
      <c r="L17" s="786"/>
    </row>
    <row r="18" spans="1:12" ht="14.25" thickTop="1" thickBot="1" x14ac:dyDescent="0.25">
      <c r="A18" s="1779" t="s">
        <v>705</v>
      </c>
      <c r="B18" s="1780"/>
      <c r="C18" s="762"/>
      <c r="D18" s="762"/>
      <c r="E18" s="762"/>
      <c r="F18" s="841"/>
      <c r="G18" s="842"/>
      <c r="H18" s="764"/>
      <c r="I18" s="1772">
        <f>SUM(I16,I17)</f>
        <v>1163517</v>
      </c>
      <c r="J18" s="764"/>
      <c r="K18" s="764"/>
      <c r="L18" s="764"/>
    </row>
    <row r="19" spans="1:12" ht="12" customHeight="1" thickTop="1" x14ac:dyDescent="0.2">
      <c r="F19" s="502"/>
      <c r="L19" s="502"/>
    </row>
    <row r="20" spans="1:12" ht="12" customHeight="1" x14ac:dyDescent="0.2">
      <c r="A20" s="843"/>
      <c r="B20" s="500"/>
      <c r="F20" s="502"/>
      <c r="L20" s="502"/>
    </row>
    <row r="21" spans="1:12" ht="12" customHeight="1" x14ac:dyDescent="0.2">
      <c r="B21" s="500"/>
      <c r="F21" s="502"/>
      <c r="L21" s="502"/>
    </row>
    <row r="22" spans="1:12" ht="12" customHeight="1" x14ac:dyDescent="0.2">
      <c r="B22" s="500"/>
      <c r="F22" s="502"/>
      <c r="L22" s="502"/>
    </row>
    <row r="23" spans="1:12" ht="12" customHeight="1" x14ac:dyDescent="0.2">
      <c r="A23" s="844"/>
      <c r="B23" s="500"/>
      <c r="F23" s="502"/>
      <c r="L23" s="502"/>
    </row>
    <row r="24" spans="1:12" ht="12" customHeight="1" x14ac:dyDescent="0.2">
      <c r="B24" s="500"/>
      <c r="F24" s="502"/>
      <c r="L24" s="502"/>
    </row>
    <row r="25" spans="1:12" x14ac:dyDescent="0.2">
      <c r="F25" s="502"/>
      <c r="L25" s="502"/>
    </row>
    <row r="26" spans="1:12" ht="10.9" customHeight="1" x14ac:dyDescent="0.2">
      <c r="A26" s="845"/>
      <c r="B26" s="247"/>
      <c r="D26" s="347"/>
    </row>
    <row r="27" spans="1:12" x14ac:dyDescent="0.2">
      <c r="A27" s="84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28" activePane="bottomLeft" state="frozen"/>
      <selection activeCell="P51" sqref="P51:P52"/>
      <selection pane="bottomLeft" activeCell="J60" sqref="J60"/>
    </sheetView>
  </sheetViews>
  <sheetFormatPr defaultColWidth="8.7109375" defaultRowHeight="11.25" x14ac:dyDescent="0.2"/>
  <cols>
    <col min="1" max="1" width="22.140625" style="847" customWidth="1"/>
    <col min="2" max="2" width="31.85546875" style="847" customWidth="1"/>
    <col min="3" max="3" width="6.7109375" style="854" customWidth="1"/>
    <col min="4" max="4" width="55.7109375" style="847" customWidth="1"/>
    <col min="5" max="5" width="3.140625" style="854" customWidth="1"/>
    <col min="6" max="6" width="17.42578125" style="847" customWidth="1"/>
    <col min="7" max="7" width="0.85546875" style="847" customWidth="1"/>
    <col min="8" max="8" width="2.28515625" style="847" customWidth="1"/>
    <col min="9" max="16384" width="8.7109375" style="847"/>
  </cols>
  <sheetData>
    <row r="1" spans="1:7" ht="19.5" customHeight="1" thickTop="1" x14ac:dyDescent="0.2">
      <c r="A1" s="2290" t="s">
        <v>1698</v>
      </c>
      <c r="B1" s="2291"/>
      <c r="C1" s="2291"/>
      <c r="D1" s="2291"/>
      <c r="E1" s="2291"/>
      <c r="F1" s="2292"/>
      <c r="G1" s="846"/>
    </row>
    <row r="2" spans="1:7" ht="15" customHeight="1" thickBot="1" x14ac:dyDescent="0.25">
      <c r="A2" s="2293" t="s">
        <v>497</v>
      </c>
      <c r="B2" s="2294"/>
      <c r="C2" s="2294"/>
      <c r="D2" s="2294"/>
      <c r="E2" s="2294"/>
      <c r="F2" s="2295"/>
      <c r="G2" s="848"/>
    </row>
    <row r="3" spans="1:7" ht="5.25" customHeight="1" thickTop="1" x14ac:dyDescent="0.2">
      <c r="A3" s="849"/>
      <c r="B3" s="850"/>
      <c r="C3" s="851"/>
      <c r="D3" s="850"/>
      <c r="E3" s="851"/>
      <c r="F3" s="850"/>
      <c r="G3" s="850"/>
    </row>
    <row r="4" spans="1:7" ht="12.2" customHeight="1" x14ac:dyDescent="0.2">
      <c r="A4" s="852" t="s">
        <v>1136</v>
      </c>
      <c r="B4" s="853" t="s">
        <v>117</v>
      </c>
      <c r="D4" s="855" t="s">
        <v>531</v>
      </c>
      <c r="F4" s="853" t="s">
        <v>919</v>
      </c>
    </row>
    <row r="5" spans="1:7" ht="7.5" customHeight="1" x14ac:dyDescent="0.2">
      <c r="A5" s="2296"/>
      <c r="B5" s="2297"/>
      <c r="C5" s="2297"/>
      <c r="D5" s="2297"/>
      <c r="E5" s="2297"/>
      <c r="F5" s="2297"/>
    </row>
    <row r="6" spans="1:7" ht="13.5" customHeight="1" thickBot="1" x14ac:dyDescent="0.25">
      <c r="A6" s="2287" t="s">
        <v>1165</v>
      </c>
      <c r="B6" s="2288"/>
      <c r="C6" s="2288"/>
      <c r="D6" s="2288"/>
      <c r="E6" s="2288"/>
      <c r="F6" s="2289"/>
      <c r="G6" s="856"/>
    </row>
    <row r="7" spans="1:7" s="856" customFormat="1" ht="12" thickTop="1" x14ac:dyDescent="0.2">
      <c r="A7" s="857" t="s">
        <v>522</v>
      </c>
      <c r="B7" s="858"/>
      <c r="C7" s="859"/>
      <c r="D7" s="858"/>
      <c r="E7" s="859"/>
      <c r="F7" s="858"/>
    </row>
    <row r="8" spans="1:7" x14ac:dyDescent="0.2">
      <c r="A8" s="860" t="s">
        <v>478</v>
      </c>
      <c r="B8" s="861" t="s">
        <v>1543</v>
      </c>
      <c r="C8" s="862"/>
      <c r="D8" s="860" t="s">
        <v>521</v>
      </c>
      <c r="E8" s="859" t="s">
        <v>1014</v>
      </c>
      <c r="F8" s="1922">
        <f>'Expenditures 15-22'!K114</f>
        <v>13842230</v>
      </c>
      <c r="G8" s="856"/>
    </row>
    <row r="9" spans="1:7" x14ac:dyDescent="0.2">
      <c r="A9" s="860" t="s">
        <v>479</v>
      </c>
      <c r="B9" s="861" t="s">
        <v>1988</v>
      </c>
      <c r="C9" s="862"/>
      <c r="D9" s="860" t="s">
        <v>521</v>
      </c>
      <c r="E9" s="859"/>
      <c r="F9" s="1923">
        <f>'Expenditures 15-22'!K151</f>
        <v>1483779</v>
      </c>
      <c r="G9" s="863"/>
    </row>
    <row r="10" spans="1:7" x14ac:dyDescent="0.2">
      <c r="A10" s="860" t="s">
        <v>519</v>
      </c>
      <c r="B10" s="861" t="s">
        <v>1989</v>
      </c>
      <c r="C10" s="862"/>
      <c r="D10" s="860" t="s">
        <v>521</v>
      </c>
      <c r="E10" s="859"/>
      <c r="F10" s="1923">
        <f>'Expenditures 15-22'!K174</f>
        <v>2799130</v>
      </c>
      <c r="G10" s="863"/>
    </row>
    <row r="11" spans="1:7" x14ac:dyDescent="0.2">
      <c r="A11" s="860" t="s">
        <v>480</v>
      </c>
      <c r="B11" s="861" t="s">
        <v>1990</v>
      </c>
      <c r="C11" s="862"/>
      <c r="D11" s="860" t="s">
        <v>521</v>
      </c>
      <c r="E11" s="859"/>
      <c r="F11" s="1923">
        <f>'Expenditures 15-22'!K210</f>
        <v>1084203</v>
      </c>
      <c r="G11" s="863"/>
    </row>
    <row r="12" spans="1:7" x14ac:dyDescent="0.2">
      <c r="A12" s="860" t="s">
        <v>481</v>
      </c>
      <c r="B12" s="861" t="s">
        <v>1991</v>
      </c>
      <c r="C12" s="862"/>
      <c r="D12" s="860" t="s">
        <v>521</v>
      </c>
      <c r="E12" s="859"/>
      <c r="F12" s="1923">
        <f>'Expenditures 15-22'!K295</f>
        <v>441148</v>
      </c>
      <c r="G12" s="863"/>
    </row>
    <row r="13" spans="1:7" x14ac:dyDescent="0.2">
      <c r="A13" s="860" t="s">
        <v>108</v>
      </c>
      <c r="B13" s="861" t="s">
        <v>1992</v>
      </c>
      <c r="C13" s="862"/>
      <c r="D13" s="860" t="s">
        <v>521</v>
      </c>
      <c r="E13" s="859"/>
      <c r="F13" s="1923">
        <f>'Expenditures 15-22'!K342</f>
        <v>572225</v>
      </c>
      <c r="G13" s="864"/>
    </row>
    <row r="14" spans="1:7" ht="12" customHeight="1" thickBot="1" x14ac:dyDescent="0.25">
      <c r="A14" s="1782"/>
      <c r="B14" s="1783"/>
      <c r="C14" s="1784"/>
      <c r="D14" s="1785" t="s">
        <v>521</v>
      </c>
      <c r="E14" s="1786" t="s">
        <v>1014</v>
      </c>
      <c r="F14" s="1787">
        <f>SUM(F8:F13)</f>
        <v>20222715</v>
      </c>
      <c r="G14" s="856"/>
    </row>
    <row r="15" spans="1:7" ht="3.75" customHeight="1" thickTop="1" x14ac:dyDescent="0.2">
      <c r="A15" s="856"/>
      <c r="B15" s="856"/>
      <c r="C15" s="862"/>
      <c r="D15" s="856"/>
      <c r="E15" s="859"/>
      <c r="F15" s="856"/>
      <c r="G15" s="856"/>
    </row>
    <row r="16" spans="1:7" ht="12" customHeight="1" x14ac:dyDescent="0.2">
      <c r="A16" s="865" t="s">
        <v>532</v>
      </c>
      <c r="B16" s="231"/>
      <c r="C16" s="231"/>
      <c r="D16" s="858"/>
      <c r="E16" s="859"/>
      <c r="F16" s="858"/>
      <c r="G16" s="856"/>
    </row>
    <row r="17" spans="1:7" ht="4.5" customHeight="1" x14ac:dyDescent="0.2">
      <c r="A17" s="865"/>
      <c r="B17" s="231"/>
      <c r="C17" s="231"/>
      <c r="D17" s="858"/>
      <c r="E17" s="859"/>
      <c r="F17" s="858"/>
      <c r="G17" s="856"/>
    </row>
    <row r="18" spans="1:7" x14ac:dyDescent="0.2">
      <c r="A18" s="860" t="s">
        <v>480</v>
      </c>
      <c r="B18" s="861" t="s">
        <v>1067</v>
      </c>
      <c r="C18" s="866">
        <f>'Revenues 9-14'!B43</f>
        <v>1412</v>
      </c>
      <c r="D18" s="867" t="str">
        <f>'Revenues 9-14'!A43</f>
        <v>Regular - Transp Fees from Other Districts (In State)</v>
      </c>
      <c r="E18" s="859" t="s">
        <v>1014</v>
      </c>
      <c r="F18" s="1924">
        <f>'Revenues 9-14'!F43</f>
        <v>0</v>
      </c>
      <c r="G18" s="856"/>
    </row>
    <row r="19" spans="1:7" x14ac:dyDescent="0.2">
      <c r="A19" s="860" t="s">
        <v>480</v>
      </c>
      <c r="B19" s="861" t="s">
        <v>1068</v>
      </c>
      <c r="C19" s="868">
        <f>'Revenues 9-14'!B47</f>
        <v>1421</v>
      </c>
      <c r="D19" s="869" t="str">
        <f>'Revenues 9-14'!A47</f>
        <v>Summer Sch - Transp. Fees from Pupils or Parents (In State)</v>
      </c>
      <c r="E19" s="870"/>
      <c r="F19" s="1925">
        <f>'Revenues 9-14'!F47</f>
        <v>0</v>
      </c>
      <c r="G19" s="856"/>
    </row>
    <row r="20" spans="1:7" x14ac:dyDescent="0.2">
      <c r="A20" s="860" t="s">
        <v>480</v>
      </c>
      <c r="B20" s="861" t="s">
        <v>1069</v>
      </c>
      <c r="C20" s="866">
        <f>'Revenues 9-14'!B48</f>
        <v>1422</v>
      </c>
      <c r="D20" s="867" t="str">
        <f>'Revenues 9-14'!A48</f>
        <v>Summer Sch - Transp. Fees from Other Districts (In State)</v>
      </c>
      <c r="E20" s="859"/>
      <c r="F20" s="1926">
        <f>'Revenues 9-14'!F48</f>
        <v>0</v>
      </c>
      <c r="G20" s="856"/>
    </row>
    <row r="21" spans="1:7" x14ac:dyDescent="0.2">
      <c r="A21" s="860" t="s">
        <v>480</v>
      </c>
      <c r="B21" s="861" t="s">
        <v>1070</v>
      </c>
      <c r="C21" s="868">
        <f>'Revenues 9-14'!B49</f>
        <v>1423</v>
      </c>
      <c r="D21" s="867" t="str">
        <f>'Revenues 9-14'!A49</f>
        <v>Summer Sch - Transp. Fees from Other Sources (In State)</v>
      </c>
      <c r="E21" s="859"/>
      <c r="F21" s="1927">
        <f>'Revenues 9-14'!F49</f>
        <v>0</v>
      </c>
      <c r="G21" s="856"/>
    </row>
    <row r="22" spans="1:7" x14ac:dyDescent="0.2">
      <c r="A22" s="860" t="s">
        <v>480</v>
      </c>
      <c r="B22" s="861" t="s">
        <v>1071</v>
      </c>
      <c r="C22" s="868">
        <f>'Revenues 9-14'!B50</f>
        <v>1424</v>
      </c>
      <c r="D22" s="867" t="str">
        <f>'Revenues 9-14'!A50</f>
        <v>Summer Sch - Transp. Fees from Other Sources (Out of State)</v>
      </c>
      <c r="E22" s="859"/>
      <c r="F22" s="1927">
        <f>'Revenues 9-14'!F50</f>
        <v>0</v>
      </c>
      <c r="G22" s="856"/>
    </row>
    <row r="23" spans="1:7" x14ac:dyDescent="0.2">
      <c r="A23" s="860" t="s">
        <v>480</v>
      </c>
      <c r="B23" s="861" t="s">
        <v>1072</v>
      </c>
      <c r="C23" s="866">
        <f>'Revenues 9-14'!B52</f>
        <v>1432</v>
      </c>
      <c r="D23" s="867" t="str">
        <f>'Revenues 9-14'!A52</f>
        <v>CTE - Transp Fees from Other Districts (In State)</v>
      </c>
      <c r="E23" s="859"/>
      <c r="F23" s="1927">
        <f>'Revenues 9-14'!F52</f>
        <v>0</v>
      </c>
      <c r="G23" s="856"/>
    </row>
    <row r="24" spans="1:7" x14ac:dyDescent="0.2">
      <c r="A24" s="860" t="s">
        <v>480</v>
      </c>
      <c r="B24" s="861" t="s">
        <v>1073</v>
      </c>
      <c r="C24" s="866">
        <f>'Revenues 9-14'!B56</f>
        <v>1442</v>
      </c>
      <c r="D24" s="867" t="str">
        <f>'Revenues 9-14'!A56</f>
        <v>Special Ed - Transp Fees from Other Districts (In State)</v>
      </c>
      <c r="E24" s="859"/>
      <c r="F24" s="1927">
        <f>'Revenues 9-14'!F56</f>
        <v>0</v>
      </c>
      <c r="G24" s="856"/>
    </row>
    <row r="25" spans="1:7" x14ac:dyDescent="0.2">
      <c r="A25" s="860" t="s">
        <v>480</v>
      </c>
      <c r="B25" s="861" t="s">
        <v>1074</v>
      </c>
      <c r="C25" s="866">
        <f>'Revenues 9-14'!B59</f>
        <v>1451</v>
      </c>
      <c r="D25" s="867" t="str">
        <f>'Revenues 9-14'!A59</f>
        <v>Adult - Transp Fees from Pupils or Parents (In State)</v>
      </c>
      <c r="E25" s="859"/>
      <c r="F25" s="1927">
        <f>'Revenues 9-14'!F59</f>
        <v>0</v>
      </c>
      <c r="G25" s="856"/>
    </row>
    <row r="26" spans="1:7" x14ac:dyDescent="0.2">
      <c r="A26" s="860" t="s">
        <v>480</v>
      </c>
      <c r="B26" s="861" t="s">
        <v>1075</v>
      </c>
      <c r="C26" s="866">
        <f>'Revenues 9-14'!B60</f>
        <v>1452</v>
      </c>
      <c r="D26" s="867" t="str">
        <f>'Revenues 9-14'!A60</f>
        <v>Adult - Transp Fees from Other Districts (In State)</v>
      </c>
      <c r="E26" s="859"/>
      <c r="F26" s="1927">
        <f>'Revenues 9-14'!F60</f>
        <v>0</v>
      </c>
      <c r="G26" s="856"/>
    </row>
    <row r="27" spans="1:7" x14ac:dyDescent="0.2">
      <c r="A27" s="860" t="s">
        <v>480</v>
      </c>
      <c r="B27" s="861" t="s">
        <v>1076</v>
      </c>
      <c r="C27" s="866">
        <f>'Revenues 9-14'!B61</f>
        <v>1453</v>
      </c>
      <c r="D27" s="867" t="str">
        <f>'Revenues 9-14'!A61</f>
        <v>Adult - Transp Fees from Other Sources (In State)</v>
      </c>
      <c r="E27" s="859"/>
      <c r="F27" s="1927">
        <f>'Revenues 9-14'!F61</f>
        <v>0</v>
      </c>
      <c r="G27" s="856"/>
    </row>
    <row r="28" spans="1:7" x14ac:dyDescent="0.2">
      <c r="A28" s="860" t="s">
        <v>480</v>
      </c>
      <c r="B28" s="861" t="s">
        <v>1077</v>
      </c>
      <c r="C28" s="866">
        <f>'Revenues 9-14'!B62</f>
        <v>1454</v>
      </c>
      <c r="D28" s="867" t="str">
        <f>'Revenues 9-14'!A62</f>
        <v>Adult - Transp Fees from Other Sources (Out of State)</v>
      </c>
      <c r="E28" s="859"/>
      <c r="F28" s="1927">
        <f>'Revenues 9-14'!F62</f>
        <v>0</v>
      </c>
      <c r="G28" s="856"/>
    </row>
    <row r="29" spans="1:7" x14ac:dyDescent="0.2">
      <c r="A29" s="860" t="s">
        <v>1158</v>
      </c>
      <c r="B29" s="861" t="s">
        <v>1682</v>
      </c>
      <c r="C29" s="871">
        <f>'Revenues 9-14'!B148</f>
        <v>3410</v>
      </c>
      <c r="D29" s="872" t="str">
        <f>'Revenues 9-14'!A148</f>
        <v>Adult Ed (from ICCB)</v>
      </c>
      <c r="E29" s="859"/>
      <c r="F29" s="1927">
        <f>SUM('Revenues 9-14'!D148,F149)</f>
        <v>0</v>
      </c>
      <c r="G29" s="856"/>
    </row>
    <row r="30" spans="1:7" x14ac:dyDescent="0.2">
      <c r="A30" s="860" t="s">
        <v>1158</v>
      </c>
      <c r="B30" s="861" t="s">
        <v>860</v>
      </c>
      <c r="C30" s="871">
        <f>'Revenues 9-14'!B149</f>
        <v>3499</v>
      </c>
      <c r="D30" s="872" t="str">
        <f>'Revenues 9-14'!A149</f>
        <v>Adult Ed - Other (Describe &amp; Itemize)</v>
      </c>
      <c r="E30" s="859"/>
      <c r="F30" s="1928">
        <f>('Revenues 9-14'!D149+'Revenues 9-14'!F149)</f>
        <v>0</v>
      </c>
      <c r="G30" s="856"/>
    </row>
    <row r="31" spans="1:7" x14ac:dyDescent="0.2">
      <c r="A31" s="860" t="s">
        <v>1158</v>
      </c>
      <c r="B31" s="861" t="s">
        <v>861</v>
      </c>
      <c r="C31" s="866">
        <f>'Revenues 9-14'!B218</f>
        <v>4600</v>
      </c>
      <c r="D31" s="874" t="str">
        <f>'Revenues 9-14'!A218</f>
        <v>Fed - Spec Education - Preschool Flow-Through</v>
      </c>
      <c r="E31" s="875"/>
      <c r="F31" s="1927">
        <f>SUM('Revenues 9-14'!D218,'Revenues 9-14'!F218)</f>
        <v>0</v>
      </c>
      <c r="G31" s="856"/>
    </row>
    <row r="32" spans="1:7" x14ac:dyDescent="0.2">
      <c r="A32" s="860" t="s">
        <v>1158</v>
      </c>
      <c r="B32" s="861" t="s">
        <v>799</v>
      </c>
      <c r="C32" s="866">
        <f>'Revenues 9-14'!B219</f>
        <v>4605</v>
      </c>
      <c r="D32" s="876" t="str">
        <f>'Revenues 9-14'!A219</f>
        <v>Fed - Spec Education - Preschool Discretionary</v>
      </c>
      <c r="E32" s="875"/>
      <c r="F32" s="1927">
        <f>SUM('Revenues 9-14'!D219,'Revenues 9-14'!F219)</f>
        <v>0</v>
      </c>
      <c r="G32" s="856"/>
    </row>
    <row r="33" spans="1:7" x14ac:dyDescent="0.2">
      <c r="A33" s="860" t="s">
        <v>479</v>
      </c>
      <c r="B33" s="861" t="s">
        <v>800</v>
      </c>
      <c r="C33" s="866">
        <f>'Revenues 9-14'!B229</f>
        <v>4810</v>
      </c>
      <c r="D33" s="874" t="str">
        <f>'Revenues 9-14'!A229</f>
        <v>Federal - Adult Education</v>
      </c>
      <c r="E33" s="859"/>
      <c r="F33" s="1927">
        <f>'Revenues 9-14'!D229</f>
        <v>0</v>
      </c>
      <c r="G33" s="856"/>
    </row>
    <row r="34" spans="1:7" x14ac:dyDescent="0.2">
      <c r="A34" s="860" t="s">
        <v>478</v>
      </c>
      <c r="B34" s="860" t="s">
        <v>1544</v>
      </c>
      <c r="C34" s="877" t="str">
        <f>'Expenditures 15-22'!B7</f>
        <v>1125</v>
      </c>
      <c r="D34" s="878" t="str">
        <f>'Expenditures 15-22'!A7</f>
        <v>Pre-K Programs</v>
      </c>
      <c r="E34" s="859"/>
      <c r="F34" s="1927">
        <f>'Expenditures 15-22'!K7-SUM('Expenditures 15-22'!G7,'Expenditures 15-22'!I7)</f>
        <v>0</v>
      </c>
      <c r="G34" s="856"/>
    </row>
    <row r="35" spans="1:7" x14ac:dyDescent="0.2">
      <c r="A35" s="860" t="s">
        <v>478</v>
      </c>
      <c r="B35" s="860" t="s">
        <v>1545</v>
      </c>
      <c r="C35" s="877" t="str">
        <f>'Expenditures 15-22'!B9</f>
        <v>1225</v>
      </c>
      <c r="D35" s="878" t="str">
        <f>'Expenditures 15-22'!A9</f>
        <v>Special Education Programs Pre-K</v>
      </c>
      <c r="E35" s="859"/>
      <c r="F35" s="1927">
        <f>'Expenditures 15-22'!K9-SUM('Expenditures 15-22'!G9+'Expenditures 15-22'!I9)</f>
        <v>0</v>
      </c>
      <c r="G35" s="856"/>
    </row>
    <row r="36" spans="1:7" x14ac:dyDescent="0.2">
      <c r="A36" s="860" t="s">
        <v>478</v>
      </c>
      <c r="B36" s="860" t="s">
        <v>118</v>
      </c>
      <c r="C36" s="877" t="str">
        <f>'Expenditures 15-22'!B11</f>
        <v>1275</v>
      </c>
      <c r="D36" s="878" t="str">
        <f>'Expenditures 15-22'!A11</f>
        <v>Remedial and Supplemental Programs Pre-K</v>
      </c>
      <c r="E36" s="859"/>
      <c r="F36" s="1927">
        <f>'Expenditures 15-22'!K11-SUM('Expenditures 15-22'!G11,'Expenditures 15-22'!I11)</f>
        <v>0</v>
      </c>
      <c r="G36" s="856"/>
    </row>
    <row r="37" spans="1:7" x14ac:dyDescent="0.2">
      <c r="A37" s="860" t="s">
        <v>478</v>
      </c>
      <c r="B37" s="860" t="s">
        <v>1546</v>
      </c>
      <c r="C37" s="877">
        <f>'Expenditures 15-22'!B12</f>
        <v>1300</v>
      </c>
      <c r="D37" s="879" t="str">
        <f>'Expenditures 15-22'!A12</f>
        <v>Adult/Continuing Education Programs</v>
      </c>
      <c r="E37" s="859"/>
      <c r="F37" s="1927">
        <f>'Expenditures 15-22'!K12-SUM('Expenditures 15-22'!G12+'Expenditures 15-22'!I12)</f>
        <v>0</v>
      </c>
      <c r="G37" s="856"/>
    </row>
    <row r="38" spans="1:7" x14ac:dyDescent="0.2">
      <c r="A38" s="860" t="s">
        <v>478</v>
      </c>
      <c r="B38" s="860" t="s">
        <v>1547</v>
      </c>
      <c r="C38" s="877">
        <f>'Expenditures 15-22'!B15</f>
        <v>1600</v>
      </c>
      <c r="D38" s="879" t="str">
        <f>'Expenditures 15-22'!A15</f>
        <v>Summer School Programs</v>
      </c>
      <c r="E38" s="859"/>
      <c r="F38" s="1927">
        <f>'Expenditures 15-22'!K15-SUM('Expenditures 15-22'!G15,'Expenditures 15-22'!I15)</f>
        <v>1012</v>
      </c>
      <c r="G38" s="856"/>
    </row>
    <row r="39" spans="1:7" x14ac:dyDescent="0.2">
      <c r="A39" s="860" t="s">
        <v>478</v>
      </c>
      <c r="B39" s="860" t="s">
        <v>119</v>
      </c>
      <c r="C39" s="877" t="str">
        <f>'Expenditures 15-22'!B20</f>
        <v>1910</v>
      </c>
      <c r="D39" s="879" t="str">
        <f>'Expenditures 15-22'!A20</f>
        <v>Pre-K Programs - Private Tuition</v>
      </c>
      <c r="E39" s="859"/>
      <c r="F39" s="1927">
        <f>'Expenditures 15-22'!K20</f>
        <v>0</v>
      </c>
      <c r="G39" s="856"/>
    </row>
    <row r="40" spans="1:7" x14ac:dyDescent="0.2">
      <c r="A40" s="860" t="s">
        <v>478</v>
      </c>
      <c r="B40" s="860" t="s">
        <v>120</v>
      </c>
      <c r="C40" s="877" t="str">
        <f>'Expenditures 15-22'!B21</f>
        <v>1911</v>
      </c>
      <c r="D40" s="879" t="str">
        <f>'Expenditures 15-22'!A21</f>
        <v>Regular K-12 Programs - Private Tuition</v>
      </c>
      <c r="E40" s="859"/>
      <c r="F40" s="1927">
        <f>'Expenditures 15-22'!K21</f>
        <v>0</v>
      </c>
      <c r="G40" s="856"/>
    </row>
    <row r="41" spans="1:7" x14ac:dyDescent="0.2">
      <c r="A41" s="860" t="s">
        <v>478</v>
      </c>
      <c r="B41" s="860" t="s">
        <v>121</v>
      </c>
      <c r="C41" s="877" t="str">
        <f>'Expenditures 15-22'!B22</f>
        <v>1912</v>
      </c>
      <c r="D41" s="879" t="str">
        <f>'Expenditures 15-22'!A22</f>
        <v>Special Education Programs K-12 - Private Tuition</v>
      </c>
      <c r="E41" s="859"/>
      <c r="F41" s="1927">
        <f>'Expenditures 15-22'!K22</f>
        <v>685508</v>
      </c>
      <c r="G41" s="856"/>
    </row>
    <row r="42" spans="1:7" x14ac:dyDescent="0.2">
      <c r="A42" s="860" t="s">
        <v>478</v>
      </c>
      <c r="B42" s="860" t="s">
        <v>122</v>
      </c>
      <c r="C42" s="880" t="str">
        <f>'Expenditures 15-22'!B23</f>
        <v>1913</v>
      </c>
      <c r="D42" s="879" t="str">
        <f>'Expenditures 15-22'!A23</f>
        <v>Special Education Programs Pre-K - Tuition</v>
      </c>
      <c r="E42" s="859"/>
      <c r="F42" s="1927">
        <f>'Expenditures 15-22'!K23</f>
        <v>0</v>
      </c>
      <c r="G42" s="856"/>
    </row>
    <row r="43" spans="1:7" x14ac:dyDescent="0.2">
      <c r="A43" s="860" t="s">
        <v>478</v>
      </c>
      <c r="B43" s="860" t="s">
        <v>123</v>
      </c>
      <c r="C43" s="877" t="str">
        <f>'Expenditures 15-22'!B24</f>
        <v>1914</v>
      </c>
      <c r="D43" s="879" t="str">
        <f>'Expenditures 15-22'!A24</f>
        <v>Remedial/Supplemental Programs K-12 - Private Tuition</v>
      </c>
      <c r="E43" s="859"/>
      <c r="F43" s="1927">
        <f>'Expenditures 15-22'!K24</f>
        <v>0</v>
      </c>
      <c r="G43" s="856"/>
    </row>
    <row r="44" spans="1:7" x14ac:dyDescent="0.2">
      <c r="A44" s="860" t="s">
        <v>478</v>
      </c>
      <c r="B44" s="860" t="s">
        <v>124</v>
      </c>
      <c r="C44" s="880" t="str">
        <f>'Expenditures 15-22'!B25</f>
        <v>1915</v>
      </c>
      <c r="D44" s="879" t="str">
        <f>'Expenditures 15-22'!A25</f>
        <v>Remedial/Supplemental Programs Pre-K - Private Tuition</v>
      </c>
      <c r="E44" s="859"/>
      <c r="F44" s="1927">
        <f>'Expenditures 15-22'!K25</f>
        <v>0</v>
      </c>
      <c r="G44" s="856"/>
    </row>
    <row r="45" spans="1:7" x14ac:dyDescent="0.2">
      <c r="A45" s="860" t="s">
        <v>478</v>
      </c>
      <c r="B45" s="860" t="s">
        <v>125</v>
      </c>
      <c r="C45" s="880" t="str">
        <f>'Expenditures 15-22'!B26</f>
        <v>1916</v>
      </c>
      <c r="D45" s="879" t="str">
        <f>'Expenditures 15-22'!A26</f>
        <v>Adult/Continuing Education Programs - Private Tuition</v>
      </c>
      <c r="E45" s="859"/>
      <c r="F45" s="1927">
        <f>'Expenditures 15-22'!K26</f>
        <v>0</v>
      </c>
      <c r="G45" s="856"/>
    </row>
    <row r="46" spans="1:7" x14ac:dyDescent="0.2">
      <c r="A46" s="860" t="s">
        <v>478</v>
      </c>
      <c r="B46" s="860" t="s">
        <v>126</v>
      </c>
      <c r="C46" s="877" t="str">
        <f>'Expenditures 15-22'!B27</f>
        <v>1917</v>
      </c>
      <c r="D46" s="879" t="str">
        <f>'Expenditures 15-22'!A27</f>
        <v>CTE Programs - Private Tuition</v>
      </c>
      <c r="E46" s="859"/>
      <c r="F46" s="1927">
        <f>'Expenditures 15-22'!K27</f>
        <v>0</v>
      </c>
      <c r="G46" s="856"/>
    </row>
    <row r="47" spans="1:7" x14ac:dyDescent="0.2">
      <c r="A47" s="860" t="s">
        <v>478</v>
      </c>
      <c r="B47" s="860" t="s">
        <v>127</v>
      </c>
      <c r="C47" s="881" t="str">
        <f>'Expenditures 15-22'!B28</f>
        <v>1918</v>
      </c>
      <c r="D47" s="882" t="str">
        <f>'Expenditures 15-22'!A28</f>
        <v>Interscholastic Programs - Private Tuition</v>
      </c>
      <c r="E47" s="859"/>
      <c r="F47" s="1927">
        <f>'Expenditures 15-22'!K28</f>
        <v>0</v>
      </c>
      <c r="G47" s="856"/>
    </row>
    <row r="48" spans="1:7" x14ac:dyDescent="0.2">
      <c r="A48" s="860" t="s">
        <v>478</v>
      </c>
      <c r="B48" s="860" t="s">
        <v>128</v>
      </c>
      <c r="C48" s="880" t="str">
        <f>'Expenditures 15-22'!B29</f>
        <v>1919</v>
      </c>
      <c r="D48" s="879" t="str">
        <f>'Expenditures 15-22'!A29</f>
        <v>Summer School Programs - Private Tuition</v>
      </c>
      <c r="E48" s="859"/>
      <c r="F48" s="1927">
        <f>'Expenditures 15-22'!K29</f>
        <v>0</v>
      </c>
      <c r="G48" s="856"/>
    </row>
    <row r="49" spans="1:7" x14ac:dyDescent="0.2">
      <c r="A49" s="860" t="s">
        <v>478</v>
      </c>
      <c r="B49" s="860" t="s">
        <v>129</v>
      </c>
      <c r="C49" s="877" t="str">
        <f>'Expenditures 15-22'!B30</f>
        <v>1920</v>
      </c>
      <c r="D49" s="879" t="str">
        <f>'Expenditures 15-22'!A30</f>
        <v>Gifted Programs - Private Tuition</v>
      </c>
      <c r="E49" s="859"/>
      <c r="F49" s="1927">
        <f>'Expenditures 15-22'!K30</f>
        <v>0</v>
      </c>
      <c r="G49" s="856"/>
    </row>
    <row r="50" spans="1:7" x14ac:dyDescent="0.2">
      <c r="A50" s="860" t="s">
        <v>478</v>
      </c>
      <c r="B50" s="860" t="s">
        <v>130</v>
      </c>
      <c r="C50" s="877" t="str">
        <f>'Expenditures 15-22'!B31</f>
        <v>1921</v>
      </c>
      <c r="D50" s="879" t="str">
        <f>'Expenditures 15-22'!A31</f>
        <v>Bilingual Programs - Private Tuition</v>
      </c>
      <c r="E50" s="859"/>
      <c r="F50" s="1927">
        <f>'Expenditures 15-22'!K31</f>
        <v>0</v>
      </c>
      <c r="G50" s="856"/>
    </row>
    <row r="51" spans="1:7" x14ac:dyDescent="0.2">
      <c r="A51" s="860" t="s">
        <v>478</v>
      </c>
      <c r="B51" s="860" t="s">
        <v>1548</v>
      </c>
      <c r="C51" s="877" t="str">
        <f>'Expenditures 15-22'!B32</f>
        <v>1922</v>
      </c>
      <c r="D51" s="879" t="str">
        <f>'Expenditures 15-22'!A32</f>
        <v>Truants Alternative/Optional Ed Progms - Private Tuition</v>
      </c>
      <c r="E51" s="859"/>
      <c r="F51" s="1927">
        <f>'Expenditures 15-22'!K32</f>
        <v>0</v>
      </c>
      <c r="G51" s="856"/>
    </row>
    <row r="52" spans="1:7" x14ac:dyDescent="0.2">
      <c r="A52" s="860" t="s">
        <v>478</v>
      </c>
      <c r="B52" s="860" t="s">
        <v>1549</v>
      </c>
      <c r="C52" s="880" t="str">
        <f>'Expenditures 15-22'!B75</f>
        <v>3000</v>
      </c>
      <c r="D52" s="879" t="s">
        <v>468</v>
      </c>
      <c r="E52" s="859"/>
      <c r="F52" s="1927">
        <f>'Expenditures 15-22'!K75-SUM('Expenditures 15-22'!G75,'Expenditures 15-22'!I75)</f>
        <v>16659</v>
      </c>
      <c r="G52" s="856"/>
    </row>
    <row r="53" spans="1:7" x14ac:dyDescent="0.2">
      <c r="A53" s="860" t="s">
        <v>478</v>
      </c>
      <c r="B53" s="860" t="s">
        <v>1550</v>
      </c>
      <c r="C53" s="880">
        <f>'Expenditures 15-22'!B102</f>
        <v>4000</v>
      </c>
      <c r="D53" s="879" t="str">
        <f>'Expenditures 15-22'!A102</f>
        <v>Total Payments to Other Govt Units</v>
      </c>
      <c r="E53" s="859"/>
      <c r="F53" s="1927">
        <f>'Expenditures 15-22'!K102</f>
        <v>582072</v>
      </c>
      <c r="G53" s="856"/>
    </row>
    <row r="54" spans="1:7" x14ac:dyDescent="0.2">
      <c r="A54" s="860" t="s">
        <v>478</v>
      </c>
      <c r="B54" s="860" t="s">
        <v>1551</v>
      </c>
      <c r="C54" s="880" t="s">
        <v>1038</v>
      </c>
      <c r="D54" s="876" t="s">
        <v>1156</v>
      </c>
      <c r="E54" s="859"/>
      <c r="F54" s="1927">
        <f>'Expenditures 15-22'!G114</f>
        <v>191114</v>
      </c>
      <c r="G54" s="856"/>
    </row>
    <row r="55" spans="1:7" x14ac:dyDescent="0.2">
      <c r="A55" s="860" t="s">
        <v>478</v>
      </c>
      <c r="B55" s="860" t="s">
        <v>1552</v>
      </c>
      <c r="C55" s="880" t="s">
        <v>1038</v>
      </c>
      <c r="D55" s="876" t="s">
        <v>308</v>
      </c>
      <c r="E55" s="859"/>
      <c r="F55" s="1927">
        <f>'Expenditures 15-22'!I114</f>
        <v>0</v>
      </c>
      <c r="G55" s="856"/>
    </row>
    <row r="56" spans="1:7" x14ac:dyDescent="0.2">
      <c r="A56" s="860" t="s">
        <v>479</v>
      </c>
      <c r="B56" s="860" t="s">
        <v>1553</v>
      </c>
      <c r="C56" s="877" t="str">
        <f>'Expenditures 15-22'!B130</f>
        <v>3000</v>
      </c>
      <c r="D56" s="883" t="s">
        <v>468</v>
      </c>
      <c r="E56" s="859"/>
      <c r="F56" s="1927">
        <f>'Expenditures 15-22'!K130-SUM('Expenditures 15-22'!G130+'Expenditures 15-22'!I130)</f>
        <v>0</v>
      </c>
      <c r="G56" s="856"/>
    </row>
    <row r="57" spans="1:7" x14ac:dyDescent="0.2">
      <c r="A57" s="860" t="s">
        <v>479</v>
      </c>
      <c r="B57" s="860" t="s">
        <v>1993</v>
      </c>
      <c r="C57" s="880">
        <f>'Expenditures 15-22'!B139</f>
        <v>4000</v>
      </c>
      <c r="D57" s="878" t="str">
        <f>'Expenditures 15-22'!A139</f>
        <v>Total Payments to Other Govt Units</v>
      </c>
      <c r="E57" s="859"/>
      <c r="F57" s="1927">
        <f>'Expenditures 15-22'!K139</f>
        <v>0</v>
      </c>
      <c r="G57" s="856"/>
    </row>
    <row r="58" spans="1:7" x14ac:dyDescent="0.2">
      <c r="A58" s="860" t="s">
        <v>479</v>
      </c>
      <c r="B58" s="860" t="s">
        <v>1994</v>
      </c>
      <c r="C58" s="877" t="s">
        <v>1038</v>
      </c>
      <c r="D58" s="876" t="s">
        <v>1156</v>
      </c>
      <c r="E58" s="859"/>
      <c r="F58" s="1929">
        <f>'Expenditures 15-22'!G151</f>
        <v>20049</v>
      </c>
      <c r="G58" s="856"/>
    </row>
    <row r="59" spans="1:7" x14ac:dyDescent="0.2">
      <c r="A59" s="884" t="s">
        <v>479</v>
      </c>
      <c r="B59" s="847" t="s">
        <v>1995</v>
      </c>
      <c r="C59" s="885" t="s">
        <v>1038</v>
      </c>
      <c r="D59" s="847" t="s">
        <v>308</v>
      </c>
      <c r="F59" s="1930">
        <f>'Expenditures 15-22'!I151</f>
        <v>0</v>
      </c>
      <c r="G59" s="856"/>
    </row>
    <row r="60" spans="1:7" x14ac:dyDescent="0.2">
      <c r="A60" s="884" t="s">
        <v>519</v>
      </c>
      <c r="B60" s="847" t="s">
        <v>1996</v>
      </c>
      <c r="C60" s="885">
        <v>4000</v>
      </c>
      <c r="D60" s="847" t="s">
        <v>329</v>
      </c>
      <c r="F60" s="1928">
        <f>'Expenditures 15-22'!K160</f>
        <v>0</v>
      </c>
      <c r="G60" s="856"/>
    </row>
    <row r="61" spans="1:7" x14ac:dyDescent="0.2">
      <c r="A61" s="886" t="s">
        <v>519</v>
      </c>
      <c r="B61" s="886" t="s">
        <v>1997</v>
      </c>
      <c r="C61" s="887" t="str">
        <f>'Expenditures 15-22'!B170</f>
        <v>5300</v>
      </c>
      <c r="D61" s="888" t="s">
        <v>328</v>
      </c>
      <c r="E61" s="870"/>
      <c r="F61" s="1927">
        <f>'Expenditures 15-22'!K170</f>
        <v>2571912</v>
      </c>
      <c r="G61" s="856"/>
    </row>
    <row r="62" spans="1:7" x14ac:dyDescent="0.2">
      <c r="A62" s="860" t="s">
        <v>480</v>
      </c>
      <c r="B62" s="860" t="s">
        <v>1998</v>
      </c>
      <c r="C62" s="877">
        <f>'Expenditures 15-22'!B185</f>
        <v>3000</v>
      </c>
      <c r="D62" s="867" t="s">
        <v>468</v>
      </c>
      <c r="E62" s="859"/>
      <c r="F62" s="1927">
        <f>'Expenditures 15-22'!K185-SUM('Expenditures 15-22'!G185,'Expenditures 15-22'!I185)</f>
        <v>0</v>
      </c>
      <c r="G62" s="856"/>
    </row>
    <row r="63" spans="1:7" x14ac:dyDescent="0.2">
      <c r="A63" s="860" t="s">
        <v>480</v>
      </c>
      <c r="B63" s="860" t="s">
        <v>1999</v>
      </c>
      <c r="C63" s="877" t="str">
        <f>'Expenditures 15-22'!B196</f>
        <v>4000</v>
      </c>
      <c r="D63" s="878" t="str">
        <f>'Expenditures 15-22'!A196</f>
        <v>Total Payments to Other Govt Units</v>
      </c>
      <c r="E63" s="859"/>
      <c r="F63" s="1927">
        <f>'Expenditures 15-22'!K196</f>
        <v>857301</v>
      </c>
      <c r="G63" s="856"/>
    </row>
    <row r="64" spans="1:7" x14ac:dyDescent="0.2">
      <c r="A64" s="886" t="s">
        <v>480</v>
      </c>
      <c r="B64" s="886" t="s">
        <v>2000</v>
      </c>
      <c r="C64" s="887" t="str">
        <f>'Expenditures 15-22'!B206</f>
        <v>5300</v>
      </c>
      <c r="D64" s="883" t="s">
        <v>328</v>
      </c>
      <c r="E64" s="859"/>
      <c r="F64" s="1927">
        <f>'Expenditures 15-22'!K206</f>
        <v>0</v>
      </c>
      <c r="G64" s="856"/>
    </row>
    <row r="65" spans="1:8" x14ac:dyDescent="0.2">
      <c r="A65" s="860" t="s">
        <v>480</v>
      </c>
      <c r="B65" s="860" t="s">
        <v>2001</v>
      </c>
      <c r="C65" s="877" t="s">
        <v>1038</v>
      </c>
      <c r="D65" s="876" t="s">
        <v>1156</v>
      </c>
      <c r="E65" s="859"/>
      <c r="F65" s="1927">
        <f>'Expenditures 15-22'!G210</f>
        <v>0</v>
      </c>
      <c r="G65" s="856"/>
    </row>
    <row r="66" spans="1:8" x14ac:dyDescent="0.2">
      <c r="A66" s="860" t="s">
        <v>480</v>
      </c>
      <c r="B66" s="860" t="s">
        <v>2002</v>
      </c>
      <c r="C66" s="877" t="s">
        <v>1038</v>
      </c>
      <c r="D66" s="876" t="s">
        <v>308</v>
      </c>
      <c r="E66" s="859"/>
      <c r="F66" s="1927">
        <f>'Expenditures 15-22'!I210</f>
        <v>0</v>
      </c>
      <c r="G66" s="856"/>
    </row>
    <row r="67" spans="1:8" x14ac:dyDescent="0.2">
      <c r="A67" s="860" t="s">
        <v>481</v>
      </c>
      <c r="B67" s="860" t="s">
        <v>2003</v>
      </c>
      <c r="C67" s="877" t="str">
        <f>'Expenditures 15-22'!B216</f>
        <v>1125</v>
      </c>
      <c r="D67" s="883" t="str">
        <f>'Expenditures 15-22'!A216</f>
        <v>Pre-K Programs</v>
      </c>
      <c r="E67" s="859"/>
      <c r="F67" s="1927">
        <f>'Expenditures 15-22'!K216</f>
        <v>0</v>
      </c>
      <c r="G67" s="856"/>
    </row>
    <row r="68" spans="1:8" x14ac:dyDescent="0.2">
      <c r="A68" s="860" t="s">
        <v>481</v>
      </c>
      <c r="B68" s="860" t="s">
        <v>1554</v>
      </c>
      <c r="C68" s="877" t="str">
        <f>'Expenditures 15-22'!B218</f>
        <v>1225</v>
      </c>
      <c r="D68" s="883" t="str">
        <f>'Expenditures 15-22'!A218</f>
        <v>Special Education Programs - Pre-K</v>
      </c>
      <c r="E68" s="859"/>
      <c r="F68" s="1927">
        <f>'Expenditures 15-22'!K218</f>
        <v>0</v>
      </c>
      <c r="G68" s="856"/>
    </row>
    <row r="69" spans="1:8" x14ac:dyDescent="0.2">
      <c r="A69" s="860" t="s">
        <v>481</v>
      </c>
      <c r="B69" s="860" t="s">
        <v>2004</v>
      </c>
      <c r="C69" s="877" t="str">
        <f>'Expenditures 15-22'!B220</f>
        <v>1275</v>
      </c>
      <c r="D69" s="883" t="str">
        <f>'Expenditures 15-22'!A220</f>
        <v>Remedial and Supplemental Programs - Pre-K</v>
      </c>
      <c r="E69" s="859"/>
      <c r="F69" s="1927">
        <f>'Expenditures 15-22'!K220</f>
        <v>0</v>
      </c>
      <c r="G69" s="856"/>
    </row>
    <row r="70" spans="1:8" x14ac:dyDescent="0.2">
      <c r="A70" s="860" t="s">
        <v>481</v>
      </c>
      <c r="B70" s="860" t="s">
        <v>2005</v>
      </c>
      <c r="C70" s="877">
        <f>'Expenditures 15-22'!B221</f>
        <v>1300</v>
      </c>
      <c r="D70" s="878" t="str">
        <f>'Expenditures 15-22'!A221</f>
        <v>Adult/Continuing Education Programs</v>
      </c>
      <c r="E70" s="859"/>
      <c r="F70" s="1927">
        <f>'Expenditures 15-22'!K221</f>
        <v>0</v>
      </c>
      <c r="G70" s="856"/>
    </row>
    <row r="71" spans="1:8" x14ac:dyDescent="0.2">
      <c r="A71" s="860" t="s">
        <v>481</v>
      </c>
      <c r="B71" s="860" t="s">
        <v>2006</v>
      </c>
      <c r="C71" s="877">
        <f>'Expenditures 15-22'!B224</f>
        <v>1600</v>
      </c>
      <c r="D71" s="878" t="str">
        <f>'Expenditures 15-22'!A224</f>
        <v>Summer School Programs</v>
      </c>
      <c r="E71" s="859"/>
      <c r="F71" s="1927">
        <f>'Expenditures 15-22'!K224</f>
        <v>12</v>
      </c>
      <c r="G71" s="856"/>
    </row>
    <row r="72" spans="1:8" x14ac:dyDescent="0.2">
      <c r="A72" s="860" t="s">
        <v>481</v>
      </c>
      <c r="B72" s="860" t="s">
        <v>2007</v>
      </c>
      <c r="C72" s="877">
        <f>'Expenditures 15-22'!B280</f>
        <v>3000</v>
      </c>
      <c r="D72" s="867" t="s">
        <v>468</v>
      </c>
      <c r="E72" s="859"/>
      <c r="F72" s="1927">
        <f>'Expenditures 15-22'!K280</f>
        <v>152</v>
      </c>
      <c r="G72" s="856"/>
    </row>
    <row r="73" spans="1:8" x14ac:dyDescent="0.2">
      <c r="A73" s="860" t="s">
        <v>481</v>
      </c>
      <c r="B73" s="860" t="s">
        <v>2008</v>
      </c>
      <c r="C73" s="877" t="str">
        <f>'Expenditures 15-22'!B285</f>
        <v>4000</v>
      </c>
      <c r="D73" s="878" t="str">
        <f>'Expenditures 15-22'!A285</f>
        <v>Total Payments to Other Govt Units</v>
      </c>
      <c r="E73" s="859"/>
      <c r="F73" s="1927">
        <f>'Expenditures 15-22'!K285</f>
        <v>0</v>
      </c>
      <c r="G73" s="856"/>
    </row>
    <row r="74" spans="1:8" x14ac:dyDescent="0.2">
      <c r="A74" s="860" t="s">
        <v>455</v>
      </c>
      <c r="B74" s="860" t="s">
        <v>2009</v>
      </c>
      <c r="C74" s="877" t="s">
        <v>914</v>
      </c>
      <c r="D74" s="878" t="s">
        <v>1566</v>
      </c>
      <c r="E74" s="859"/>
      <c r="F74" s="1931">
        <f>'Expenditures 15-22'!K334</f>
        <v>0</v>
      </c>
      <c r="G74" s="856"/>
    </row>
    <row r="75" spans="1:8" ht="5.25" customHeight="1" x14ac:dyDescent="0.2">
      <c r="A75" s="856"/>
      <c r="B75" s="866"/>
      <c r="C75" s="866"/>
      <c r="D75" s="856"/>
      <c r="E75" s="859"/>
      <c r="F75" s="873"/>
      <c r="G75" s="858"/>
    </row>
    <row r="76" spans="1:8" ht="12" thickBot="1" x14ac:dyDescent="0.25">
      <c r="A76" s="1782"/>
      <c r="B76" s="1788"/>
      <c r="C76" s="1784"/>
      <c r="D76" s="1789" t="s">
        <v>2010</v>
      </c>
      <c r="E76" s="1786" t="s">
        <v>1014</v>
      </c>
      <c r="F76" s="1790">
        <f>SUM(F18:F74)</f>
        <v>4925791</v>
      </c>
      <c r="G76" s="856"/>
    </row>
    <row r="77" spans="1:8" s="884" customFormat="1" ht="12" customHeight="1" thickTop="1" thickBot="1" x14ac:dyDescent="0.25">
      <c r="A77" s="1791"/>
      <c r="B77" s="1788"/>
      <c r="C77" s="1784"/>
      <c r="D77" s="1789" t="s">
        <v>2011</v>
      </c>
      <c r="E77" s="1786"/>
      <c r="F77" s="1792">
        <f>(F14-F76)</f>
        <v>15296924</v>
      </c>
      <c r="G77" s="860"/>
    </row>
    <row r="78" spans="1:8" s="884" customFormat="1" ht="12" customHeight="1" thickTop="1" x14ac:dyDescent="0.2">
      <c r="A78" s="1793"/>
      <c r="B78" s="1788"/>
      <c r="C78" s="1784"/>
      <c r="D78" s="1789" t="s">
        <v>2058</v>
      </c>
      <c r="E78" s="1786"/>
      <c r="F78" s="889">
        <v>1141.6600000000001</v>
      </c>
      <c r="G78" s="890"/>
      <c r="H78" s="860"/>
    </row>
    <row r="79" spans="1:8" s="884" customFormat="1" ht="12" customHeight="1" thickBot="1" x14ac:dyDescent="0.25">
      <c r="A79" s="1794"/>
      <c r="B79" s="1788"/>
      <c r="C79" s="1784"/>
      <c r="D79" s="1789" t="s">
        <v>2012</v>
      </c>
      <c r="E79" s="1786" t="s">
        <v>1014</v>
      </c>
      <c r="F79" s="1795">
        <f>IF(F78&gt;0,F77/F78," Complete Line 78")</f>
        <v>13398.843788868839</v>
      </c>
      <c r="G79" s="860"/>
    </row>
    <row r="80" spans="1:8" s="884" customFormat="1" ht="8.25" customHeight="1" thickTop="1" x14ac:dyDescent="0.2">
      <c r="A80" s="891"/>
      <c r="B80" s="860"/>
      <c r="C80" s="862"/>
      <c r="D80" s="892"/>
      <c r="E80" s="859"/>
      <c r="F80" s="893"/>
      <c r="G80" s="860"/>
    </row>
    <row r="81" spans="1:7" s="884" customFormat="1" ht="12" thickBot="1" x14ac:dyDescent="0.25">
      <c r="A81" s="2287" t="s">
        <v>1166</v>
      </c>
      <c r="B81" s="2288"/>
      <c r="C81" s="2288"/>
      <c r="D81" s="2288"/>
      <c r="E81" s="2288"/>
      <c r="F81" s="2289"/>
      <c r="G81" s="860"/>
    </row>
    <row r="82" spans="1:7" s="884" customFormat="1" ht="5.25" customHeight="1" thickTop="1" x14ac:dyDescent="0.2">
      <c r="A82" s="860"/>
      <c r="B82" s="860"/>
      <c r="C82" s="862"/>
      <c r="D82" s="860"/>
      <c r="E82" s="862"/>
      <c r="F82" s="860"/>
      <c r="G82" s="894"/>
    </row>
    <row r="83" spans="1:7" ht="12" customHeight="1" x14ac:dyDescent="0.2">
      <c r="A83" s="895" t="s">
        <v>866</v>
      </c>
      <c r="B83" s="896"/>
      <c r="C83" s="897"/>
      <c r="D83" s="898"/>
      <c r="E83" s="897"/>
      <c r="F83" s="896"/>
      <c r="G83" s="896"/>
    </row>
    <row r="84" spans="1:7" x14ac:dyDescent="0.2">
      <c r="A84" s="899" t="s">
        <v>480</v>
      </c>
      <c r="B84" s="900" t="s">
        <v>148</v>
      </c>
      <c r="C84" s="901">
        <f>'Revenues 9-14'!B42</f>
        <v>1411</v>
      </c>
      <c r="D84" s="902" t="str">
        <f>'Revenues 9-14'!A42</f>
        <v>Regular -Transp Fees from Pupils or Parents (In State)</v>
      </c>
      <c r="E84" s="897" t="s">
        <v>1014</v>
      </c>
      <c r="F84" s="1921">
        <f>'Revenues 9-14'!F42</f>
        <v>0</v>
      </c>
      <c r="G84" s="903"/>
    </row>
    <row r="85" spans="1:7" x14ac:dyDescent="0.2">
      <c r="A85" s="899" t="s">
        <v>480</v>
      </c>
      <c r="B85" s="899" t="s">
        <v>192</v>
      </c>
      <c r="C85" s="904">
        <f>'Revenues 9-14'!B44</f>
        <v>1413</v>
      </c>
      <c r="D85" s="902" t="str">
        <f>'Revenues 9-14'!A44</f>
        <v>Regular - Transp Fees from Other Sources (In State)</v>
      </c>
      <c r="E85" s="897"/>
      <c r="F85" s="1801">
        <f>'Revenues 9-14'!F44</f>
        <v>0</v>
      </c>
      <c r="G85" s="905"/>
    </row>
    <row r="86" spans="1:7" x14ac:dyDescent="0.2">
      <c r="A86" s="899" t="s">
        <v>480</v>
      </c>
      <c r="B86" s="899" t="s">
        <v>168</v>
      </c>
      <c r="C86" s="901">
        <f>'Revenues 9-14'!B45</f>
        <v>1415</v>
      </c>
      <c r="D86" s="902" t="str">
        <f>'Revenues 9-14'!A45</f>
        <v>Regular - Transp Fees from Co-curricular Activities (In State)</v>
      </c>
      <c r="E86" s="897"/>
      <c r="F86" s="1801">
        <f>'Revenues 9-14'!F45</f>
        <v>0</v>
      </c>
      <c r="G86" s="905"/>
    </row>
    <row r="87" spans="1:7" x14ac:dyDescent="0.2">
      <c r="A87" s="899" t="s">
        <v>480</v>
      </c>
      <c r="B87" s="899" t="s">
        <v>169</v>
      </c>
      <c r="C87" s="901">
        <v>1416</v>
      </c>
      <c r="D87" s="902" t="str">
        <f>'Revenues 9-14'!A46</f>
        <v>Regular Transp Fees from Other Sources (Out of State)</v>
      </c>
      <c r="E87" s="897"/>
      <c r="F87" s="1801">
        <f>'Revenues 9-14'!F46</f>
        <v>0</v>
      </c>
      <c r="G87" s="905"/>
    </row>
    <row r="88" spans="1:7" x14ac:dyDescent="0.2">
      <c r="A88" s="899" t="s">
        <v>480</v>
      </c>
      <c r="B88" s="899" t="s">
        <v>170</v>
      </c>
      <c r="C88" s="901">
        <f>'Revenues 9-14'!B51</f>
        <v>1431</v>
      </c>
      <c r="D88" s="902" t="str">
        <f>'Revenues 9-14'!A51</f>
        <v>CTE - Transp Fees from Pupils or Parents (In State)</v>
      </c>
      <c r="E88" s="897"/>
      <c r="F88" s="1801">
        <f>'Revenues 9-14'!F51</f>
        <v>0</v>
      </c>
      <c r="G88" s="905"/>
    </row>
    <row r="89" spans="1:7" x14ac:dyDescent="0.2">
      <c r="A89" s="899" t="s">
        <v>480</v>
      </c>
      <c r="B89" s="899" t="s">
        <v>171</v>
      </c>
      <c r="C89" s="901">
        <f>'Revenues 9-14'!B53</f>
        <v>1433</v>
      </c>
      <c r="D89" s="902" t="str">
        <f>'Revenues 9-14'!A53</f>
        <v>CTE - Transp Fees from Other Sources (In State)</v>
      </c>
      <c r="E89" s="897"/>
      <c r="F89" s="1801">
        <f>'Revenues 9-14'!F53</f>
        <v>0</v>
      </c>
      <c r="G89" s="905"/>
    </row>
    <row r="90" spans="1:7" x14ac:dyDescent="0.2">
      <c r="A90" s="899" t="s">
        <v>480</v>
      </c>
      <c r="B90" s="899" t="s">
        <v>172</v>
      </c>
      <c r="C90" s="901">
        <f>'Revenues 9-14'!B54</f>
        <v>1434</v>
      </c>
      <c r="D90" s="902" t="str">
        <f>'Revenues 9-14'!A54</f>
        <v>CTE - Transp Fees from Other Sources (Out of State)</v>
      </c>
      <c r="E90" s="897"/>
      <c r="F90" s="1801">
        <f>'Revenues 9-14'!F54</f>
        <v>0</v>
      </c>
      <c r="G90" s="905"/>
    </row>
    <row r="91" spans="1:7" x14ac:dyDescent="0.2">
      <c r="A91" s="899" t="s">
        <v>480</v>
      </c>
      <c r="B91" s="899" t="s">
        <v>173</v>
      </c>
      <c r="C91" s="906">
        <f>'Revenues 9-14'!B55</f>
        <v>1441</v>
      </c>
      <c r="D91" s="902" t="str">
        <f>'Revenues 9-14'!A55</f>
        <v>Special Ed - Transp Fees from Pupils or Parents (In State)</v>
      </c>
      <c r="E91" s="897"/>
      <c r="F91" s="1801">
        <f>'Revenues 9-14'!F55</f>
        <v>0</v>
      </c>
      <c r="G91" s="905"/>
    </row>
    <row r="92" spans="1:7" x14ac:dyDescent="0.2">
      <c r="A92" s="899" t="s">
        <v>480</v>
      </c>
      <c r="B92" s="899" t="s">
        <v>174</v>
      </c>
      <c r="C92" s="901">
        <f>'Revenues 9-14'!B57</f>
        <v>1443</v>
      </c>
      <c r="D92" s="902" t="str">
        <f>'Revenues 9-14'!A57</f>
        <v>Special Ed - Transp Fees from Other Sources (In State)</v>
      </c>
      <c r="E92" s="897"/>
      <c r="F92" s="1801">
        <f>'Revenues 9-14'!F57</f>
        <v>0</v>
      </c>
      <c r="G92" s="907"/>
    </row>
    <row r="93" spans="1:7" x14ac:dyDescent="0.2">
      <c r="A93" s="899" t="s">
        <v>480</v>
      </c>
      <c r="B93" s="899" t="s">
        <v>175</v>
      </c>
      <c r="C93" s="901">
        <f>'Revenues 9-14'!B58</f>
        <v>1444</v>
      </c>
      <c r="D93" s="902" t="str">
        <f>'Revenues 9-14'!A58</f>
        <v>Special Ed - Transp Fees from Other Sources (Out of State)</v>
      </c>
      <c r="E93" s="897"/>
      <c r="F93" s="1801">
        <f>'Revenues 9-14'!F58</f>
        <v>0</v>
      </c>
      <c r="G93" s="907"/>
    </row>
    <row r="94" spans="1:7" x14ac:dyDescent="0.2">
      <c r="A94" s="899" t="s">
        <v>478</v>
      </c>
      <c r="B94" s="899" t="s">
        <v>176</v>
      </c>
      <c r="C94" s="901">
        <v>1600</v>
      </c>
      <c r="D94" s="908" t="str">
        <f>'Revenues 9-14'!A75</f>
        <v>Total Food Service</v>
      </c>
      <c r="E94" s="897"/>
      <c r="F94" s="1801">
        <f>'Revenues 9-14'!C75</f>
        <v>549738</v>
      </c>
      <c r="G94" s="903"/>
    </row>
    <row r="95" spans="1:7" x14ac:dyDescent="0.2">
      <c r="A95" s="899" t="s">
        <v>142</v>
      </c>
      <c r="B95" s="899" t="s">
        <v>177</v>
      </c>
      <c r="C95" s="901">
        <v>1700</v>
      </c>
      <c r="D95" s="909" t="str">
        <f>'Revenues 9-14'!A82</f>
        <v>Total District/School Activity Income</v>
      </c>
      <c r="E95" s="897"/>
      <c r="F95" s="1801">
        <f>SUM('Revenues 9-14'!C82,'Revenues 9-14'!D82)</f>
        <v>156311</v>
      </c>
      <c r="G95" s="903"/>
    </row>
    <row r="96" spans="1:7" x14ac:dyDescent="0.2">
      <c r="A96" s="899" t="s">
        <v>478</v>
      </c>
      <c r="B96" s="899" t="s">
        <v>178</v>
      </c>
      <c r="C96" s="901">
        <f>'Revenues 9-14'!B84</f>
        <v>1811</v>
      </c>
      <c r="D96" s="902" t="str">
        <f>'Revenues 9-14'!A84</f>
        <v>Rentals - Regular Textbooks</v>
      </c>
      <c r="E96" s="897"/>
      <c r="F96" s="1801">
        <f>'Revenues 9-14'!C84</f>
        <v>118345</v>
      </c>
      <c r="G96" s="903"/>
    </row>
    <row r="97" spans="1:7" x14ac:dyDescent="0.2">
      <c r="A97" s="899" t="s">
        <v>478</v>
      </c>
      <c r="B97" s="899" t="s">
        <v>179</v>
      </c>
      <c r="C97" s="901">
        <f>'Revenues 9-14'!B87</f>
        <v>1819</v>
      </c>
      <c r="D97" s="902" t="str">
        <f>'Revenues 9-14'!A87</f>
        <v>Rentals - Other (Describe &amp; Itemize)</v>
      </c>
      <c r="E97" s="897"/>
      <c r="F97" s="1801">
        <f>'Revenues 9-14'!C87</f>
        <v>0</v>
      </c>
      <c r="G97" s="903"/>
    </row>
    <row r="98" spans="1:7" x14ac:dyDescent="0.2">
      <c r="A98" s="899" t="s">
        <v>478</v>
      </c>
      <c r="B98" s="899" t="s">
        <v>180</v>
      </c>
      <c r="C98" s="901">
        <f>'Revenues 9-14'!B88</f>
        <v>1821</v>
      </c>
      <c r="D98" s="902" t="str">
        <f>'Revenues 9-14'!A88</f>
        <v>Sales - Regular Textbooks</v>
      </c>
      <c r="E98" s="897"/>
      <c r="F98" s="1801">
        <f>'Revenues 9-14'!C88</f>
        <v>665</v>
      </c>
      <c r="G98" s="903"/>
    </row>
    <row r="99" spans="1:7" x14ac:dyDescent="0.2">
      <c r="A99" s="899" t="s">
        <v>478</v>
      </c>
      <c r="B99" s="899" t="s">
        <v>181</v>
      </c>
      <c r="C99" s="901">
        <f>'Revenues 9-14'!B91</f>
        <v>1829</v>
      </c>
      <c r="D99" s="902" t="str">
        <f>'Revenues 9-14'!A91</f>
        <v>Sales - Other (Describe &amp; Itemize)</v>
      </c>
      <c r="E99" s="897"/>
      <c r="F99" s="1801">
        <f>'Revenues 9-14'!C91</f>
        <v>0</v>
      </c>
      <c r="G99" s="903"/>
    </row>
    <row r="100" spans="1:7" x14ac:dyDescent="0.2">
      <c r="A100" s="899" t="s">
        <v>478</v>
      </c>
      <c r="B100" s="899" t="s">
        <v>182</v>
      </c>
      <c r="C100" s="901">
        <f>'Revenues 9-14'!B92</f>
        <v>1890</v>
      </c>
      <c r="D100" s="902" t="str">
        <f>'Revenues 9-14'!A92</f>
        <v>Other (Describe &amp; Itemize)</v>
      </c>
      <c r="E100" s="897"/>
      <c r="F100" s="1801">
        <f>'Revenues 9-14'!C92</f>
        <v>0</v>
      </c>
      <c r="G100" s="903"/>
    </row>
    <row r="101" spans="1:7" x14ac:dyDescent="0.2">
      <c r="A101" s="899" t="s">
        <v>142</v>
      </c>
      <c r="B101" s="899" t="s">
        <v>183</v>
      </c>
      <c r="C101" s="901">
        <f>'Revenues 9-14'!B95</f>
        <v>1910</v>
      </c>
      <c r="D101" s="902" t="str">
        <f>'Revenues 9-14'!A95</f>
        <v>Rentals</v>
      </c>
      <c r="E101" s="897"/>
      <c r="F101" s="1801">
        <f>SUM('Revenues 9-14'!C95:D95)</f>
        <v>13598</v>
      </c>
      <c r="G101" s="903"/>
    </row>
    <row r="102" spans="1:7" x14ac:dyDescent="0.2">
      <c r="A102" s="899" t="s">
        <v>523</v>
      </c>
      <c r="B102" s="899" t="s">
        <v>184</v>
      </c>
      <c r="C102" s="901">
        <f>'Revenues 9-14'!B98</f>
        <v>1940</v>
      </c>
      <c r="D102" s="902" t="str">
        <f>'Revenues 9-14'!A98</f>
        <v>Services Provided Other Districts</v>
      </c>
      <c r="E102" s="897"/>
      <c r="F102" s="1801">
        <f>SUM('Revenues 9-14'!C98,'Revenues 9-14'!D98,'Revenues 9-14'!F98)</f>
        <v>0</v>
      </c>
      <c r="G102" s="903"/>
    </row>
    <row r="103" spans="1:7" x14ac:dyDescent="0.2">
      <c r="A103" s="899" t="s">
        <v>1065</v>
      </c>
      <c r="B103" s="899" t="s">
        <v>833</v>
      </c>
      <c r="C103" s="901">
        <f>'Revenues 9-14'!B104</f>
        <v>1991</v>
      </c>
      <c r="D103" s="910" t="str">
        <f>'Revenues 9-14'!A104</f>
        <v>Payment from Other Districts</v>
      </c>
      <c r="E103" s="897"/>
      <c r="F103" s="1801">
        <f>SUM('Revenues 9-14'!C104,'Revenues 9-14'!D104,'Revenues 9-14'!E104,'Revenues 9-14'!F104,'Revenues 9-14'!G104)</f>
        <v>1338</v>
      </c>
      <c r="G103" s="903"/>
    </row>
    <row r="104" spans="1:7" x14ac:dyDescent="0.2">
      <c r="A104" s="899" t="s">
        <v>478</v>
      </c>
      <c r="B104" s="899" t="s">
        <v>840</v>
      </c>
      <c r="C104" s="901">
        <f>'Revenues 9-14'!B106</f>
        <v>1993</v>
      </c>
      <c r="D104" s="902" t="str">
        <f>'Revenues 9-14'!A106</f>
        <v>Other Local Fees (Describe &amp; Itemize)</v>
      </c>
      <c r="E104" s="897"/>
      <c r="F104" s="1801">
        <f>('Revenues 9-14'!C106)</f>
        <v>1892</v>
      </c>
      <c r="G104" s="903"/>
    </row>
    <row r="105" spans="1:7" x14ac:dyDescent="0.2">
      <c r="A105" s="899" t="s">
        <v>523</v>
      </c>
      <c r="B105" s="899" t="s">
        <v>841</v>
      </c>
      <c r="C105" s="904">
        <v>3100</v>
      </c>
      <c r="D105" s="910" t="str">
        <f>'Revenues 9-14'!A131</f>
        <v>Total Special Education</v>
      </c>
      <c r="E105" s="897"/>
      <c r="F105" s="1801">
        <f>SUM('Revenues 9-14'!C131:D131,'Revenues 9-14'!F131)</f>
        <v>543897</v>
      </c>
      <c r="G105" s="903"/>
    </row>
    <row r="106" spans="1:7" x14ac:dyDescent="0.2">
      <c r="A106" s="899" t="s">
        <v>693</v>
      </c>
      <c r="B106" s="899" t="s">
        <v>1482</v>
      </c>
      <c r="C106" s="911">
        <v>3200</v>
      </c>
      <c r="D106" s="902" t="str">
        <f>'Revenues 9-14'!A140</f>
        <v>Total Career and Technical Education</v>
      </c>
      <c r="E106" s="897"/>
      <c r="F106" s="1801">
        <f>SUM('Revenues 9-14'!C140,'Revenues 9-14'!D140,'Revenues 9-14'!G140)</f>
        <v>15675</v>
      </c>
      <c r="G106" s="903"/>
    </row>
    <row r="107" spans="1:7" x14ac:dyDescent="0.2">
      <c r="A107" s="912" t="s">
        <v>684</v>
      </c>
      <c r="B107" s="899" t="s">
        <v>842</v>
      </c>
      <c r="C107" s="911">
        <v>3300</v>
      </c>
      <c r="D107" s="902" t="str">
        <f>'Revenues 9-14'!A144</f>
        <v>Total Bilingual Ed</v>
      </c>
      <c r="E107" s="897"/>
      <c r="F107" s="1801">
        <f>SUM('Revenues 9-14'!C144,'Revenues 9-14'!G144)</f>
        <v>1036</v>
      </c>
      <c r="G107" s="903"/>
    </row>
    <row r="108" spans="1:7" x14ac:dyDescent="0.2">
      <c r="A108" s="899" t="s">
        <v>478</v>
      </c>
      <c r="B108" s="899" t="s">
        <v>843</v>
      </c>
      <c r="C108" s="911">
        <f>'Revenues 9-14'!B145</f>
        <v>3360</v>
      </c>
      <c r="D108" s="902" t="str">
        <f>'Revenues 9-14'!A145</f>
        <v>State Free Lunch &amp; Breakfast</v>
      </c>
      <c r="E108" s="897"/>
      <c r="F108" s="1801">
        <f>'Revenues 9-14'!C145</f>
        <v>1065</v>
      </c>
      <c r="G108" s="903"/>
    </row>
    <row r="109" spans="1:7" x14ac:dyDescent="0.2">
      <c r="A109" s="899" t="s">
        <v>693</v>
      </c>
      <c r="B109" s="899" t="s">
        <v>844</v>
      </c>
      <c r="C109" s="911">
        <f>'Revenues 9-14'!B146</f>
        <v>3365</v>
      </c>
      <c r="D109" s="902" t="str">
        <f>'Revenues 9-14'!A146</f>
        <v>School Breakfast Initiative</v>
      </c>
      <c r="E109" s="897"/>
      <c r="F109" s="1801">
        <f>SUM('Revenues 9-14'!C146,'Revenues 9-14'!D146,'Revenues 9-14'!G146)</f>
        <v>0</v>
      </c>
      <c r="G109" s="903"/>
    </row>
    <row r="110" spans="1:7" x14ac:dyDescent="0.2">
      <c r="A110" s="899" t="s">
        <v>142</v>
      </c>
      <c r="B110" s="899" t="s">
        <v>845</v>
      </c>
      <c r="C110" s="911">
        <f>'Revenues 9-14'!B147</f>
        <v>3370</v>
      </c>
      <c r="D110" s="902" t="str">
        <f>'Revenues 9-14'!A147</f>
        <v>Driver Education</v>
      </c>
      <c r="E110" s="897"/>
      <c r="F110" s="1801">
        <f>SUM('Revenues 9-14'!C147,'Revenues 9-14'!D147)</f>
        <v>41998</v>
      </c>
      <c r="G110" s="903"/>
    </row>
    <row r="111" spans="1:7" x14ac:dyDescent="0.2">
      <c r="A111" s="899" t="s">
        <v>688</v>
      </c>
      <c r="B111" s="899" t="s">
        <v>801</v>
      </c>
      <c r="C111" s="913">
        <v>3500</v>
      </c>
      <c r="D111" s="902" t="str">
        <f>'Revenues 9-14'!A154</f>
        <v>Total Transportation</v>
      </c>
      <c r="E111" s="897"/>
      <c r="F111" s="1801">
        <f>SUM('Revenues 9-14'!C154,'Revenues 9-14'!D154,'Revenues 9-14'!F154,'Revenues 9-14'!G154)</f>
        <v>555673</v>
      </c>
      <c r="G111" s="903"/>
    </row>
    <row r="112" spans="1:7" x14ac:dyDescent="0.2">
      <c r="A112" s="899" t="s">
        <v>478</v>
      </c>
      <c r="B112" s="899" t="s">
        <v>846</v>
      </c>
      <c r="C112" s="911">
        <f>'Revenues 9-14'!B155</f>
        <v>3610</v>
      </c>
      <c r="D112" s="902" t="str">
        <f>'Revenues 9-14'!A155</f>
        <v>Learning Improvement - Change Grants</v>
      </c>
      <c r="E112" s="897"/>
      <c r="F112" s="1801">
        <f>'Revenues 9-14'!C155</f>
        <v>0</v>
      </c>
      <c r="G112" s="903"/>
    </row>
    <row r="113" spans="1:7" x14ac:dyDescent="0.2">
      <c r="A113" s="899" t="s">
        <v>688</v>
      </c>
      <c r="B113" s="899" t="s">
        <v>847</v>
      </c>
      <c r="C113" s="911">
        <f>'Revenues 9-14'!B156</f>
        <v>3660</v>
      </c>
      <c r="D113" s="902" t="str">
        <f>'Revenues 9-14'!A156</f>
        <v>Scientific Literacy</v>
      </c>
      <c r="E113" s="897"/>
      <c r="F113" s="1801">
        <f>SUM('Revenues 9-14'!C156,'Revenues 9-14'!D156,'Revenues 9-14'!F156,'Revenues 9-14'!G156)</f>
        <v>0</v>
      </c>
      <c r="G113" s="903"/>
    </row>
    <row r="114" spans="1:7" x14ac:dyDescent="0.2">
      <c r="A114" s="899" t="s">
        <v>5</v>
      </c>
      <c r="B114" s="899" t="s">
        <v>848</v>
      </c>
      <c r="C114" s="911">
        <f>'Revenues 9-14'!B157</f>
        <v>3695</v>
      </c>
      <c r="D114" s="902" t="str">
        <f>'Revenues 9-14'!A157</f>
        <v>Truant Alternative/Optional Education</v>
      </c>
      <c r="E114" s="897"/>
      <c r="F114" s="1801">
        <f>SUM('Revenues 9-14'!C157,'Revenues 9-14'!F157,'Revenues 9-14'!G157)</f>
        <v>0</v>
      </c>
      <c r="G114" s="903"/>
    </row>
    <row r="115" spans="1:7" x14ac:dyDescent="0.2">
      <c r="A115" s="899" t="s">
        <v>5</v>
      </c>
      <c r="B115" s="899" t="s">
        <v>185</v>
      </c>
      <c r="C115" s="911">
        <f>'Revenues 9-14'!B159</f>
        <v>3715</v>
      </c>
      <c r="D115" s="902" t="str">
        <f>'Revenues 9-14'!A159</f>
        <v>Reading Improvement Block Grant</v>
      </c>
      <c r="E115" s="897"/>
      <c r="F115" s="1801">
        <f>SUM('Revenues 9-14'!C159,'Revenues 9-14'!F159,'Revenues 9-14'!G159)</f>
        <v>0</v>
      </c>
      <c r="G115" s="903"/>
    </row>
    <row r="116" spans="1:7" x14ac:dyDescent="0.2">
      <c r="A116" s="914" t="s">
        <v>5</v>
      </c>
      <c r="B116" s="914" t="s">
        <v>186</v>
      </c>
      <c r="C116" s="915">
        <f>'Revenues 9-14'!B160</f>
        <v>3720</v>
      </c>
      <c r="D116" s="916" t="str">
        <f>'Revenues 9-14'!A160</f>
        <v>Reading Improvement Block Grant - Reading Recovery</v>
      </c>
      <c r="E116" s="917"/>
      <c r="F116" s="1801">
        <f>SUM('Revenues 9-14'!C160,'Revenues 9-14'!F160,'Revenues 9-14'!G160)</f>
        <v>0</v>
      </c>
      <c r="G116" s="903"/>
    </row>
    <row r="117" spans="1:7" x14ac:dyDescent="0.2">
      <c r="A117" s="914" t="s">
        <v>5</v>
      </c>
      <c r="B117" s="914" t="s">
        <v>187</v>
      </c>
      <c r="C117" s="915">
        <f>'Revenues 9-14'!B161</f>
        <v>3725</v>
      </c>
      <c r="D117" s="916" t="str">
        <f>'Revenues 9-14'!A161</f>
        <v>Continued Reading Improvement Block Grant</v>
      </c>
      <c r="E117" s="917"/>
      <c r="F117" s="1801">
        <f>SUM('Revenues 9-14'!C161,'Revenues 9-14'!F161,'Revenues 9-14'!G161)</f>
        <v>0</v>
      </c>
      <c r="G117" s="903"/>
    </row>
    <row r="118" spans="1:7" x14ac:dyDescent="0.2">
      <c r="A118" s="914" t="s">
        <v>5</v>
      </c>
      <c r="B118" s="914" t="s">
        <v>849</v>
      </c>
      <c r="C118" s="915">
        <f>'Revenues 9-14'!B162</f>
        <v>3726</v>
      </c>
      <c r="D118" s="916" t="str">
        <f>'Revenues 9-14'!A162</f>
        <v>Continued Reading Improvement Block Grant (2% Set Aside)</v>
      </c>
      <c r="E118" s="917"/>
      <c r="F118" s="1920">
        <f>SUM('Revenues 9-14'!C162,'Revenues 9-14'!F162,'Revenues 9-14'!G162)</f>
        <v>0</v>
      </c>
      <c r="G118" s="903"/>
    </row>
    <row r="119" spans="1:7" x14ac:dyDescent="0.2">
      <c r="A119" s="899" t="s">
        <v>688</v>
      </c>
      <c r="B119" s="899" t="s">
        <v>188</v>
      </c>
      <c r="C119" s="911">
        <f>'Revenues 9-14'!B163</f>
        <v>3766</v>
      </c>
      <c r="D119" s="902" t="str">
        <f>'Revenues 9-14'!A163</f>
        <v>Chicago General Education Block Grant</v>
      </c>
      <c r="E119" s="897"/>
      <c r="F119" s="1801">
        <f>SUM('Revenues 9-14'!C163,'Revenues 9-14'!D163,'Revenues 9-14'!F163,'Revenues 9-14'!G163)</f>
        <v>0</v>
      </c>
      <c r="G119" s="903"/>
    </row>
    <row r="120" spans="1:7" x14ac:dyDescent="0.2">
      <c r="A120" s="899" t="s">
        <v>688</v>
      </c>
      <c r="B120" s="899" t="s">
        <v>850</v>
      </c>
      <c r="C120" s="911">
        <f>'Revenues 9-14'!B164</f>
        <v>3767</v>
      </c>
      <c r="D120" s="902" t="str">
        <f>'Revenues 9-14'!A164</f>
        <v>Chicago Educational Services Block Grant</v>
      </c>
      <c r="E120" s="897"/>
      <c r="F120" s="1801">
        <f>SUM('Revenues 9-14'!C164,'Revenues 9-14'!D164,'Revenues 9-14'!F164,'Revenues 9-14'!G164)</f>
        <v>0</v>
      </c>
      <c r="G120" s="903"/>
    </row>
    <row r="121" spans="1:7" x14ac:dyDescent="0.2">
      <c r="A121" s="914" t="s">
        <v>1065</v>
      </c>
      <c r="B121" s="914" t="s">
        <v>189</v>
      </c>
      <c r="C121" s="915">
        <f>'Revenues 9-14'!B165</f>
        <v>3775</v>
      </c>
      <c r="D121" s="916" t="str">
        <f>'Revenues 9-14'!A165</f>
        <v>School Safety &amp; Educational Improvement Block Grant</v>
      </c>
      <c r="E121" s="897"/>
      <c r="F121" s="1921">
        <f>SUM('Revenues 9-14'!C165,'Revenues 9-14'!D165,'Revenues 9-14'!E165,'Revenues 9-14'!F165,'Revenues 9-14'!G165)</f>
        <v>0</v>
      </c>
      <c r="G121" s="903"/>
    </row>
    <row r="122" spans="1:7" x14ac:dyDescent="0.2">
      <c r="A122" s="914" t="s">
        <v>1065</v>
      </c>
      <c r="B122" s="914" t="s">
        <v>851</v>
      </c>
      <c r="C122" s="915">
        <f>'Revenues 9-14'!B166</f>
        <v>3780</v>
      </c>
      <c r="D122" s="916" t="str">
        <f>'Revenues 9-14'!A166</f>
        <v>Technology - Technology for Success</v>
      </c>
      <c r="E122" s="897"/>
      <c r="F122" s="1921">
        <f>SUM('Revenues 9-14'!C166:G166)</f>
        <v>0</v>
      </c>
      <c r="G122" s="903"/>
    </row>
    <row r="123" spans="1:7" x14ac:dyDescent="0.2">
      <c r="A123" s="914" t="s">
        <v>524</v>
      </c>
      <c r="B123" s="914" t="s">
        <v>852</v>
      </c>
      <c r="C123" s="915">
        <f>'Revenues 9-14'!B167</f>
        <v>3815</v>
      </c>
      <c r="D123" s="916" t="str">
        <f>'Revenues 9-14'!A167</f>
        <v>State Charter Schools</v>
      </c>
      <c r="E123" s="897"/>
      <c r="F123" s="1921">
        <f>SUM('Revenues 9-14'!C167,'Revenues 9-14'!F167)</f>
        <v>0</v>
      </c>
      <c r="G123" s="903"/>
    </row>
    <row r="124" spans="1:7" x14ac:dyDescent="0.2">
      <c r="A124" s="918" t="s">
        <v>479</v>
      </c>
      <c r="B124" s="918" t="s">
        <v>853</v>
      </c>
      <c r="C124" s="919">
        <f>'Revenues 9-14'!B170</f>
        <v>3925</v>
      </c>
      <c r="D124" s="920" t="str">
        <f>'Revenues 9-14'!A170</f>
        <v>School Infrastructure - Maintenance Projects</v>
      </c>
      <c r="E124" s="897"/>
      <c r="F124" s="1801">
        <f>'Revenues 9-14'!D170</f>
        <v>0</v>
      </c>
      <c r="G124" s="921"/>
    </row>
    <row r="125" spans="1:7" x14ac:dyDescent="0.2">
      <c r="A125" s="918" t="s">
        <v>520</v>
      </c>
      <c r="B125" s="918" t="s">
        <v>854</v>
      </c>
      <c r="C125" s="919">
        <f>'Revenues 9-14'!B171</f>
        <v>3999</v>
      </c>
      <c r="D125" s="920" t="s">
        <v>563</v>
      </c>
      <c r="E125" s="922"/>
      <c r="F125" s="1801">
        <f>SUM('Revenues 9-14'!C171:G171,'Revenues 9-14'!J171)</f>
        <v>225711</v>
      </c>
      <c r="G125" s="921"/>
    </row>
    <row r="126" spans="1:7" x14ac:dyDescent="0.2">
      <c r="A126" s="918" t="s">
        <v>478</v>
      </c>
      <c r="B126" s="918" t="s">
        <v>855</v>
      </c>
      <c r="C126" s="923">
        <f>'Revenues 9-14'!B180</f>
        <v>4045</v>
      </c>
      <c r="D126" s="920" t="str">
        <f>'Revenues 9-14'!A180 &amp; " (Subtract)"</f>
        <v>Head Start (Subtract)</v>
      </c>
      <c r="E126" s="897"/>
      <c r="F126" s="1801">
        <f>SUM(-'Revenues 9-14'!C180)</f>
        <v>0</v>
      </c>
      <c r="G126" s="921"/>
    </row>
    <row r="127" spans="1:7" x14ac:dyDescent="0.2">
      <c r="A127" s="918" t="s">
        <v>688</v>
      </c>
      <c r="B127" s="918" t="s">
        <v>856</v>
      </c>
      <c r="C127" s="923" t="s">
        <v>1038</v>
      </c>
      <c r="D127" s="920" t="str">
        <f>('Revenues 9-14'!A184)</f>
        <v>Total Restricted Grants-In-Aid Received Directly from Federal Govt</v>
      </c>
      <c r="E127" s="897"/>
      <c r="F127" s="1801">
        <f>SUM('Revenues 9-14'!C184,'Revenues 9-14'!D184,'Revenues 9-14'!F184,'Revenues 9-14'!G184)</f>
        <v>0</v>
      </c>
      <c r="G127" s="921"/>
    </row>
    <row r="128" spans="1:7" x14ac:dyDescent="0.2">
      <c r="A128" s="918" t="s">
        <v>688</v>
      </c>
      <c r="B128" s="918" t="s">
        <v>857</v>
      </c>
      <c r="C128" s="923">
        <v>4100</v>
      </c>
      <c r="D128" s="924" t="str">
        <f>'Revenues 9-14'!A191</f>
        <v>Total Title V</v>
      </c>
      <c r="E128" s="897"/>
      <c r="F128" s="1801">
        <f>SUM('Revenues 9-14'!C191,'Revenues 9-14'!D191,'Revenues 9-14'!F191,'Revenues 9-14'!G191)</f>
        <v>0</v>
      </c>
      <c r="G128" s="921"/>
    </row>
    <row r="129" spans="1:7" x14ac:dyDescent="0.2">
      <c r="A129" s="918" t="s">
        <v>684</v>
      </c>
      <c r="B129" s="918" t="s">
        <v>802</v>
      </c>
      <c r="C129" s="923">
        <v>4200</v>
      </c>
      <c r="D129" s="920" t="str">
        <f>'Revenues 9-14'!A201</f>
        <v>Total Food Service</v>
      </c>
      <c r="E129" s="897"/>
      <c r="F129" s="1801">
        <f>SUM('Revenues 9-14'!C201,'Revenues 9-14'!G201)</f>
        <v>11623</v>
      </c>
      <c r="G129" s="921"/>
    </row>
    <row r="130" spans="1:7" x14ac:dyDescent="0.2">
      <c r="A130" s="918" t="s">
        <v>688</v>
      </c>
      <c r="B130" s="918" t="s">
        <v>803</v>
      </c>
      <c r="C130" s="923">
        <v>4300</v>
      </c>
      <c r="D130" s="924" t="str">
        <f>'Revenues 9-14'!A211</f>
        <v>Total Title I</v>
      </c>
      <c r="E130" s="897"/>
      <c r="F130" s="1801">
        <f>SUM('Revenues 9-14'!C211,'Revenues 9-14'!D211,'Revenues 9-14'!F211,'Revenues 9-14'!G211)</f>
        <v>276273</v>
      </c>
      <c r="G130" s="921"/>
    </row>
    <row r="131" spans="1:7" x14ac:dyDescent="0.2">
      <c r="A131" s="918" t="s">
        <v>688</v>
      </c>
      <c r="B131" s="918" t="s">
        <v>804</v>
      </c>
      <c r="C131" s="923">
        <v>4400</v>
      </c>
      <c r="D131" s="924" t="str">
        <f>'Revenues 9-14'!A216</f>
        <v>Total Title IV</v>
      </c>
      <c r="E131" s="897"/>
      <c r="F131" s="1801">
        <f>SUM('Revenues 9-14'!C216,'Revenues 9-14'!D216,'Revenues 9-14'!F216,'Revenues 9-14'!G216)</f>
        <v>0</v>
      </c>
      <c r="G131" s="921"/>
    </row>
    <row r="132" spans="1:7" x14ac:dyDescent="0.2">
      <c r="A132" s="918" t="s">
        <v>688</v>
      </c>
      <c r="B132" s="918" t="s">
        <v>190</v>
      </c>
      <c r="C132" s="923">
        <f>'Revenues 9-14'!B220</f>
        <v>4620</v>
      </c>
      <c r="D132" s="924" t="str">
        <f>'Revenues 9-14'!A220</f>
        <v>Fed - Spec Education - IDEA - Flow Through</v>
      </c>
      <c r="E132" s="897"/>
      <c r="F132" s="1801">
        <f>SUM('Revenues 9-14'!C220:D220,'Revenues 9-14'!F220:G220)</f>
        <v>200141</v>
      </c>
      <c r="G132" s="921"/>
    </row>
    <row r="133" spans="1:7" x14ac:dyDescent="0.2">
      <c r="A133" s="918" t="s">
        <v>688</v>
      </c>
      <c r="B133" s="918" t="s">
        <v>191</v>
      </c>
      <c r="C133" s="923">
        <f>'Revenues 9-14'!B221</f>
        <v>4625</v>
      </c>
      <c r="D133" s="924" t="str">
        <f>'Revenues 9-14'!A221</f>
        <v>Fed - Spec Education - IDEA - Room &amp; Board</v>
      </c>
      <c r="E133" s="897"/>
      <c r="F133" s="1801">
        <f>SUM('Revenues 9-14'!C221,'Revenues 9-14'!D221,'Revenues 9-14'!F221,'Revenues 9-14'!G221)</f>
        <v>40346</v>
      </c>
      <c r="G133" s="921"/>
    </row>
    <row r="134" spans="1:7" x14ac:dyDescent="0.2">
      <c r="A134" s="918" t="s">
        <v>688</v>
      </c>
      <c r="B134" s="918" t="s">
        <v>858</v>
      </c>
      <c r="C134" s="923">
        <f>'Revenues 9-14'!B222</f>
        <v>4630</v>
      </c>
      <c r="D134" s="924" t="str">
        <f>'Revenues 9-14'!A222</f>
        <v>Fed - Spec Education - IDEA - Discretionary</v>
      </c>
      <c r="E134" s="897"/>
      <c r="F134" s="1801">
        <f>SUM('Revenues 9-14'!C222:D222,'Revenues 9-14'!F222:G222)</f>
        <v>0</v>
      </c>
      <c r="G134" s="921">
        <v>6297</v>
      </c>
    </row>
    <row r="135" spans="1:7" x14ac:dyDescent="0.2">
      <c r="A135" s="918" t="s">
        <v>688</v>
      </c>
      <c r="B135" s="918" t="s">
        <v>805</v>
      </c>
      <c r="C135" s="923">
        <f>'Revenues 9-14'!B223</f>
        <v>4699</v>
      </c>
      <c r="D135" s="924" t="str">
        <f>'Revenues 9-14'!A223</f>
        <v>Fed - Spec Education - IDEA - Other (Describe &amp; Itemize)</v>
      </c>
      <c r="E135" s="897"/>
      <c r="F135" s="1801">
        <f>SUM('Revenues 9-14'!C223:D223,'Revenues 9-14'!F223:G223)</f>
        <v>0</v>
      </c>
      <c r="G135" s="921"/>
    </row>
    <row r="136" spans="1:7" x14ac:dyDescent="0.2">
      <c r="A136" s="918" t="s">
        <v>693</v>
      </c>
      <c r="B136" s="918" t="s">
        <v>806</v>
      </c>
      <c r="C136" s="923">
        <v>4700</v>
      </c>
      <c r="D136" s="920" t="str">
        <f>'Revenues 9-14'!A228</f>
        <v>Total CTE - Perkins</v>
      </c>
      <c r="E136" s="897"/>
      <c r="F136" s="1801">
        <f>SUM('Revenues 9-14'!C228,'Revenues 9-14'!D228,'Revenues 9-14'!G228)</f>
        <v>0</v>
      </c>
      <c r="G136" s="921">
        <v>6303</v>
      </c>
    </row>
    <row r="137" spans="1:7" s="858" customFormat="1" hidden="1" x14ac:dyDescent="0.2">
      <c r="A137" s="925" t="s">
        <v>215</v>
      </c>
      <c r="B137" s="925" t="s">
        <v>1483</v>
      </c>
      <c r="C137" s="926" t="s">
        <v>216</v>
      </c>
      <c r="D137" s="927" t="str">
        <f>'Revenues 9-14'!A231</f>
        <v>ARRA - Title I - Low Income</v>
      </c>
      <c r="E137" s="928"/>
      <c r="F137" s="1921">
        <f>SUM('Revenues 9-14'!$C$231:$D$231,'Revenues 9-14'!$F$231:$G$231)</f>
        <v>0</v>
      </c>
      <c r="G137" s="896"/>
    </row>
    <row r="138" spans="1:7" s="858" customFormat="1" hidden="1" x14ac:dyDescent="0.2">
      <c r="A138" s="925" t="s">
        <v>215</v>
      </c>
      <c r="B138" s="925" t="s">
        <v>1484</v>
      </c>
      <c r="C138" s="926" t="s">
        <v>217</v>
      </c>
      <c r="D138" s="927" t="str">
        <f>'Revenues 9-14'!A232</f>
        <v>ARRA - Title I - Neglected, Private</v>
      </c>
      <c r="E138" s="928"/>
      <c r="F138" s="1801">
        <f>SUM('Revenues 9-14'!C232:G232,'Revenues 9-14'!J232)</f>
        <v>0</v>
      </c>
      <c r="G138" s="896"/>
    </row>
    <row r="139" spans="1:7" s="858" customFormat="1" hidden="1" x14ac:dyDescent="0.2">
      <c r="A139" s="925" t="s">
        <v>215</v>
      </c>
      <c r="B139" s="925" t="s">
        <v>220</v>
      </c>
      <c r="C139" s="926" t="s">
        <v>218</v>
      </c>
      <c r="D139" s="927" t="str">
        <f>'Revenues 9-14'!A233</f>
        <v>ARRA - Title I - Delinquent, Private</v>
      </c>
      <c r="E139" s="928"/>
      <c r="F139" s="1801">
        <f>SUM('Revenues 9-14'!C233:G233,'Revenues 9-14'!J233)</f>
        <v>0</v>
      </c>
      <c r="G139" s="896"/>
    </row>
    <row r="140" spans="1:7" s="858" customFormat="1" hidden="1" x14ac:dyDescent="0.2">
      <c r="A140" s="925" t="s">
        <v>215</v>
      </c>
      <c r="B140" s="925" t="s">
        <v>222</v>
      </c>
      <c r="C140" s="926" t="s">
        <v>219</v>
      </c>
      <c r="D140" s="927" t="str">
        <f>'Revenues 9-14'!A234</f>
        <v>ARRA - Title I - School Improvement (Part A)</v>
      </c>
      <c r="E140" s="928"/>
      <c r="F140" s="1801">
        <f>SUM('Revenues 9-14'!C234:G234,'Revenues 9-14'!J234)</f>
        <v>0</v>
      </c>
      <c r="G140" s="896"/>
    </row>
    <row r="141" spans="1:7" s="858" customFormat="1" hidden="1" x14ac:dyDescent="0.2">
      <c r="A141" s="925" t="s">
        <v>215</v>
      </c>
      <c r="B141" s="925" t="s">
        <v>224</v>
      </c>
      <c r="C141" s="926" t="s">
        <v>221</v>
      </c>
      <c r="D141" s="927" t="str">
        <f>'Revenues 9-14'!A235</f>
        <v>ARRA - Title I - School Improvement (Section 1003g)</v>
      </c>
      <c r="E141" s="928"/>
      <c r="F141" s="1801">
        <f>SUM('Revenues 9-14'!C235:G235,'Revenues 9-14'!J235)</f>
        <v>0</v>
      </c>
      <c r="G141" s="896"/>
    </row>
    <row r="142" spans="1:7" s="858" customFormat="1" hidden="1" x14ac:dyDescent="0.2">
      <c r="A142" s="925" t="s">
        <v>215</v>
      </c>
      <c r="B142" s="925" t="s">
        <v>226</v>
      </c>
      <c r="C142" s="926" t="s">
        <v>223</v>
      </c>
      <c r="D142" s="927" t="str">
        <f>'Revenues 9-14'!A236</f>
        <v>ARRA - IDEA - Part B - Preschool</v>
      </c>
      <c r="E142" s="928"/>
      <c r="F142" s="1801">
        <v>0</v>
      </c>
      <c r="G142" s="896"/>
    </row>
    <row r="143" spans="1:7" s="858" customFormat="1" hidden="1" x14ac:dyDescent="0.2">
      <c r="A143" s="925" t="s">
        <v>215</v>
      </c>
      <c r="B143" s="925" t="s">
        <v>228</v>
      </c>
      <c r="C143" s="926" t="s">
        <v>225</v>
      </c>
      <c r="D143" s="927" t="str">
        <f>'Revenues 9-14'!A237</f>
        <v>ARRA - IDEA - Part B - Flow-Through</v>
      </c>
      <c r="E143" s="928"/>
      <c r="F143" s="1801">
        <f>SUM('Revenues 9-14'!C237:G237,'Revenues 9-14'!J237)</f>
        <v>0</v>
      </c>
      <c r="G143" s="896"/>
    </row>
    <row r="144" spans="1:7" s="858" customFormat="1" hidden="1" x14ac:dyDescent="0.2">
      <c r="A144" s="925" t="s">
        <v>215</v>
      </c>
      <c r="B144" s="925" t="s">
        <v>859</v>
      </c>
      <c r="C144" s="926" t="s">
        <v>227</v>
      </c>
      <c r="D144" s="927" t="str">
        <f>'Revenues 9-14'!A238</f>
        <v>ARRA - Title IID - Technology-Formula</v>
      </c>
      <c r="E144" s="928"/>
      <c r="F144" s="1801">
        <f>SUM('Revenues 9-14'!C238:G238,'Revenues 9-14'!J238)</f>
        <v>0</v>
      </c>
      <c r="G144" s="896"/>
    </row>
    <row r="145" spans="1:7" s="858" customFormat="1" hidden="1" x14ac:dyDescent="0.2">
      <c r="A145" s="925" t="s">
        <v>215</v>
      </c>
      <c r="B145" s="925" t="s">
        <v>1485</v>
      </c>
      <c r="C145" s="926" t="s">
        <v>229</v>
      </c>
      <c r="D145" s="927" t="str">
        <f>'Revenues 9-14'!A239</f>
        <v>ARRA - Title IID - Technology-Competitive</v>
      </c>
      <c r="E145" s="928"/>
      <c r="F145" s="1801">
        <f>SUM('Revenues 9-14'!C239:G239,'Revenues 9-14'!J239)</f>
        <v>0</v>
      </c>
      <c r="G145" s="896"/>
    </row>
    <row r="146" spans="1:7" s="858" customFormat="1" hidden="1" x14ac:dyDescent="0.2">
      <c r="A146" s="925" t="s">
        <v>688</v>
      </c>
      <c r="B146" s="925" t="s">
        <v>1486</v>
      </c>
      <c r="C146" s="926" t="s">
        <v>230</v>
      </c>
      <c r="D146" s="927" t="str">
        <f>'Revenues 9-14'!A240</f>
        <v>ARRA - McKinney - Vento Homeless Education</v>
      </c>
      <c r="E146" s="928"/>
      <c r="F146" s="1801">
        <f>SUM('Revenues 9-14'!C240:G240,'Revenues 9-14'!J240)</f>
        <v>0</v>
      </c>
      <c r="G146" s="896"/>
    </row>
    <row r="147" spans="1:7" s="858" customFormat="1" hidden="1" x14ac:dyDescent="0.2">
      <c r="A147" s="925" t="s">
        <v>215</v>
      </c>
      <c r="B147" s="925" t="s">
        <v>233</v>
      </c>
      <c r="C147" s="926" t="s">
        <v>231</v>
      </c>
      <c r="D147" s="927" t="str">
        <f>'Revenues 9-14'!A244</f>
        <v>Qualified Zone Academy Bond Tax Credits</v>
      </c>
      <c r="E147" s="928"/>
      <c r="F147" s="1801">
        <f>SUM('Revenues 9-14'!C244:G244,'Revenues 9-14'!J244)</f>
        <v>0</v>
      </c>
      <c r="G147" s="896"/>
    </row>
    <row r="148" spans="1:7" s="858" customFormat="1" hidden="1" x14ac:dyDescent="0.2">
      <c r="A148" s="925" t="s">
        <v>215</v>
      </c>
      <c r="B148" s="925" t="s">
        <v>235</v>
      </c>
      <c r="C148" s="926" t="s">
        <v>232</v>
      </c>
      <c r="D148" s="927" t="str">
        <f>'Revenues 9-14'!A245</f>
        <v>Qualified School Construction Bond Credits</v>
      </c>
      <c r="E148" s="928"/>
      <c r="F148" s="1801">
        <f>SUM('Revenues 9-14'!C245:G245,'Revenues 9-14'!J245)</f>
        <v>0</v>
      </c>
      <c r="G148" s="896"/>
    </row>
    <row r="149" spans="1:7" s="858" customFormat="1" hidden="1" x14ac:dyDescent="0.2">
      <c r="A149" s="925" t="s">
        <v>215</v>
      </c>
      <c r="B149" s="925" t="s">
        <v>237</v>
      </c>
      <c r="C149" s="926" t="s">
        <v>234</v>
      </c>
      <c r="D149" s="927" t="str">
        <f>'Revenues 9-14'!A246</f>
        <v>Build America Bond Tax Credits</v>
      </c>
      <c r="E149" s="928"/>
      <c r="F149" s="1801">
        <f>SUM('Revenues 9-14'!C246:G246,'Revenues 9-14'!J246)</f>
        <v>0</v>
      </c>
      <c r="G149" s="896"/>
    </row>
    <row r="150" spans="1:7" s="858" customFormat="1" hidden="1" x14ac:dyDescent="0.2">
      <c r="A150" s="925" t="s">
        <v>215</v>
      </c>
      <c r="B150" s="925" t="s">
        <v>1487</v>
      </c>
      <c r="C150" s="926" t="s">
        <v>236</v>
      </c>
      <c r="D150" s="927" t="str">
        <f>'Revenues 9-14'!A247</f>
        <v>Build America Bond Interest Reimbursement</v>
      </c>
      <c r="E150" s="928"/>
      <c r="F150" s="1801">
        <f>SUM('Revenues 9-14'!C247:G247,'Revenues 9-14'!J247)</f>
        <v>0</v>
      </c>
      <c r="G150" s="896"/>
    </row>
    <row r="151" spans="1:7" s="858" customFormat="1" hidden="1" x14ac:dyDescent="0.2">
      <c r="A151" s="925" t="s">
        <v>215</v>
      </c>
      <c r="B151" s="925" t="s">
        <v>240</v>
      </c>
      <c r="C151" s="926" t="s">
        <v>238</v>
      </c>
      <c r="D151" s="927" t="str">
        <f>'Revenues 9-14'!A249</f>
        <v>Other ARRA Funds - II</v>
      </c>
      <c r="E151" s="928"/>
      <c r="F151" s="1801">
        <f>SUM('Revenues 9-14'!C249:G249,'Revenues 9-14'!J249)</f>
        <v>0</v>
      </c>
      <c r="G151" s="896"/>
    </row>
    <row r="152" spans="1:7" s="858" customFormat="1" hidden="1" x14ac:dyDescent="0.2">
      <c r="A152" s="925" t="s">
        <v>215</v>
      </c>
      <c r="B152" s="925" t="s">
        <v>242</v>
      </c>
      <c r="C152" s="926" t="s">
        <v>239</v>
      </c>
      <c r="D152" s="927" t="str">
        <f>'Revenues 9-14'!A250</f>
        <v>Other ARRA Funds - III</v>
      </c>
      <c r="E152" s="928"/>
      <c r="F152" s="1801">
        <f>SUM('Revenues 9-14'!C250:G250,'Revenues 9-14'!J250)</f>
        <v>0</v>
      </c>
      <c r="G152" s="896"/>
    </row>
    <row r="153" spans="1:7" s="858" customFormat="1" hidden="1" x14ac:dyDescent="0.2">
      <c r="A153" s="925" t="s">
        <v>215</v>
      </c>
      <c r="B153" s="925" t="s">
        <v>244</v>
      </c>
      <c r="C153" s="926" t="s">
        <v>241</v>
      </c>
      <c r="D153" s="927" t="str">
        <f>'Revenues 9-14'!A251</f>
        <v>Other ARRA Funds - IV</v>
      </c>
      <c r="E153" s="928"/>
      <c r="F153" s="1801">
        <f>SUM('Revenues 9-14'!C251:G251,'Revenues 9-14'!J251)</f>
        <v>0</v>
      </c>
      <c r="G153" s="896"/>
    </row>
    <row r="154" spans="1:7" s="858" customFormat="1" hidden="1" x14ac:dyDescent="0.2">
      <c r="A154" s="925" t="s">
        <v>215</v>
      </c>
      <c r="B154" s="925" t="s">
        <v>246</v>
      </c>
      <c r="C154" s="926" t="s">
        <v>243</v>
      </c>
      <c r="D154" s="927" t="str">
        <f>'Revenues 9-14'!A252</f>
        <v>Other ARRA Funds - V</v>
      </c>
      <c r="E154" s="928"/>
      <c r="F154" s="1801">
        <f>SUM('Revenues 9-14'!C252:G252,'Revenues 9-14'!J252)</f>
        <v>0</v>
      </c>
      <c r="G154" s="896"/>
    </row>
    <row r="155" spans="1:7" s="858" customFormat="1" hidden="1" x14ac:dyDescent="0.2">
      <c r="A155" s="925" t="s">
        <v>215</v>
      </c>
      <c r="B155" s="925" t="s">
        <v>248</v>
      </c>
      <c r="C155" s="926" t="s">
        <v>245</v>
      </c>
      <c r="D155" s="927" t="str">
        <f>'Revenues 9-14'!A253</f>
        <v>ARRA - Early Childhood</v>
      </c>
      <c r="E155" s="928"/>
      <c r="F155" s="1801">
        <v>0</v>
      </c>
      <c r="G155" s="896"/>
    </row>
    <row r="156" spans="1:7" s="858" customFormat="1" hidden="1" x14ac:dyDescent="0.2">
      <c r="A156" s="925" t="s">
        <v>215</v>
      </c>
      <c r="B156" s="925" t="s">
        <v>250</v>
      </c>
      <c r="C156" s="926" t="s">
        <v>247</v>
      </c>
      <c r="D156" s="927" t="str">
        <f>'Revenues 9-14'!A254</f>
        <v>Other ARRA Funds VII</v>
      </c>
      <c r="E156" s="928"/>
      <c r="F156" s="1801">
        <f>SUM('Revenues 9-14'!C254:G254,'Revenues 9-14'!J254)</f>
        <v>0</v>
      </c>
      <c r="G156" s="896"/>
    </row>
    <row r="157" spans="1:7" s="858" customFormat="1" hidden="1" x14ac:dyDescent="0.2">
      <c r="A157" s="925" t="s">
        <v>215</v>
      </c>
      <c r="B157" s="925" t="s">
        <v>252</v>
      </c>
      <c r="C157" s="926" t="s">
        <v>249</v>
      </c>
      <c r="D157" s="927" t="str">
        <f>'Revenues 9-14'!A255</f>
        <v>Other ARRA Funds VIII</v>
      </c>
      <c r="E157" s="928"/>
      <c r="F157" s="1801">
        <f>SUM('Revenues 9-14'!C255:G255,'Revenues 9-14'!J255)</f>
        <v>0</v>
      </c>
      <c r="G157" s="896"/>
    </row>
    <row r="158" spans="1:7" s="858" customFormat="1" hidden="1" x14ac:dyDescent="0.2">
      <c r="A158" s="925" t="s">
        <v>215</v>
      </c>
      <c r="B158" s="925" t="s">
        <v>254</v>
      </c>
      <c r="C158" s="926" t="s">
        <v>251</v>
      </c>
      <c r="D158" s="927" t="str">
        <f>'Revenues 9-14'!A256</f>
        <v>Other ARRA Funds IX</v>
      </c>
      <c r="E158" s="928"/>
      <c r="F158" s="1801">
        <f>SUM('Revenues 9-14'!C256:G256,'Revenues 9-14'!J256)</f>
        <v>0</v>
      </c>
      <c r="G158" s="896"/>
    </row>
    <row r="159" spans="1:7" s="858" customFormat="1" hidden="1" x14ac:dyDescent="0.2">
      <c r="A159" s="925" t="s">
        <v>215</v>
      </c>
      <c r="B159" s="925" t="s">
        <v>862</v>
      </c>
      <c r="C159" s="926" t="s">
        <v>253</v>
      </c>
      <c r="D159" s="927" t="str">
        <f>'Revenues 9-14'!A257</f>
        <v>Other ARRA Funds X</v>
      </c>
      <c r="E159" s="928"/>
      <c r="F159" s="1801">
        <f>SUM('Revenues 9-14'!C257:G257,'Revenues 9-14'!J257)</f>
        <v>0</v>
      </c>
      <c r="G159" s="896"/>
    </row>
    <row r="160" spans="1:7" s="858" customFormat="1" hidden="1" x14ac:dyDescent="0.2">
      <c r="A160" s="925" t="s">
        <v>215</v>
      </c>
      <c r="B160" s="925" t="s">
        <v>1488</v>
      </c>
      <c r="C160" s="926" t="s">
        <v>255</v>
      </c>
      <c r="D160" s="927" t="str">
        <f>'Revenues 9-14'!A258</f>
        <v>Other ARRA Funds Ed Job Fund Program</v>
      </c>
      <c r="E160" s="928"/>
      <c r="F160" s="1801">
        <f>SUM('Revenues 9-14'!C258:G258,'Revenues 9-14'!J258)</f>
        <v>0</v>
      </c>
      <c r="G160" s="896"/>
    </row>
    <row r="161" spans="1:7" s="858" customFormat="1" x14ac:dyDescent="0.2">
      <c r="A161" s="929" t="s">
        <v>520</v>
      </c>
      <c r="B161" s="930" t="s">
        <v>1563</v>
      </c>
      <c r="C161" s="931" t="s">
        <v>895</v>
      </c>
      <c r="D161" s="932" t="s">
        <v>807</v>
      </c>
      <c r="E161" s="933"/>
      <c r="F161" s="1801">
        <f>SUM(F137:F160)</f>
        <v>0</v>
      </c>
      <c r="G161" s="896"/>
    </row>
    <row r="162" spans="1:7" s="858" customFormat="1" x14ac:dyDescent="0.2">
      <c r="A162" s="929" t="s">
        <v>478</v>
      </c>
      <c r="B162" s="930" t="s">
        <v>1500</v>
      </c>
      <c r="C162" s="931" t="s">
        <v>1498</v>
      </c>
      <c r="D162" s="932" t="s">
        <v>1499</v>
      </c>
      <c r="E162" s="933"/>
      <c r="F162" s="1801">
        <f>SUM('Revenues 9-14'!C260)</f>
        <v>0</v>
      </c>
      <c r="G162" s="896"/>
    </row>
    <row r="163" spans="1:7" s="858" customFormat="1" x14ac:dyDescent="0.2">
      <c r="A163" s="929" t="s">
        <v>520</v>
      </c>
      <c r="B163" s="930" t="s">
        <v>1540</v>
      </c>
      <c r="C163" s="931" t="s">
        <v>1541</v>
      </c>
      <c r="D163" s="932" t="s">
        <v>1542</v>
      </c>
      <c r="E163" s="933"/>
      <c r="F163" s="1801">
        <f>SUM('Revenues 9-14'!C261:H261,'Revenues 9-14'!J261:K261)</f>
        <v>0</v>
      </c>
      <c r="G163" s="896"/>
    </row>
    <row r="164" spans="1:7" x14ac:dyDescent="0.2">
      <c r="A164" s="918" t="s">
        <v>1066</v>
      </c>
      <c r="B164" s="918" t="s">
        <v>1555</v>
      </c>
      <c r="C164" s="923">
        <f>'Revenues 9-14'!B262</f>
        <v>4904</v>
      </c>
      <c r="D164" s="920" t="str">
        <f>'Revenues 9-14'!A262</f>
        <v>Advanced Placement Fee/International Baccalaureate</v>
      </c>
      <c r="E164" s="897"/>
      <c r="F164" s="1801">
        <f>SUM('Revenues 9-14'!C262,'Revenues 9-14'!D262,'Revenues 9-14'!G262)</f>
        <v>0</v>
      </c>
      <c r="G164" s="921"/>
    </row>
    <row r="165" spans="1:7" x14ac:dyDescent="0.2">
      <c r="A165" s="918" t="s">
        <v>5</v>
      </c>
      <c r="B165" s="918" t="s">
        <v>808</v>
      </c>
      <c r="C165" s="923">
        <f>'Revenues 9-14'!B263</f>
        <v>4905</v>
      </c>
      <c r="D165" s="920" t="str">
        <f>'Revenues 9-14'!A263</f>
        <v>Title III - Immigrant Education Program (IEP)</v>
      </c>
      <c r="E165" s="897"/>
      <c r="F165" s="1801">
        <f>SUM('Revenues 9-14'!C263,'Revenues 9-14'!F263,'Revenues 9-14'!G263)</f>
        <v>0</v>
      </c>
      <c r="G165" s="934">
        <v>6306</v>
      </c>
    </row>
    <row r="166" spans="1:7" x14ac:dyDescent="0.2">
      <c r="A166" s="918" t="s">
        <v>5</v>
      </c>
      <c r="B166" s="918" t="s">
        <v>1501</v>
      </c>
      <c r="C166" s="923">
        <f>'Revenues 9-14'!B264</f>
        <v>4909</v>
      </c>
      <c r="D166" s="920" t="str">
        <f>'Revenues 9-14'!A264</f>
        <v>Title III - Language Inst Program - Limited Eng (LIPLEP)</v>
      </c>
      <c r="E166" s="897"/>
      <c r="F166" s="1801">
        <f>SUM('Revenues 9-14'!C264,'Revenues 9-14'!F264,'Revenues 9-14'!G264)</f>
        <v>0</v>
      </c>
      <c r="G166" s="934"/>
    </row>
    <row r="167" spans="1:7" x14ac:dyDescent="0.2">
      <c r="A167" s="918" t="s">
        <v>5</v>
      </c>
      <c r="B167" s="918" t="s">
        <v>1556</v>
      </c>
      <c r="C167" s="923">
        <f>'Revenues 9-14'!B265</f>
        <v>4910</v>
      </c>
      <c r="D167" s="920" t="str">
        <f>'Revenues 9-14'!A265</f>
        <v>Learn &amp; Serve America</v>
      </c>
      <c r="E167" s="897"/>
      <c r="F167" s="1801">
        <f>SUM('Revenues 9-14'!C265,'Revenues 9-14'!F265,'Revenues 9-14'!G265)</f>
        <v>0</v>
      </c>
      <c r="G167" s="921"/>
    </row>
    <row r="168" spans="1:7" x14ac:dyDescent="0.2">
      <c r="A168" s="918" t="s">
        <v>688</v>
      </c>
      <c r="B168" s="918" t="s">
        <v>706</v>
      </c>
      <c r="C168" s="923">
        <f>'Revenues 9-14'!B266</f>
        <v>4920</v>
      </c>
      <c r="D168" s="920" t="str">
        <f>'Revenues 9-14'!A266</f>
        <v>McKinney Education for Homeless Children</v>
      </c>
      <c r="E168" s="897"/>
      <c r="F168" s="1801">
        <f>SUM('Revenues 9-14'!C266,'Revenues 9-14'!D266,'Revenues 9-14'!F266,'Revenues 9-14'!G266)</f>
        <v>4173</v>
      </c>
      <c r="G168" s="921"/>
    </row>
    <row r="169" spans="1:7" x14ac:dyDescent="0.2">
      <c r="A169" s="935" t="s">
        <v>688</v>
      </c>
      <c r="B169" s="935" t="s">
        <v>707</v>
      </c>
      <c r="C169" s="936">
        <f>'Revenues 9-14'!B267</f>
        <v>4930</v>
      </c>
      <c r="D169" s="937" t="str">
        <f>'Revenues 9-14'!A267</f>
        <v>Title II - Eisenhower Professional Development Formula</v>
      </c>
      <c r="E169" s="917"/>
      <c r="F169" s="1921">
        <f>SUM('Revenues 9-14'!C267:D267,'Revenues 9-14'!F267,'Revenues 9-14'!G267)</f>
        <v>0</v>
      </c>
      <c r="G169" s="921"/>
    </row>
    <row r="170" spans="1:7" x14ac:dyDescent="0.2">
      <c r="A170" s="918" t="s">
        <v>688</v>
      </c>
      <c r="B170" s="918" t="s">
        <v>708</v>
      </c>
      <c r="C170" s="923">
        <f>'Revenues 9-14'!B268</f>
        <v>4932</v>
      </c>
      <c r="D170" s="924" t="str">
        <f>'Revenues 9-14'!A268</f>
        <v>Title II - Teacher Quality</v>
      </c>
      <c r="E170" s="897"/>
      <c r="F170" s="1921">
        <f>SUM('Revenues 9-14'!C268,'Revenues 9-14'!D268,'Revenues 9-14'!F268,'Revenues 9-14'!G268)</f>
        <v>74809</v>
      </c>
      <c r="G170" s="921"/>
    </row>
    <row r="171" spans="1:7" x14ac:dyDescent="0.2">
      <c r="A171" s="918" t="s">
        <v>688</v>
      </c>
      <c r="B171" s="918" t="s">
        <v>863</v>
      </c>
      <c r="C171" s="923">
        <f>'Revenues 9-14'!B269</f>
        <v>4960</v>
      </c>
      <c r="D171" s="920" t="str">
        <f>'Revenues 9-14'!A269</f>
        <v>Federal Charter Schools</v>
      </c>
      <c r="E171" s="897"/>
      <c r="F171" s="1801">
        <f>SUM('Revenues 9-14'!C269:D269,'Revenues 9-14'!F269:G269)</f>
        <v>0</v>
      </c>
      <c r="G171" s="921"/>
    </row>
    <row r="172" spans="1:7" x14ac:dyDescent="0.2">
      <c r="A172" s="918" t="s">
        <v>688</v>
      </c>
      <c r="B172" s="918" t="s">
        <v>809</v>
      </c>
      <c r="C172" s="923">
        <f>'Revenues 9-14'!B270</f>
        <v>4991</v>
      </c>
      <c r="D172" s="924" t="str">
        <f>'Revenues 9-14'!A270</f>
        <v>Medicaid Matching Funds - Administrative Outreach</v>
      </c>
      <c r="E172" s="897"/>
      <c r="F172" s="1801">
        <f>SUM('Revenues 9-14'!C270:D270,'Revenues 9-14'!F270:G270)</f>
        <v>19712</v>
      </c>
      <c r="G172" s="938">
        <v>6320</v>
      </c>
    </row>
    <row r="173" spans="1:7" x14ac:dyDescent="0.2">
      <c r="A173" s="918" t="s">
        <v>688</v>
      </c>
      <c r="B173" s="918" t="s">
        <v>1502</v>
      </c>
      <c r="C173" s="923">
        <f>'Revenues 9-14'!B271</f>
        <v>4992</v>
      </c>
      <c r="D173" s="924" t="str">
        <f>'Revenues 9-14'!A271</f>
        <v>Medicaid Matching Funds - Fee-for-Service Program</v>
      </c>
      <c r="E173" s="897"/>
      <c r="F173" s="1801">
        <f>SUM('Revenues 9-14'!C271:D271,'Revenues 9-14'!F271:G271)</f>
        <v>11637</v>
      </c>
      <c r="G173" s="938"/>
    </row>
    <row r="174" spans="1:7" x14ac:dyDescent="0.2">
      <c r="A174" s="939" t="s">
        <v>688</v>
      </c>
      <c r="B174" s="935" t="s">
        <v>1557</v>
      </c>
      <c r="C174" s="936">
        <f>'Revenues 9-14'!B272</f>
        <v>4999</v>
      </c>
      <c r="D174" s="937" t="str">
        <f>'Revenues 9-14'!A272</f>
        <v>Other Restricted Revenue from Federal Sources (Describe &amp; Itemize)</v>
      </c>
      <c r="E174" s="897"/>
      <c r="F174" s="1801">
        <f>SUM('Revenues 9-14'!C272:D272,'Revenues 9-14'!F272:G272)</f>
        <v>12563</v>
      </c>
      <c r="G174" s="918"/>
    </row>
    <row r="175" spans="1:7" x14ac:dyDescent="0.2">
      <c r="A175" s="1932" t="s">
        <v>5</v>
      </c>
      <c r="B175" s="1933" t="s">
        <v>2057</v>
      </c>
      <c r="C175" s="1934">
        <v>3100</v>
      </c>
      <c r="D175" s="1935" t="s">
        <v>2060</v>
      </c>
      <c r="E175" s="897"/>
      <c r="F175" s="1919"/>
      <c r="G175" s="918"/>
    </row>
    <row r="176" spans="1:7" x14ac:dyDescent="0.2">
      <c r="A176" s="1932" t="s">
        <v>684</v>
      </c>
      <c r="B176" s="1933" t="s">
        <v>2057</v>
      </c>
      <c r="C176" s="1934">
        <v>3300</v>
      </c>
      <c r="D176" s="1935" t="s">
        <v>2061</v>
      </c>
      <c r="E176" s="897"/>
      <c r="F176" s="1919"/>
      <c r="G176" s="918"/>
    </row>
    <row r="177" spans="1:7" ht="6" customHeight="1" x14ac:dyDescent="0.2">
      <c r="A177" s="918"/>
      <c r="B177" s="918"/>
      <c r="C177" s="940"/>
      <c r="D177" s="918"/>
      <c r="E177" s="897"/>
      <c r="F177" s="941"/>
      <c r="G177" s="938"/>
    </row>
    <row r="178" spans="1:7" x14ac:dyDescent="0.2">
      <c r="A178" s="1782"/>
      <c r="B178" s="1796"/>
      <c r="C178" s="1797"/>
      <c r="D178" s="1798" t="s">
        <v>2013</v>
      </c>
      <c r="E178" s="1799" t="s">
        <v>1014</v>
      </c>
      <c r="F178" s="1800">
        <f>SUM(F84:F136,F161:F176)</f>
        <v>2878219</v>
      </c>
    </row>
    <row r="179" spans="1:7" ht="12" customHeight="1" x14ac:dyDescent="0.2">
      <c r="A179" s="1782"/>
      <c r="B179" s="1796"/>
      <c r="C179" s="1797"/>
      <c r="D179" s="1798" t="s">
        <v>2014</v>
      </c>
      <c r="E179" s="1799"/>
      <c r="F179" s="1801">
        <f>'PCTC-OEPP 27-28'!F77-F178</f>
        <v>12418705</v>
      </c>
    </row>
    <row r="180" spans="1:7" ht="12" customHeight="1" x14ac:dyDescent="0.2">
      <c r="A180" s="1782"/>
      <c r="B180" s="1796"/>
      <c r="C180" s="1797"/>
      <c r="D180" s="1798" t="s">
        <v>1923</v>
      </c>
      <c r="E180" s="1799"/>
      <c r="F180" s="1801">
        <f>'Cap Outlay Deprec 26'!I18</f>
        <v>1163517</v>
      </c>
    </row>
    <row r="181" spans="1:7" ht="12" customHeight="1" x14ac:dyDescent="0.2">
      <c r="A181" s="1782"/>
      <c r="B181" s="1796"/>
      <c r="C181" s="1797"/>
      <c r="D181" s="1798" t="s">
        <v>2015</v>
      </c>
      <c r="E181" s="1799"/>
      <c r="F181" s="1801">
        <f>F179+F180</f>
        <v>13582222</v>
      </c>
    </row>
    <row r="182" spans="1:7" ht="12" customHeight="1" x14ac:dyDescent="0.2">
      <c r="A182" s="1782"/>
      <c r="B182" s="1802"/>
      <c r="C182" s="1797"/>
      <c r="D182" s="1798" t="str">
        <f>D78</f>
        <v>9 Month ADA from District Average Daily Attendance/Prior General State Aid Inquiry 2017-2018</v>
      </c>
      <c r="E182" s="1799"/>
      <c r="F182" s="1803">
        <f>'PCTC-OEPP 27-28'!F78</f>
        <v>1141.6600000000001</v>
      </c>
      <c r="G182" s="921"/>
    </row>
    <row r="183" spans="1:7" ht="12" customHeight="1" thickBot="1" x14ac:dyDescent="0.25">
      <c r="A183" s="1782"/>
      <c r="B183" s="1802"/>
      <c r="C183" s="1797"/>
      <c r="D183" s="1798" t="s">
        <v>2016</v>
      </c>
      <c r="E183" s="1799" t="s">
        <v>1625</v>
      </c>
      <c r="F183" s="1804">
        <f>F181/F182</f>
        <v>11896.906259306623</v>
      </c>
      <c r="G183" s="847">
        <v>6323</v>
      </c>
    </row>
    <row r="184" spans="1:7" ht="12" thickTop="1" x14ac:dyDescent="0.2">
      <c r="B184" s="921"/>
      <c r="C184" s="940"/>
      <c r="D184" s="921"/>
      <c r="E184" s="940"/>
      <c r="F184" s="921"/>
      <c r="G184" s="942">
        <v>6326</v>
      </c>
    </row>
    <row r="185" spans="1:7" ht="12.2" customHeight="1" x14ac:dyDescent="0.2">
      <c r="A185" s="921" t="s">
        <v>2059</v>
      </c>
      <c r="B185" s="921"/>
      <c r="C185" s="940"/>
      <c r="D185" s="921"/>
      <c r="E185" s="940"/>
      <c r="F185" s="921"/>
      <c r="G185" s="921"/>
    </row>
    <row r="186" spans="1:7" s="1936" customFormat="1" ht="12.2" customHeight="1" x14ac:dyDescent="0.2">
      <c r="A186" s="1936" t="s">
        <v>2064</v>
      </c>
      <c r="B186" s="1937"/>
      <c r="C186" s="1938"/>
      <c r="D186" s="1937"/>
      <c r="E186" s="1938"/>
      <c r="F186" s="1937"/>
      <c r="G186" s="1937"/>
    </row>
    <row r="187" spans="1:7" s="1936" customFormat="1" ht="12.2" customHeight="1" x14ac:dyDescent="0.2">
      <c r="A187" s="1939" t="s">
        <v>2065</v>
      </c>
      <c r="C187" s="1938"/>
      <c r="D187" s="1937"/>
      <c r="E187" s="1938"/>
      <c r="F187" s="1937"/>
      <c r="G187" s="1937"/>
    </row>
    <row r="188" spans="1:7" ht="12" customHeight="1" x14ac:dyDescent="0.2">
      <c r="C188" s="940"/>
      <c r="D188" s="921"/>
      <c r="E188" s="940"/>
      <c r="F188" s="921"/>
      <c r="G188" s="921"/>
    </row>
    <row r="189" spans="1:7" x14ac:dyDescent="0.2">
      <c r="A189" s="1940" t="s">
        <v>2063</v>
      </c>
      <c r="B189" s="1941" t="s">
        <v>2062</v>
      </c>
      <c r="C189" s="940"/>
      <c r="D189" s="921"/>
      <c r="E189" s="940"/>
      <c r="F189" s="921"/>
      <c r="G189" s="921"/>
    </row>
    <row r="190" spans="1:7" x14ac:dyDescent="0.2">
      <c r="A190" s="921"/>
      <c r="B190" s="921"/>
      <c r="C190" s="940"/>
      <c r="D190" s="921"/>
      <c r="E190" s="940"/>
      <c r="F190" s="921"/>
      <c r="G190" s="921"/>
    </row>
    <row r="191" spans="1:7" x14ac:dyDescent="0.2">
      <c r="A191" s="921"/>
      <c r="B191" s="921"/>
      <c r="C191" s="940"/>
      <c r="D191" s="921"/>
      <c r="E191" s="940"/>
      <c r="F191" s="921"/>
      <c r="G191" s="921"/>
    </row>
    <row r="192" spans="1:7" x14ac:dyDescent="0.2">
      <c r="A192" s="921"/>
      <c r="B192" s="921"/>
      <c r="C192" s="940"/>
      <c r="D192" s="921"/>
      <c r="E192" s="940"/>
      <c r="F192" s="921"/>
      <c r="G192" s="921"/>
    </row>
    <row r="193" spans="1:7" x14ac:dyDescent="0.2">
      <c r="A193" s="921"/>
      <c r="B193" s="921"/>
      <c r="C193" s="940"/>
      <c r="D193" s="921"/>
      <c r="E193" s="940"/>
      <c r="F193" s="921"/>
      <c r="G193" s="921"/>
    </row>
    <row r="194" spans="1:7" x14ac:dyDescent="0.2">
      <c r="A194" s="921"/>
      <c r="B194" s="921"/>
      <c r="C194" s="940"/>
      <c r="D194" s="921"/>
      <c r="E194" s="940"/>
      <c r="F194" s="921"/>
      <c r="G194" s="921"/>
    </row>
    <row r="195" spans="1:7" x14ac:dyDescent="0.2">
      <c r="A195" s="921"/>
      <c r="B195" s="921"/>
      <c r="C195" s="940"/>
      <c r="D195" s="921"/>
      <c r="E195" s="940"/>
      <c r="F195" s="921"/>
      <c r="G195" s="921"/>
    </row>
    <row r="196" spans="1:7" x14ac:dyDescent="0.2">
      <c r="A196" s="921"/>
      <c r="B196" s="921"/>
      <c r="C196" s="940"/>
      <c r="D196" s="921"/>
      <c r="E196" s="940"/>
      <c r="F196" s="921"/>
      <c r="G196" s="921"/>
    </row>
    <row r="197" spans="1:7" x14ac:dyDescent="0.2">
      <c r="A197" s="921"/>
      <c r="B197" s="921"/>
      <c r="C197" s="940"/>
      <c r="D197" s="921"/>
      <c r="E197" s="940"/>
      <c r="F197" s="921"/>
      <c r="G197" s="921"/>
    </row>
    <row r="198" spans="1:7" x14ac:dyDescent="0.2">
      <c r="A198" s="921"/>
      <c r="B198" s="921"/>
      <c r="C198" s="940"/>
      <c r="D198" s="921"/>
      <c r="E198" s="940"/>
      <c r="F198" s="921"/>
      <c r="G198" s="921"/>
    </row>
    <row r="199" spans="1:7" x14ac:dyDescent="0.2">
      <c r="A199" s="921"/>
      <c r="B199" s="921"/>
      <c r="C199" s="940"/>
      <c r="D199" s="921"/>
      <c r="E199" s="940"/>
      <c r="F199" s="921"/>
      <c r="G199" s="921"/>
    </row>
    <row r="200" spans="1:7" x14ac:dyDescent="0.2">
      <c r="A200" s="921"/>
      <c r="B200" s="921"/>
      <c r="C200" s="940"/>
      <c r="D200" s="921"/>
      <c r="E200" s="940"/>
      <c r="F200" s="921"/>
      <c r="G200" s="921"/>
    </row>
    <row r="201" spans="1:7" x14ac:dyDescent="0.2">
      <c r="A201" s="921"/>
      <c r="B201" s="921"/>
      <c r="C201" s="940"/>
      <c r="D201" s="921"/>
      <c r="E201" s="940"/>
      <c r="F201" s="921"/>
      <c r="G201" s="921"/>
    </row>
    <row r="202" spans="1:7" x14ac:dyDescent="0.2">
      <c r="A202" s="921"/>
      <c r="B202" s="921"/>
      <c r="C202" s="940"/>
      <c r="D202" s="921"/>
      <c r="E202" s="940"/>
      <c r="F202" s="921"/>
      <c r="G202" s="921"/>
    </row>
    <row r="203" spans="1:7" x14ac:dyDescent="0.2">
      <c r="A203" s="921"/>
      <c r="B203" s="921"/>
      <c r="C203" s="940"/>
      <c r="D203" s="921"/>
      <c r="E203" s="940"/>
      <c r="F203" s="921"/>
      <c r="G203" s="921"/>
    </row>
    <row r="204" spans="1:7" x14ac:dyDescent="0.2">
      <c r="A204" s="921"/>
      <c r="B204" s="921"/>
      <c r="C204" s="940"/>
      <c r="D204" s="921"/>
      <c r="E204" s="940"/>
      <c r="F204" s="921"/>
      <c r="G204" s="921"/>
    </row>
    <row r="205" spans="1:7" x14ac:dyDescent="0.2">
      <c r="A205" s="921"/>
      <c r="B205" s="921"/>
      <c r="C205" s="940"/>
      <c r="D205" s="921"/>
      <c r="E205" s="940"/>
      <c r="F205" s="921"/>
      <c r="G205" s="921"/>
    </row>
    <row r="206" spans="1:7" x14ac:dyDescent="0.2">
      <c r="A206" s="921"/>
      <c r="B206" s="921"/>
      <c r="C206" s="940"/>
      <c r="D206" s="921"/>
      <c r="E206" s="940"/>
      <c r="F206" s="921"/>
      <c r="G206" s="92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6"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80" zoomScaleNormal="80" workbookViewId="0">
      <pane ySplit="16" topLeftCell="A17" activePane="bottomLeft" state="frozen"/>
      <selection activeCell="P51" sqref="P51:P52"/>
      <selection pane="bottomLeft" activeCell="C25" sqref="C25"/>
    </sheetView>
  </sheetViews>
  <sheetFormatPr defaultColWidth="9.140625" defaultRowHeight="15" x14ac:dyDescent="0.25"/>
  <cols>
    <col min="1" max="1" width="52" style="1554" customWidth="1"/>
    <col min="2" max="2" width="16.42578125" style="1555" bestFit="1" customWidth="1"/>
    <col min="3" max="3" width="33.7109375" style="1555" customWidth="1"/>
    <col min="4" max="4" width="16.28515625" style="1556" customWidth="1"/>
    <col min="5" max="5" width="0.140625" style="1556" hidden="1" customWidth="1"/>
    <col min="6" max="6" width="23.5703125" style="1556" customWidth="1"/>
    <col min="7" max="7" width="23.28515625" style="1555" customWidth="1"/>
    <col min="8" max="16384" width="9.140625" style="1545"/>
  </cols>
  <sheetData>
    <row r="1" spans="1:7" ht="15" customHeight="1" x14ac:dyDescent="0.25">
      <c r="A1" s="1671" t="s">
        <v>1939</v>
      </c>
      <c r="B1" s="1672"/>
      <c r="C1" s="1672"/>
      <c r="D1" s="1672"/>
      <c r="E1" s="1672"/>
      <c r="F1" s="1672"/>
      <c r="G1" s="1672"/>
    </row>
    <row r="2" spans="1:7" x14ac:dyDescent="0.25">
      <c r="A2" s="1669"/>
      <c r="B2" s="1669"/>
      <c r="C2" s="1670" t="s">
        <v>1035</v>
      </c>
      <c r="D2" s="1669"/>
      <c r="E2" s="1669"/>
      <c r="F2" s="1669"/>
      <c r="G2" s="1669"/>
    </row>
    <row r="3" spans="1:7" ht="5.25" customHeight="1" x14ac:dyDescent="0.25">
      <c r="A3" s="1557"/>
      <c r="B3" s="1557"/>
      <c r="C3" s="1557"/>
      <c r="D3" s="1557"/>
      <c r="E3" s="1557"/>
      <c r="F3" s="1557"/>
      <c r="G3" s="1557"/>
    </row>
    <row r="4" spans="1:7" ht="18.75" customHeight="1" x14ac:dyDescent="0.25">
      <c r="A4" s="2301" t="s">
        <v>1924</v>
      </c>
      <c r="B4" s="2302"/>
      <c r="C4" s="2302"/>
      <c r="D4" s="2302"/>
      <c r="E4" s="2302"/>
      <c r="F4" s="2302"/>
      <c r="G4" s="2303"/>
    </row>
    <row r="5" spans="1:7" x14ac:dyDescent="0.25">
      <c r="A5" s="2304"/>
      <c r="B5" s="2305"/>
      <c r="C5" s="2305"/>
      <c r="D5" s="2305"/>
      <c r="E5" s="2305"/>
      <c r="F5" s="2305"/>
      <c r="G5" s="2306"/>
    </row>
    <row r="6" spans="1:7" ht="18.75" x14ac:dyDescent="0.25">
      <c r="A6" s="1546" t="s">
        <v>1925</v>
      </c>
      <c r="B6" s="1547"/>
      <c r="C6" s="1547"/>
      <c r="D6" s="1547"/>
      <c r="E6" s="1547"/>
      <c r="F6" s="1547"/>
      <c r="G6" s="1548"/>
    </row>
    <row r="7" spans="1:7" ht="30.75" customHeight="1" x14ac:dyDescent="0.25">
      <c r="A7" s="2307" t="s">
        <v>2074</v>
      </c>
      <c r="B7" s="2308"/>
      <c r="C7" s="2308"/>
      <c r="D7" s="2308"/>
      <c r="E7" s="2308"/>
      <c r="F7" s="2308"/>
      <c r="G7" s="2309"/>
    </row>
    <row r="8" spans="1:7" ht="15.75" customHeight="1" x14ac:dyDescent="0.25">
      <c r="A8" s="2310" t="s">
        <v>2023</v>
      </c>
      <c r="B8" s="2311"/>
      <c r="C8" s="2311"/>
      <c r="D8" s="2311"/>
      <c r="E8" s="2311"/>
      <c r="F8" s="2311"/>
      <c r="G8" s="2312"/>
    </row>
    <row r="9" spans="1:7" ht="35.25" customHeight="1" x14ac:dyDescent="0.25">
      <c r="A9" s="2307" t="s">
        <v>2022</v>
      </c>
      <c r="B9" s="2308"/>
      <c r="C9" s="2308"/>
      <c r="D9" s="2308"/>
      <c r="E9" s="2308"/>
      <c r="F9" s="2308"/>
      <c r="G9" s="2309"/>
    </row>
    <row r="10" spans="1:7" ht="15" customHeight="1" x14ac:dyDescent="0.25">
      <c r="A10" s="1549" t="s">
        <v>1926</v>
      </c>
      <c r="B10" s="1550"/>
      <c r="C10" s="1550"/>
      <c r="D10" s="1550"/>
      <c r="E10" s="1550"/>
      <c r="F10" s="1550"/>
      <c r="G10" s="1551"/>
    </row>
    <row r="11" spans="1:7" ht="17.25" customHeight="1" x14ac:dyDescent="0.25">
      <c r="A11" s="2307" t="s">
        <v>1940</v>
      </c>
      <c r="B11" s="2308"/>
      <c r="C11" s="2308"/>
      <c r="D11" s="2308"/>
      <c r="E11" s="2308"/>
      <c r="F11" s="2308"/>
      <c r="G11" s="2309"/>
    </row>
    <row r="12" spans="1:7" ht="15" customHeight="1" x14ac:dyDescent="0.25">
      <c r="A12" s="1549" t="s">
        <v>1931</v>
      </c>
      <c r="B12" s="1550"/>
      <c r="C12" s="1550"/>
      <c r="D12" s="1550"/>
      <c r="E12" s="1550"/>
      <c r="F12" s="1550"/>
      <c r="G12" s="1551"/>
    </row>
    <row r="13" spans="1:7" ht="32.25" customHeight="1" x14ac:dyDescent="0.25">
      <c r="A13" s="2298" t="s">
        <v>1932</v>
      </c>
      <c r="B13" s="2299"/>
      <c r="C13" s="2299"/>
      <c r="D13" s="2299"/>
      <c r="E13" s="2299"/>
      <c r="F13" s="2299"/>
      <c r="G13" s="2300"/>
    </row>
    <row r="14" spans="1:7" x14ac:dyDescent="0.25">
      <c r="A14" s="1673" t="s">
        <v>1941</v>
      </c>
      <c r="B14" s="1674"/>
      <c r="C14" s="1674"/>
      <c r="D14" s="1674"/>
      <c r="E14" s="1674"/>
      <c r="F14" s="1674"/>
      <c r="G14" s="1675"/>
    </row>
    <row r="15" spans="1:7" ht="61.5" customHeight="1" x14ac:dyDescent="0.25">
      <c r="A15" s="1558" t="s">
        <v>1933</v>
      </c>
      <c r="B15" s="1558" t="s">
        <v>1934</v>
      </c>
      <c r="C15" s="1558" t="s">
        <v>1935</v>
      </c>
      <c r="D15" s="1559" t="s">
        <v>1936</v>
      </c>
      <c r="E15" s="1559" t="s">
        <v>1927</v>
      </c>
      <c r="F15" s="1559" t="s">
        <v>1937</v>
      </c>
      <c r="G15" s="1559" t="s">
        <v>1938</v>
      </c>
    </row>
    <row r="16" spans="1:7" x14ac:dyDescent="0.25">
      <c r="A16" s="1660" t="s">
        <v>1942</v>
      </c>
      <c r="B16" s="1661" t="s">
        <v>1930</v>
      </c>
      <c r="C16" s="1662" t="s">
        <v>1928</v>
      </c>
      <c r="D16" s="1663">
        <v>500000</v>
      </c>
      <c r="E16" s="1663">
        <f>IF(D16&lt;=25000,D16,IF(D16&gt;25000,25000,0))</f>
        <v>25000</v>
      </c>
      <c r="F16" s="166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64">
        <f>IF(F16=0,"0",D16-F16)</f>
        <v>475000</v>
      </c>
    </row>
    <row r="17" spans="1:8" x14ac:dyDescent="0.25">
      <c r="A17" s="1967" t="s">
        <v>3412</v>
      </c>
      <c r="B17" s="1971" t="s">
        <v>3447</v>
      </c>
      <c r="C17" s="1968" t="s">
        <v>3413</v>
      </c>
      <c r="D17" s="1970">
        <v>109045</v>
      </c>
      <c r="E17" s="1552">
        <f t="shared" ref="E17:E141" si="1">IF(D17&lt;=25000,D17,IF(D17&gt;25000,25000,0))</f>
        <v>25000</v>
      </c>
      <c r="F17" s="1805">
        <f t="shared" si="0"/>
        <v>25000</v>
      </c>
      <c r="G17" s="1806">
        <f>IF(F17=0,0,D17-F17)</f>
        <v>84045</v>
      </c>
      <c r="H17" s="1659"/>
    </row>
    <row r="18" spans="1:8" x14ac:dyDescent="0.25">
      <c r="A18" s="1967" t="s">
        <v>3414</v>
      </c>
      <c r="B18" s="1971" t="s">
        <v>3415</v>
      </c>
      <c r="C18" s="1968" t="s">
        <v>3416</v>
      </c>
      <c r="D18" s="1970">
        <v>494378</v>
      </c>
      <c r="E18" s="1552">
        <f t="shared" ref="E18:E140" si="2">IF(D18&lt;=25000,D18,IF(D18&gt;25000,25000,0))</f>
        <v>25000</v>
      </c>
      <c r="F18" s="180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06">
        <f t="shared" ref="G18:G140" si="4">IF(F18=0,0,D18-F18)</f>
        <v>469378</v>
      </c>
    </row>
    <row r="19" spans="1:8" x14ac:dyDescent="0.25">
      <c r="A19" s="1967" t="s">
        <v>3417</v>
      </c>
      <c r="B19" s="1971" t="s">
        <v>3418</v>
      </c>
      <c r="C19" s="1968" t="s">
        <v>3419</v>
      </c>
      <c r="D19" s="1970">
        <v>1772</v>
      </c>
      <c r="E19" s="1552">
        <f t="shared" si="2"/>
        <v>1772</v>
      </c>
      <c r="F19" s="1805">
        <f t="shared" si="3"/>
        <v>1772</v>
      </c>
      <c r="G19" s="1806">
        <f t="shared" si="4"/>
        <v>0</v>
      </c>
    </row>
    <row r="20" spans="1:8" x14ac:dyDescent="0.25">
      <c r="A20" s="1967" t="s">
        <v>3417</v>
      </c>
      <c r="B20" s="1971" t="s">
        <v>3418</v>
      </c>
      <c r="C20" s="1968" t="s">
        <v>3420</v>
      </c>
      <c r="D20" s="1970">
        <v>8640</v>
      </c>
      <c r="E20" s="1552">
        <f t="shared" si="2"/>
        <v>8640</v>
      </c>
      <c r="F20" s="1805">
        <f t="shared" si="3"/>
        <v>8640</v>
      </c>
      <c r="G20" s="1806">
        <f t="shared" si="4"/>
        <v>0</v>
      </c>
    </row>
    <row r="21" spans="1:8" x14ac:dyDescent="0.25">
      <c r="A21" s="1967" t="s">
        <v>3421</v>
      </c>
      <c r="B21" s="1971" t="s">
        <v>3423</v>
      </c>
      <c r="C21" s="1968" t="s">
        <v>3422</v>
      </c>
      <c r="D21" s="1970">
        <v>1200</v>
      </c>
      <c r="E21" s="1552">
        <f t="shared" si="2"/>
        <v>1200</v>
      </c>
      <c r="F21" s="1805">
        <f t="shared" si="3"/>
        <v>1200</v>
      </c>
      <c r="G21" s="1806">
        <f t="shared" si="4"/>
        <v>0</v>
      </c>
    </row>
    <row r="22" spans="1:8" x14ac:dyDescent="0.25">
      <c r="A22" s="1967" t="s">
        <v>3421</v>
      </c>
      <c r="B22" s="1971" t="s">
        <v>3423</v>
      </c>
      <c r="C22" s="1968" t="s">
        <v>3424</v>
      </c>
      <c r="D22" s="1970">
        <v>66255</v>
      </c>
      <c r="E22" s="1552">
        <f t="shared" si="2"/>
        <v>25000</v>
      </c>
      <c r="F22" s="1805">
        <f t="shared" si="3"/>
        <v>25000</v>
      </c>
      <c r="G22" s="1806">
        <f t="shared" si="4"/>
        <v>41255</v>
      </c>
    </row>
    <row r="23" spans="1:8" x14ac:dyDescent="0.25">
      <c r="A23" s="1967" t="s">
        <v>3421</v>
      </c>
      <c r="B23" s="1971" t="s">
        <v>3423</v>
      </c>
      <c r="C23" s="1968" t="s">
        <v>3425</v>
      </c>
      <c r="D23" s="1970">
        <v>54487</v>
      </c>
      <c r="E23" s="1552">
        <f t="shared" si="2"/>
        <v>25000</v>
      </c>
      <c r="F23" s="1805">
        <f t="shared" si="3"/>
        <v>25000</v>
      </c>
      <c r="G23" s="1806">
        <f t="shared" si="4"/>
        <v>29487</v>
      </c>
    </row>
    <row r="24" spans="1:8" x14ac:dyDescent="0.25">
      <c r="A24" s="1967" t="s">
        <v>3421</v>
      </c>
      <c r="B24" s="1971" t="s">
        <v>3423</v>
      </c>
      <c r="C24" s="1968" t="s">
        <v>3426</v>
      </c>
      <c r="D24" s="1970">
        <v>1742</v>
      </c>
      <c r="E24" s="1552">
        <f t="shared" si="2"/>
        <v>1742</v>
      </c>
      <c r="F24" s="1805">
        <f t="shared" si="3"/>
        <v>1742</v>
      </c>
      <c r="G24" s="1806">
        <f t="shared" si="4"/>
        <v>0</v>
      </c>
    </row>
    <row r="25" spans="1:8" x14ac:dyDescent="0.25">
      <c r="A25" s="1967" t="s">
        <v>3421</v>
      </c>
      <c r="B25" s="1971" t="s">
        <v>3423</v>
      </c>
      <c r="C25" s="1968" t="s">
        <v>3427</v>
      </c>
      <c r="D25" s="1970">
        <v>10013</v>
      </c>
      <c r="E25" s="1552">
        <f t="shared" si="2"/>
        <v>10013</v>
      </c>
      <c r="F25" s="1805">
        <f t="shared" si="3"/>
        <v>10013</v>
      </c>
      <c r="G25" s="1806">
        <f t="shared" si="4"/>
        <v>0</v>
      </c>
    </row>
    <row r="26" spans="1:8" x14ac:dyDescent="0.25">
      <c r="A26" s="1967" t="s">
        <v>3421</v>
      </c>
      <c r="B26" s="1971" t="s">
        <v>3423</v>
      </c>
      <c r="C26" s="1968" t="s">
        <v>3428</v>
      </c>
      <c r="D26" s="1970">
        <v>3118</v>
      </c>
      <c r="E26" s="1552">
        <f t="shared" si="2"/>
        <v>3118</v>
      </c>
      <c r="F26" s="1805">
        <f t="shared" si="3"/>
        <v>3118</v>
      </c>
      <c r="G26" s="1806">
        <f t="shared" si="4"/>
        <v>0</v>
      </c>
    </row>
    <row r="27" spans="1:8" x14ac:dyDescent="0.25">
      <c r="A27" s="1967" t="s">
        <v>3421</v>
      </c>
      <c r="B27" s="1971" t="s">
        <v>3423</v>
      </c>
      <c r="C27" s="1968" t="s">
        <v>3429</v>
      </c>
      <c r="D27" s="1970">
        <v>7535</v>
      </c>
      <c r="E27" s="1552">
        <f t="shared" si="2"/>
        <v>7535</v>
      </c>
      <c r="F27" s="1805">
        <f t="shared" si="3"/>
        <v>7535</v>
      </c>
      <c r="G27" s="1806">
        <f t="shared" si="4"/>
        <v>0</v>
      </c>
    </row>
    <row r="28" spans="1:8" x14ac:dyDescent="0.25">
      <c r="A28" s="1967" t="s">
        <v>3421</v>
      </c>
      <c r="B28" s="1971" t="s">
        <v>3423</v>
      </c>
      <c r="C28" s="1968" t="s">
        <v>3430</v>
      </c>
      <c r="D28" s="1970">
        <v>16327</v>
      </c>
      <c r="E28" s="1552">
        <f t="shared" si="2"/>
        <v>16327</v>
      </c>
      <c r="F28" s="1805">
        <f t="shared" si="3"/>
        <v>16327</v>
      </c>
      <c r="G28" s="1806">
        <f t="shared" si="4"/>
        <v>0</v>
      </c>
    </row>
    <row r="29" spans="1:8" ht="30" x14ac:dyDescent="0.25">
      <c r="A29" s="1967" t="s">
        <v>3431</v>
      </c>
      <c r="B29" s="1971" t="s">
        <v>3448</v>
      </c>
      <c r="C29" s="1968" t="s">
        <v>3432</v>
      </c>
      <c r="D29" s="1970">
        <v>54274</v>
      </c>
      <c r="E29" s="1552">
        <f t="shared" si="2"/>
        <v>25000</v>
      </c>
      <c r="F29" s="1805">
        <f t="shared" si="3"/>
        <v>25000</v>
      </c>
      <c r="G29" s="1806">
        <f t="shared" si="4"/>
        <v>29274</v>
      </c>
    </row>
    <row r="30" spans="1:8" ht="30" x14ac:dyDescent="0.25">
      <c r="A30" s="1967" t="s">
        <v>3431</v>
      </c>
      <c r="B30" s="1971" t="s">
        <v>3448</v>
      </c>
      <c r="C30" s="1968" t="s">
        <v>3433</v>
      </c>
      <c r="D30" s="1970">
        <v>6859</v>
      </c>
      <c r="E30" s="1552">
        <f t="shared" si="2"/>
        <v>6859</v>
      </c>
      <c r="F30" s="1805">
        <f t="shared" si="3"/>
        <v>6859</v>
      </c>
      <c r="G30" s="1806">
        <f t="shared" si="4"/>
        <v>0</v>
      </c>
    </row>
    <row r="31" spans="1:8" ht="30" x14ac:dyDescent="0.25">
      <c r="A31" s="1967" t="s">
        <v>3431</v>
      </c>
      <c r="B31" s="1971" t="s">
        <v>3448</v>
      </c>
      <c r="C31" s="1968" t="s">
        <v>3434</v>
      </c>
      <c r="D31" s="1970">
        <v>1717</v>
      </c>
      <c r="E31" s="1552">
        <f t="shared" si="2"/>
        <v>1717</v>
      </c>
      <c r="F31" s="1805">
        <f t="shared" si="3"/>
        <v>1717</v>
      </c>
      <c r="G31" s="1806">
        <f t="shared" si="4"/>
        <v>0</v>
      </c>
    </row>
    <row r="32" spans="1:8" ht="30" x14ac:dyDescent="0.25">
      <c r="A32" s="1967" t="s">
        <v>3431</v>
      </c>
      <c r="B32" s="1971" t="s">
        <v>3448</v>
      </c>
      <c r="C32" s="1968" t="s">
        <v>3435</v>
      </c>
      <c r="D32" s="1970">
        <v>219733</v>
      </c>
      <c r="E32" s="1552">
        <f t="shared" si="2"/>
        <v>25000</v>
      </c>
      <c r="F32" s="1805">
        <f t="shared" si="3"/>
        <v>25000</v>
      </c>
      <c r="G32" s="1806">
        <f t="shared" si="4"/>
        <v>194733</v>
      </c>
    </row>
    <row r="33" spans="1:7" x14ac:dyDescent="0.25">
      <c r="A33" s="1967" t="s">
        <v>3436</v>
      </c>
      <c r="B33" s="1971" t="s">
        <v>3449</v>
      </c>
      <c r="C33" s="1968" t="s">
        <v>3437</v>
      </c>
      <c r="D33" s="1970">
        <v>185372</v>
      </c>
      <c r="E33" s="1552">
        <f t="shared" si="2"/>
        <v>25000</v>
      </c>
      <c r="F33" s="1805">
        <f t="shared" si="3"/>
        <v>25000</v>
      </c>
      <c r="G33" s="1806">
        <f t="shared" si="4"/>
        <v>160372</v>
      </c>
    </row>
    <row r="34" spans="1:7" x14ac:dyDescent="0.25">
      <c r="A34" s="1967" t="s">
        <v>3438</v>
      </c>
      <c r="B34" s="1971" t="s">
        <v>3450</v>
      </c>
      <c r="C34" s="1968" t="s">
        <v>3439</v>
      </c>
      <c r="D34" s="1970">
        <v>13491</v>
      </c>
      <c r="E34" s="1552">
        <f t="shared" si="2"/>
        <v>13491</v>
      </c>
      <c r="F34" s="1805">
        <f t="shared" si="3"/>
        <v>0</v>
      </c>
      <c r="G34" s="1806">
        <f t="shared" si="4"/>
        <v>0</v>
      </c>
    </row>
    <row r="35" spans="1:7" x14ac:dyDescent="0.25">
      <c r="A35" s="1967" t="s">
        <v>3438</v>
      </c>
      <c r="B35" s="1971" t="s">
        <v>3450</v>
      </c>
      <c r="C35" s="1968" t="s">
        <v>3440</v>
      </c>
      <c r="D35" s="1970">
        <v>10627</v>
      </c>
      <c r="E35" s="1552">
        <f t="shared" si="2"/>
        <v>10627</v>
      </c>
      <c r="F35" s="1805">
        <f t="shared" si="3"/>
        <v>0</v>
      </c>
      <c r="G35" s="1806">
        <f t="shared" si="4"/>
        <v>0</v>
      </c>
    </row>
    <row r="36" spans="1:7" ht="30" x14ac:dyDescent="0.25">
      <c r="A36" s="1967" t="s">
        <v>3441</v>
      </c>
      <c r="B36" s="1971" t="s">
        <v>3451</v>
      </c>
      <c r="C36" s="1968" t="s">
        <v>3442</v>
      </c>
      <c r="D36" s="1970">
        <v>76355</v>
      </c>
      <c r="E36" s="1552">
        <f t="shared" si="2"/>
        <v>25000</v>
      </c>
      <c r="F36" s="1805">
        <f t="shared" si="3"/>
        <v>25000</v>
      </c>
      <c r="G36" s="1806">
        <f t="shared" si="4"/>
        <v>51355</v>
      </c>
    </row>
    <row r="37" spans="1:7" ht="30" x14ac:dyDescent="0.25">
      <c r="A37" s="1967" t="s">
        <v>3441</v>
      </c>
      <c r="B37" s="1971" t="s">
        <v>3451</v>
      </c>
      <c r="C37" s="1968" t="s">
        <v>3443</v>
      </c>
      <c r="D37" s="1970">
        <v>1850</v>
      </c>
      <c r="E37" s="1552">
        <f t="shared" si="2"/>
        <v>1850</v>
      </c>
      <c r="F37" s="1805">
        <f t="shared" si="3"/>
        <v>1850</v>
      </c>
      <c r="G37" s="1806">
        <f t="shared" si="4"/>
        <v>0</v>
      </c>
    </row>
    <row r="38" spans="1:7" ht="30" x14ac:dyDescent="0.25">
      <c r="A38" s="1967" t="s">
        <v>3441</v>
      </c>
      <c r="B38" s="1969" t="s">
        <v>3451</v>
      </c>
      <c r="C38" s="1968" t="s">
        <v>3444</v>
      </c>
      <c r="D38" s="1970">
        <v>14411</v>
      </c>
      <c r="E38" s="1552">
        <f t="shared" si="2"/>
        <v>14411</v>
      </c>
      <c r="F38" s="1805">
        <f t="shared" si="3"/>
        <v>14411</v>
      </c>
      <c r="G38" s="1806">
        <f t="shared" si="4"/>
        <v>0</v>
      </c>
    </row>
    <row r="39" spans="1:7" ht="30" x14ac:dyDescent="0.25">
      <c r="A39" s="1967" t="s">
        <v>3441</v>
      </c>
      <c r="B39" s="1969" t="s">
        <v>3451</v>
      </c>
      <c r="C39" s="1968" t="s">
        <v>3445</v>
      </c>
      <c r="D39" s="1970">
        <v>1359</v>
      </c>
      <c r="E39" s="1552">
        <f t="shared" si="2"/>
        <v>1359</v>
      </c>
      <c r="F39" s="1805">
        <f t="shared" si="3"/>
        <v>1359</v>
      </c>
      <c r="G39" s="1806">
        <f t="shared" si="4"/>
        <v>0</v>
      </c>
    </row>
    <row r="40" spans="1:7" ht="30" x14ac:dyDescent="0.25">
      <c r="A40" s="1967" t="s">
        <v>3441</v>
      </c>
      <c r="B40" s="1969" t="s">
        <v>3451</v>
      </c>
      <c r="C40" s="1968" t="s">
        <v>3444</v>
      </c>
      <c r="D40" s="1970">
        <v>64633</v>
      </c>
      <c r="E40" s="1552">
        <f t="shared" si="2"/>
        <v>25000</v>
      </c>
      <c r="F40" s="1805">
        <f t="shared" si="3"/>
        <v>25000</v>
      </c>
      <c r="G40" s="1806">
        <f t="shared" si="4"/>
        <v>39633</v>
      </c>
    </row>
    <row r="41" spans="1:7" ht="30" x14ac:dyDescent="0.25">
      <c r="A41" s="1967" t="s">
        <v>3441</v>
      </c>
      <c r="B41" s="1969" t="s">
        <v>3451</v>
      </c>
      <c r="C41" s="1968" t="s">
        <v>3446</v>
      </c>
      <c r="D41" s="1970">
        <v>10220</v>
      </c>
      <c r="E41" s="1552">
        <f t="shared" si="2"/>
        <v>10220</v>
      </c>
      <c r="F41" s="1805">
        <f t="shared" si="3"/>
        <v>10220</v>
      </c>
      <c r="G41" s="1806">
        <f t="shared" si="4"/>
        <v>0</v>
      </c>
    </row>
    <row r="42" spans="1:7" x14ac:dyDescent="0.25">
      <c r="A42" s="1967"/>
      <c r="B42" s="1969"/>
      <c r="C42" s="1968"/>
      <c r="D42" s="1970"/>
      <c r="E42" s="1552">
        <f t="shared" si="2"/>
        <v>0</v>
      </c>
      <c r="F42" s="1805">
        <f t="shared" si="3"/>
        <v>0</v>
      </c>
      <c r="G42" s="1806">
        <f t="shared" si="4"/>
        <v>0</v>
      </c>
    </row>
    <row r="43" spans="1:7" x14ac:dyDescent="0.25">
      <c r="A43" s="1665"/>
      <c r="B43" s="1679"/>
      <c r="C43" s="1666"/>
      <c r="D43" s="1857"/>
      <c r="E43" s="1552">
        <f t="shared" si="2"/>
        <v>0</v>
      </c>
      <c r="F43" s="1805">
        <f t="shared" si="3"/>
        <v>0</v>
      </c>
      <c r="G43" s="1806">
        <f t="shared" si="4"/>
        <v>0</v>
      </c>
    </row>
    <row r="44" spans="1:7" x14ac:dyDescent="0.25">
      <c r="A44" s="1665"/>
      <c r="B44" s="1679"/>
      <c r="C44" s="1666"/>
      <c r="D44" s="1857"/>
      <c r="E44" s="1552">
        <f t="shared" si="2"/>
        <v>0</v>
      </c>
      <c r="F44" s="1805">
        <f t="shared" si="3"/>
        <v>0</v>
      </c>
      <c r="G44" s="1806">
        <f t="shared" si="4"/>
        <v>0</v>
      </c>
    </row>
    <row r="45" spans="1:7" x14ac:dyDescent="0.25">
      <c r="A45" s="1665"/>
      <c r="B45" s="1679"/>
      <c r="C45" s="1666"/>
      <c r="D45" s="1857"/>
      <c r="E45" s="1552">
        <f t="shared" si="2"/>
        <v>0</v>
      </c>
      <c r="F45" s="1805">
        <f t="shared" si="3"/>
        <v>0</v>
      </c>
      <c r="G45" s="1806">
        <f t="shared" si="4"/>
        <v>0</v>
      </c>
    </row>
    <row r="46" spans="1:7" x14ac:dyDescent="0.25">
      <c r="A46" s="1665"/>
      <c r="B46" s="1679"/>
      <c r="C46" s="1666"/>
      <c r="D46" s="1857"/>
      <c r="E46" s="1552">
        <f t="shared" si="2"/>
        <v>0</v>
      </c>
      <c r="F46" s="1805">
        <f t="shared" si="3"/>
        <v>0</v>
      </c>
      <c r="G46" s="1806">
        <f t="shared" si="4"/>
        <v>0</v>
      </c>
    </row>
    <row r="47" spans="1:7" x14ac:dyDescent="0.25">
      <c r="A47" s="1665"/>
      <c r="B47" s="1679"/>
      <c r="C47" s="1666"/>
      <c r="D47" s="1857"/>
      <c r="E47" s="1552">
        <f t="shared" si="2"/>
        <v>0</v>
      </c>
      <c r="F47" s="1805">
        <f t="shared" si="3"/>
        <v>0</v>
      </c>
      <c r="G47" s="1806">
        <f t="shared" si="4"/>
        <v>0</v>
      </c>
    </row>
    <row r="48" spans="1:7" x14ac:dyDescent="0.25">
      <c r="A48" s="1665"/>
      <c r="B48" s="1679"/>
      <c r="C48" s="1666"/>
      <c r="D48" s="1857"/>
      <c r="E48" s="1552">
        <f t="shared" si="2"/>
        <v>0</v>
      </c>
      <c r="F48" s="1805">
        <f t="shared" si="3"/>
        <v>0</v>
      </c>
      <c r="G48" s="1806">
        <f t="shared" si="4"/>
        <v>0</v>
      </c>
    </row>
    <row r="49" spans="1:7" x14ac:dyDescent="0.25">
      <c r="A49" s="1665"/>
      <c r="B49" s="1679"/>
      <c r="C49" s="1666"/>
      <c r="D49" s="1857"/>
      <c r="E49" s="1552">
        <f t="shared" si="2"/>
        <v>0</v>
      </c>
      <c r="F49" s="1805">
        <f t="shared" si="3"/>
        <v>0</v>
      </c>
      <c r="G49" s="1806">
        <f t="shared" si="4"/>
        <v>0</v>
      </c>
    </row>
    <row r="50" spans="1:7" x14ac:dyDescent="0.25">
      <c r="A50" s="1665"/>
      <c r="B50" s="1679"/>
      <c r="C50" s="1666"/>
      <c r="D50" s="1857"/>
      <c r="E50" s="1552">
        <f t="shared" si="2"/>
        <v>0</v>
      </c>
      <c r="F50" s="1805">
        <f t="shared" si="3"/>
        <v>0</v>
      </c>
      <c r="G50" s="1806">
        <f t="shared" si="4"/>
        <v>0</v>
      </c>
    </row>
    <row r="51" spans="1:7" x14ac:dyDescent="0.25">
      <c r="A51" s="1665"/>
      <c r="B51" s="1679"/>
      <c r="C51" s="1666"/>
      <c r="D51" s="1857"/>
      <c r="E51" s="1552">
        <f t="shared" si="2"/>
        <v>0</v>
      </c>
      <c r="F51" s="1805">
        <f t="shared" si="3"/>
        <v>0</v>
      </c>
      <c r="G51" s="1806">
        <f t="shared" si="4"/>
        <v>0</v>
      </c>
    </row>
    <row r="52" spans="1:7" x14ac:dyDescent="0.25">
      <c r="A52" s="1665"/>
      <c r="B52" s="1679"/>
      <c r="C52" s="1666"/>
      <c r="D52" s="1857"/>
      <c r="E52" s="1552">
        <f t="shared" si="2"/>
        <v>0</v>
      </c>
      <c r="F52" s="1805">
        <f t="shared" si="3"/>
        <v>0</v>
      </c>
      <c r="G52" s="1806">
        <f t="shared" si="4"/>
        <v>0</v>
      </c>
    </row>
    <row r="53" spans="1:7" x14ac:dyDescent="0.25">
      <c r="A53" s="1665"/>
      <c r="B53" s="1679"/>
      <c r="C53" s="1666"/>
      <c r="D53" s="1857"/>
      <c r="E53" s="1552">
        <f t="shared" si="2"/>
        <v>0</v>
      </c>
      <c r="F53" s="1805">
        <f t="shared" si="3"/>
        <v>0</v>
      </c>
      <c r="G53" s="1806">
        <f t="shared" si="4"/>
        <v>0</v>
      </c>
    </row>
    <row r="54" spans="1:7" x14ac:dyDescent="0.25">
      <c r="A54" s="1665"/>
      <c r="B54" s="1679"/>
      <c r="C54" s="1666"/>
      <c r="D54" s="1857"/>
      <c r="E54" s="1552">
        <f t="shared" si="2"/>
        <v>0</v>
      </c>
      <c r="F54" s="1805">
        <f t="shared" si="3"/>
        <v>0</v>
      </c>
      <c r="G54" s="1806">
        <f t="shared" si="4"/>
        <v>0</v>
      </c>
    </row>
    <row r="55" spans="1:7" x14ac:dyDescent="0.25">
      <c r="A55" s="1665"/>
      <c r="B55" s="1679"/>
      <c r="C55" s="1666"/>
      <c r="D55" s="1857"/>
      <c r="E55" s="1552">
        <f t="shared" si="2"/>
        <v>0</v>
      </c>
      <c r="F55" s="1805">
        <f t="shared" si="3"/>
        <v>0</v>
      </c>
      <c r="G55" s="1806">
        <f t="shared" si="4"/>
        <v>0</v>
      </c>
    </row>
    <row r="56" spans="1:7" x14ac:dyDescent="0.25">
      <c r="A56" s="1665"/>
      <c r="B56" s="1679"/>
      <c r="C56" s="1666"/>
      <c r="D56" s="1857"/>
      <c r="E56" s="1552">
        <f t="shared" si="2"/>
        <v>0</v>
      </c>
      <c r="F56" s="1805">
        <f t="shared" si="3"/>
        <v>0</v>
      </c>
      <c r="G56" s="1806">
        <f t="shared" si="4"/>
        <v>0</v>
      </c>
    </row>
    <row r="57" spans="1:7" x14ac:dyDescent="0.25">
      <c r="A57" s="1665"/>
      <c r="B57" s="1679"/>
      <c r="C57" s="1666"/>
      <c r="D57" s="1857"/>
      <c r="E57" s="1552">
        <f t="shared" si="2"/>
        <v>0</v>
      </c>
      <c r="F57" s="1805">
        <f t="shared" si="3"/>
        <v>0</v>
      </c>
      <c r="G57" s="1806">
        <f t="shared" si="4"/>
        <v>0</v>
      </c>
    </row>
    <row r="58" spans="1:7" x14ac:dyDescent="0.25">
      <c r="A58" s="1665"/>
      <c r="B58" s="1679"/>
      <c r="C58" s="1666"/>
      <c r="D58" s="1857"/>
      <c r="E58" s="1552">
        <f t="shared" si="2"/>
        <v>0</v>
      </c>
      <c r="F58" s="1805">
        <f t="shared" si="3"/>
        <v>0</v>
      </c>
      <c r="G58" s="1806">
        <f t="shared" si="4"/>
        <v>0</v>
      </c>
    </row>
    <row r="59" spans="1:7" x14ac:dyDescent="0.25">
      <c r="A59" s="1665"/>
      <c r="B59" s="1679"/>
      <c r="C59" s="1666"/>
      <c r="D59" s="1857"/>
      <c r="E59" s="1552">
        <f t="shared" si="2"/>
        <v>0</v>
      </c>
      <c r="F59" s="1805">
        <f t="shared" si="3"/>
        <v>0</v>
      </c>
      <c r="G59" s="1806">
        <f t="shared" si="4"/>
        <v>0</v>
      </c>
    </row>
    <row r="60" spans="1:7" x14ac:dyDescent="0.25">
      <c r="A60" s="1665"/>
      <c r="B60" s="1679"/>
      <c r="C60" s="1666"/>
      <c r="D60" s="1857"/>
      <c r="E60" s="1552">
        <f t="shared" si="2"/>
        <v>0</v>
      </c>
      <c r="F60" s="1805">
        <f t="shared" si="3"/>
        <v>0</v>
      </c>
      <c r="G60" s="1806">
        <f t="shared" si="4"/>
        <v>0</v>
      </c>
    </row>
    <row r="61" spans="1:7" x14ac:dyDescent="0.25">
      <c r="A61" s="1665"/>
      <c r="B61" s="1679"/>
      <c r="C61" s="1666"/>
      <c r="D61" s="1857"/>
      <c r="E61" s="1552">
        <f t="shared" si="2"/>
        <v>0</v>
      </c>
      <c r="F61" s="1805">
        <f t="shared" si="3"/>
        <v>0</v>
      </c>
      <c r="G61" s="1806">
        <f t="shared" si="4"/>
        <v>0</v>
      </c>
    </row>
    <row r="62" spans="1:7" x14ac:dyDescent="0.25">
      <c r="A62" s="1665"/>
      <c r="B62" s="1679"/>
      <c r="C62" s="1666"/>
      <c r="D62" s="1857"/>
      <c r="E62" s="1552">
        <f t="shared" si="2"/>
        <v>0</v>
      </c>
      <c r="F62" s="1805">
        <f t="shared" si="3"/>
        <v>0</v>
      </c>
      <c r="G62" s="1806">
        <f t="shared" si="4"/>
        <v>0</v>
      </c>
    </row>
    <row r="63" spans="1:7" x14ac:dyDescent="0.25">
      <c r="A63" s="1665"/>
      <c r="B63" s="1679"/>
      <c r="C63" s="1666"/>
      <c r="D63" s="1857"/>
      <c r="E63" s="1552">
        <f t="shared" si="2"/>
        <v>0</v>
      </c>
      <c r="F63" s="1805">
        <f t="shared" si="3"/>
        <v>0</v>
      </c>
      <c r="G63" s="1806">
        <f t="shared" si="4"/>
        <v>0</v>
      </c>
    </row>
    <row r="64" spans="1:7" x14ac:dyDescent="0.25">
      <c r="A64" s="1667"/>
      <c r="B64" s="1679"/>
      <c r="C64" s="1668"/>
      <c r="D64" s="1857"/>
      <c r="E64" s="1552">
        <f t="shared" si="2"/>
        <v>0</v>
      </c>
      <c r="F64" s="1805">
        <f t="shared" si="3"/>
        <v>0</v>
      </c>
      <c r="G64" s="1806">
        <f t="shared" si="4"/>
        <v>0</v>
      </c>
    </row>
    <row r="65" spans="1:7" x14ac:dyDescent="0.25">
      <c r="A65" s="1665"/>
      <c r="B65" s="1679"/>
      <c r="C65" s="1666"/>
      <c r="D65" s="1857"/>
      <c r="E65" s="1552">
        <f t="shared" si="2"/>
        <v>0</v>
      </c>
      <c r="F65" s="1805">
        <f t="shared" si="3"/>
        <v>0</v>
      </c>
      <c r="G65" s="1806">
        <f t="shared" si="4"/>
        <v>0</v>
      </c>
    </row>
    <row r="66" spans="1:7" x14ac:dyDescent="0.25">
      <c r="A66" s="1665"/>
      <c r="B66" s="1679"/>
      <c r="C66" s="1666"/>
      <c r="D66" s="1857"/>
      <c r="E66" s="1552">
        <f t="shared" si="2"/>
        <v>0</v>
      </c>
      <c r="F66" s="1805">
        <f t="shared" si="3"/>
        <v>0</v>
      </c>
      <c r="G66" s="1806">
        <f t="shared" si="4"/>
        <v>0</v>
      </c>
    </row>
    <row r="67" spans="1:7" x14ac:dyDescent="0.25">
      <c r="A67" s="1665"/>
      <c r="B67" s="1679"/>
      <c r="C67" s="1666"/>
      <c r="D67" s="1857"/>
      <c r="E67" s="1552">
        <f t="shared" si="2"/>
        <v>0</v>
      </c>
      <c r="F67" s="1805">
        <f t="shared" si="3"/>
        <v>0</v>
      </c>
      <c r="G67" s="1806">
        <f t="shared" si="4"/>
        <v>0</v>
      </c>
    </row>
    <row r="68" spans="1:7" x14ac:dyDescent="0.25">
      <c r="A68" s="1665"/>
      <c r="B68" s="1679"/>
      <c r="C68" s="1666"/>
      <c r="D68" s="1857"/>
      <c r="E68" s="1552">
        <f t="shared" si="2"/>
        <v>0</v>
      </c>
      <c r="F68" s="1805">
        <f t="shared" si="3"/>
        <v>0</v>
      </c>
      <c r="G68" s="1806">
        <f t="shared" si="4"/>
        <v>0</v>
      </c>
    </row>
    <row r="69" spans="1:7" x14ac:dyDescent="0.25">
      <c r="A69" s="1665"/>
      <c r="B69" s="1679"/>
      <c r="C69" s="1666"/>
      <c r="D69" s="1857"/>
      <c r="E69" s="1552">
        <f t="shared" si="2"/>
        <v>0</v>
      </c>
      <c r="F69" s="1805">
        <f t="shared" si="3"/>
        <v>0</v>
      </c>
      <c r="G69" s="1806">
        <f t="shared" si="4"/>
        <v>0</v>
      </c>
    </row>
    <row r="70" spans="1:7" x14ac:dyDescent="0.25">
      <c r="A70" s="1665"/>
      <c r="B70" s="1679"/>
      <c r="C70" s="1666"/>
      <c r="D70" s="1857"/>
      <c r="E70" s="1552">
        <f t="shared" si="2"/>
        <v>0</v>
      </c>
      <c r="F70" s="1805">
        <f t="shared" si="3"/>
        <v>0</v>
      </c>
      <c r="G70" s="1806">
        <f t="shared" si="4"/>
        <v>0</v>
      </c>
    </row>
    <row r="71" spans="1:7" x14ac:dyDescent="0.25">
      <c r="A71" s="1665"/>
      <c r="B71" s="1679"/>
      <c r="C71" s="1666"/>
      <c r="D71" s="1857"/>
      <c r="E71" s="1552">
        <f t="shared" si="2"/>
        <v>0</v>
      </c>
      <c r="F71" s="1805">
        <f t="shared" si="3"/>
        <v>0</v>
      </c>
      <c r="G71" s="1806">
        <f t="shared" si="4"/>
        <v>0</v>
      </c>
    </row>
    <row r="72" spans="1:7" x14ac:dyDescent="0.25">
      <c r="A72" s="1665"/>
      <c r="B72" s="1679"/>
      <c r="C72" s="1666"/>
      <c r="D72" s="1857"/>
      <c r="E72" s="1552">
        <f t="shared" si="2"/>
        <v>0</v>
      </c>
      <c r="F72" s="1805">
        <f t="shared" si="3"/>
        <v>0</v>
      </c>
      <c r="G72" s="1806">
        <f t="shared" si="4"/>
        <v>0</v>
      </c>
    </row>
    <row r="73" spans="1:7" x14ac:dyDescent="0.25">
      <c r="A73" s="1665"/>
      <c r="B73" s="1679"/>
      <c r="C73" s="1666"/>
      <c r="D73" s="1857"/>
      <c r="E73" s="1552">
        <f t="shared" ref="E73:E84" si="5">IF(D73&lt;=25000,D73,IF(D73&gt;25000,25000,0))</f>
        <v>0</v>
      </c>
      <c r="F73" s="180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06">
        <f t="shared" ref="G73:G84" si="7">IF(F73=0,0,D73-F73)</f>
        <v>0</v>
      </c>
    </row>
    <row r="74" spans="1:7" x14ac:dyDescent="0.25">
      <c r="A74" s="1665"/>
      <c r="B74" s="1679"/>
      <c r="C74" s="1666"/>
      <c r="D74" s="1857"/>
      <c r="E74" s="1552">
        <f t="shared" si="5"/>
        <v>0</v>
      </c>
      <c r="F74" s="1805">
        <f t="shared" si="6"/>
        <v>0</v>
      </c>
      <c r="G74" s="1806">
        <f t="shared" si="7"/>
        <v>0</v>
      </c>
    </row>
    <row r="75" spans="1:7" x14ac:dyDescent="0.25">
      <c r="A75" s="1665"/>
      <c r="B75" s="1679"/>
      <c r="C75" s="1666"/>
      <c r="D75" s="1857"/>
      <c r="E75" s="1552">
        <f t="shared" si="5"/>
        <v>0</v>
      </c>
      <c r="F75" s="1805">
        <f t="shared" si="6"/>
        <v>0</v>
      </c>
      <c r="G75" s="1806">
        <f t="shared" si="7"/>
        <v>0</v>
      </c>
    </row>
    <row r="76" spans="1:7" x14ac:dyDescent="0.25">
      <c r="A76" s="1665"/>
      <c r="B76" s="1679"/>
      <c r="C76" s="1666"/>
      <c r="D76" s="1857"/>
      <c r="E76" s="1552">
        <f t="shared" si="5"/>
        <v>0</v>
      </c>
      <c r="F76" s="1805">
        <f t="shared" si="6"/>
        <v>0</v>
      </c>
      <c r="G76" s="1806">
        <f t="shared" si="7"/>
        <v>0</v>
      </c>
    </row>
    <row r="77" spans="1:7" x14ac:dyDescent="0.25">
      <c r="A77" s="1665"/>
      <c r="B77" s="1679"/>
      <c r="C77" s="1666"/>
      <c r="D77" s="1857"/>
      <c r="E77" s="1552">
        <f t="shared" si="5"/>
        <v>0</v>
      </c>
      <c r="F77" s="1805">
        <f t="shared" si="6"/>
        <v>0</v>
      </c>
      <c r="G77" s="1806">
        <f t="shared" si="7"/>
        <v>0</v>
      </c>
    </row>
    <row r="78" spans="1:7" x14ac:dyDescent="0.25">
      <c r="A78" s="1665"/>
      <c r="B78" s="1679"/>
      <c r="C78" s="1666"/>
      <c r="D78" s="1857"/>
      <c r="E78" s="1552">
        <f t="shared" si="5"/>
        <v>0</v>
      </c>
      <c r="F78" s="1805">
        <f t="shared" si="6"/>
        <v>0</v>
      </c>
      <c r="G78" s="1806">
        <f t="shared" si="7"/>
        <v>0</v>
      </c>
    </row>
    <row r="79" spans="1:7" x14ac:dyDescent="0.25">
      <c r="A79" s="1665"/>
      <c r="B79" s="1679"/>
      <c r="C79" s="1666"/>
      <c r="D79" s="1857"/>
      <c r="E79" s="1552">
        <f t="shared" si="5"/>
        <v>0</v>
      </c>
      <c r="F79" s="1805">
        <f t="shared" si="6"/>
        <v>0</v>
      </c>
      <c r="G79" s="1806">
        <f t="shared" si="7"/>
        <v>0</v>
      </c>
    </row>
    <row r="80" spans="1:7" x14ac:dyDescent="0.25">
      <c r="A80" s="1665"/>
      <c r="B80" s="1679"/>
      <c r="C80" s="1666"/>
      <c r="D80" s="1857"/>
      <c r="E80" s="1552">
        <f t="shared" si="5"/>
        <v>0</v>
      </c>
      <c r="F80" s="1805">
        <f t="shared" si="6"/>
        <v>0</v>
      </c>
      <c r="G80" s="1806">
        <f t="shared" si="7"/>
        <v>0</v>
      </c>
    </row>
    <row r="81" spans="1:7" x14ac:dyDescent="0.25">
      <c r="A81" s="1665"/>
      <c r="B81" s="1679"/>
      <c r="C81" s="1666"/>
      <c r="D81" s="1857"/>
      <c r="E81" s="1552">
        <f t="shared" si="5"/>
        <v>0</v>
      </c>
      <c r="F81" s="1805">
        <f t="shared" si="6"/>
        <v>0</v>
      </c>
      <c r="G81" s="1806">
        <f t="shared" si="7"/>
        <v>0</v>
      </c>
    </row>
    <row r="82" spans="1:7" x14ac:dyDescent="0.25">
      <c r="A82" s="1665"/>
      <c r="B82" s="1679"/>
      <c r="C82" s="1666"/>
      <c r="D82" s="1857"/>
      <c r="E82" s="1552">
        <f t="shared" si="5"/>
        <v>0</v>
      </c>
      <c r="F82" s="1805">
        <f t="shared" si="6"/>
        <v>0</v>
      </c>
      <c r="G82" s="1806">
        <f t="shared" si="7"/>
        <v>0</v>
      </c>
    </row>
    <row r="83" spans="1:7" x14ac:dyDescent="0.25">
      <c r="A83" s="1665"/>
      <c r="B83" s="1679"/>
      <c r="C83" s="1666"/>
      <c r="D83" s="1857"/>
      <c r="E83" s="1552">
        <f t="shared" si="5"/>
        <v>0</v>
      </c>
      <c r="F83" s="1805">
        <f t="shared" si="6"/>
        <v>0</v>
      </c>
      <c r="G83" s="1806">
        <f t="shared" si="7"/>
        <v>0</v>
      </c>
    </row>
    <row r="84" spans="1:7" x14ac:dyDescent="0.25">
      <c r="A84" s="1665"/>
      <c r="B84" s="1679"/>
      <c r="C84" s="1666"/>
      <c r="D84" s="1857"/>
      <c r="E84" s="1552">
        <f t="shared" si="5"/>
        <v>0</v>
      </c>
      <c r="F84" s="1805">
        <f t="shared" si="6"/>
        <v>0</v>
      </c>
      <c r="G84" s="1806">
        <f t="shared" si="7"/>
        <v>0</v>
      </c>
    </row>
    <row r="85" spans="1:7" x14ac:dyDescent="0.25">
      <c r="A85" s="1665"/>
      <c r="B85" s="1679"/>
      <c r="C85" s="1666"/>
      <c r="D85" s="1857"/>
      <c r="E85" s="1552">
        <f t="shared" si="2"/>
        <v>0</v>
      </c>
      <c r="F85" s="1805">
        <f t="shared" si="3"/>
        <v>0</v>
      </c>
      <c r="G85" s="1806">
        <f t="shared" si="4"/>
        <v>0</v>
      </c>
    </row>
    <row r="86" spans="1:7" x14ac:dyDescent="0.25">
      <c r="A86" s="1665"/>
      <c r="B86" s="1679"/>
      <c r="C86" s="1666"/>
      <c r="D86" s="1857"/>
      <c r="E86" s="1552">
        <f t="shared" si="2"/>
        <v>0</v>
      </c>
      <c r="F86" s="1805">
        <f t="shared" si="3"/>
        <v>0</v>
      </c>
      <c r="G86" s="1806">
        <f t="shared" si="4"/>
        <v>0</v>
      </c>
    </row>
    <row r="87" spans="1:7" x14ac:dyDescent="0.25">
      <c r="A87" s="1665"/>
      <c r="B87" s="1679"/>
      <c r="C87" s="1666"/>
      <c r="D87" s="1857"/>
      <c r="E87" s="1552">
        <f t="shared" si="2"/>
        <v>0</v>
      </c>
      <c r="F87" s="1805">
        <f t="shared" si="3"/>
        <v>0</v>
      </c>
      <c r="G87" s="1806">
        <f t="shared" si="4"/>
        <v>0</v>
      </c>
    </row>
    <row r="88" spans="1:7" x14ac:dyDescent="0.25">
      <c r="A88" s="1665"/>
      <c r="B88" s="1679"/>
      <c r="C88" s="1666"/>
      <c r="D88" s="1857"/>
      <c r="E88" s="1552">
        <f t="shared" si="2"/>
        <v>0</v>
      </c>
      <c r="F88" s="1805">
        <f t="shared" si="3"/>
        <v>0</v>
      </c>
      <c r="G88" s="1806">
        <f t="shared" si="4"/>
        <v>0</v>
      </c>
    </row>
    <row r="89" spans="1:7" x14ac:dyDescent="0.25">
      <c r="A89" s="1665"/>
      <c r="B89" s="1679"/>
      <c r="C89" s="1666"/>
      <c r="D89" s="1857"/>
      <c r="E89" s="1552">
        <f t="shared" si="2"/>
        <v>0</v>
      </c>
      <c r="F89" s="1805">
        <f t="shared" si="3"/>
        <v>0</v>
      </c>
      <c r="G89" s="1806">
        <f t="shared" si="4"/>
        <v>0</v>
      </c>
    </row>
    <row r="90" spans="1:7" x14ac:dyDescent="0.25">
      <c r="A90" s="1665"/>
      <c r="B90" s="1679"/>
      <c r="C90" s="1666"/>
      <c r="D90" s="1857"/>
      <c r="E90" s="1552">
        <f t="shared" si="2"/>
        <v>0</v>
      </c>
      <c r="F90" s="1805">
        <f t="shared" si="3"/>
        <v>0</v>
      </c>
      <c r="G90" s="1806">
        <f t="shared" si="4"/>
        <v>0</v>
      </c>
    </row>
    <row r="91" spans="1:7" x14ac:dyDescent="0.25">
      <c r="A91" s="1665"/>
      <c r="B91" s="1679"/>
      <c r="C91" s="1666"/>
      <c r="D91" s="1857"/>
      <c r="E91" s="1552">
        <f t="shared" si="2"/>
        <v>0</v>
      </c>
      <c r="F91" s="1805">
        <f t="shared" si="3"/>
        <v>0</v>
      </c>
      <c r="G91" s="1806">
        <f t="shared" si="4"/>
        <v>0</v>
      </c>
    </row>
    <row r="92" spans="1:7" x14ac:dyDescent="0.25">
      <c r="A92" s="1665"/>
      <c r="B92" s="1679"/>
      <c r="C92" s="1666"/>
      <c r="D92" s="1857"/>
      <c r="E92" s="1552">
        <f t="shared" si="2"/>
        <v>0</v>
      </c>
      <c r="F92" s="1805">
        <f t="shared" si="3"/>
        <v>0</v>
      </c>
      <c r="G92" s="1806">
        <f t="shared" si="4"/>
        <v>0</v>
      </c>
    </row>
    <row r="93" spans="1:7" x14ac:dyDescent="0.25">
      <c r="A93" s="1665"/>
      <c r="B93" s="1679"/>
      <c r="C93" s="1666"/>
      <c r="D93" s="1857"/>
      <c r="E93" s="1552">
        <f t="shared" ref="E93" si="8">IF(D93&lt;=25000,D93,IF(D93&gt;25000,25000,0))</f>
        <v>0</v>
      </c>
      <c r="F93" s="180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06">
        <f t="shared" ref="G93" si="10">IF(F93=0,0,D93-F93)</f>
        <v>0</v>
      </c>
    </row>
    <row r="94" spans="1:7" x14ac:dyDescent="0.25">
      <c r="A94" s="1665"/>
      <c r="B94" s="1679"/>
      <c r="C94" s="1666"/>
      <c r="D94" s="1857"/>
      <c r="E94" s="1552">
        <f t="shared" si="2"/>
        <v>0</v>
      </c>
      <c r="F94" s="1805">
        <f t="shared" si="3"/>
        <v>0</v>
      </c>
      <c r="G94" s="1806">
        <f t="shared" si="4"/>
        <v>0</v>
      </c>
    </row>
    <row r="95" spans="1:7" x14ac:dyDescent="0.25">
      <c r="A95" s="1665"/>
      <c r="B95" s="1679"/>
      <c r="C95" s="1666"/>
      <c r="D95" s="1857"/>
      <c r="E95" s="1552">
        <f t="shared" ref="E95:E98" si="11">IF(D95&lt;=25000,D95,IF(D95&gt;25000,25000,0))</f>
        <v>0</v>
      </c>
      <c r="F95" s="180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06">
        <f t="shared" ref="G95:G98" si="13">IF(F95=0,0,D95-F95)</f>
        <v>0</v>
      </c>
    </row>
    <row r="96" spans="1:7" x14ac:dyDescent="0.25">
      <c r="A96" s="1665"/>
      <c r="B96" s="1679"/>
      <c r="C96" s="1666"/>
      <c r="D96" s="1857"/>
      <c r="E96" s="1552">
        <f t="shared" si="11"/>
        <v>0</v>
      </c>
      <c r="F96" s="1805">
        <f t="shared" si="12"/>
        <v>0</v>
      </c>
      <c r="G96" s="1806">
        <f t="shared" si="13"/>
        <v>0</v>
      </c>
    </row>
    <row r="97" spans="1:7" x14ac:dyDescent="0.25">
      <c r="A97" s="1665"/>
      <c r="B97" s="1679"/>
      <c r="C97" s="1666"/>
      <c r="D97" s="1857"/>
      <c r="E97" s="1552">
        <f t="shared" si="11"/>
        <v>0</v>
      </c>
      <c r="F97" s="1805">
        <f t="shared" si="12"/>
        <v>0</v>
      </c>
      <c r="G97" s="1806">
        <f t="shared" si="13"/>
        <v>0</v>
      </c>
    </row>
    <row r="98" spans="1:7" x14ac:dyDescent="0.25">
      <c r="A98" s="1665"/>
      <c r="B98" s="1679"/>
      <c r="C98" s="1666"/>
      <c r="D98" s="1857"/>
      <c r="E98" s="1552">
        <f t="shared" si="11"/>
        <v>0</v>
      </c>
      <c r="F98" s="1805">
        <f t="shared" si="12"/>
        <v>0</v>
      </c>
      <c r="G98" s="1806">
        <f t="shared" si="13"/>
        <v>0</v>
      </c>
    </row>
    <row r="99" spans="1:7" x14ac:dyDescent="0.25">
      <c r="A99" s="1665"/>
      <c r="B99" s="1679"/>
      <c r="C99" s="1666"/>
      <c r="D99" s="1857"/>
      <c r="E99" s="1552">
        <f t="shared" ref="E99" si="14">IF(D99&lt;=25000,D99,IF(D99&gt;25000,25000,0))</f>
        <v>0</v>
      </c>
      <c r="F99" s="180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06">
        <f t="shared" ref="G99" si="16">IF(F99=0,0,D99-F99)</f>
        <v>0</v>
      </c>
    </row>
    <row r="100" spans="1:7" x14ac:dyDescent="0.25">
      <c r="A100" s="1665"/>
      <c r="B100" s="1679"/>
      <c r="C100" s="1666"/>
      <c r="D100" s="1857"/>
      <c r="E100" s="1552">
        <f t="shared" ref="E100:E112" si="17">IF(D100&lt;=25000,D100,IF(D100&gt;25000,25000,0))</f>
        <v>0</v>
      </c>
      <c r="F100" s="180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06">
        <f t="shared" ref="G100:G112" si="19">IF(F100=0,0,D100-F100)</f>
        <v>0</v>
      </c>
    </row>
    <row r="101" spans="1:7" x14ac:dyDescent="0.25">
      <c r="A101" s="1665"/>
      <c r="B101" s="1679"/>
      <c r="C101" s="1666"/>
      <c r="D101" s="1857"/>
      <c r="E101" s="1552">
        <f t="shared" si="17"/>
        <v>0</v>
      </c>
      <c r="F101" s="1805">
        <f t="shared" si="18"/>
        <v>0</v>
      </c>
      <c r="G101" s="1806">
        <f t="shared" si="19"/>
        <v>0</v>
      </c>
    </row>
    <row r="102" spans="1:7" x14ac:dyDescent="0.25">
      <c r="A102" s="1665"/>
      <c r="B102" s="1679"/>
      <c r="C102" s="1666"/>
      <c r="D102" s="1857"/>
      <c r="E102" s="1552">
        <f t="shared" si="17"/>
        <v>0</v>
      </c>
      <c r="F102" s="1805">
        <f t="shared" si="18"/>
        <v>0</v>
      </c>
      <c r="G102" s="1806">
        <f t="shared" si="19"/>
        <v>0</v>
      </c>
    </row>
    <row r="103" spans="1:7" x14ac:dyDescent="0.25">
      <c r="A103" s="1665"/>
      <c r="B103" s="1679"/>
      <c r="C103" s="1666"/>
      <c r="D103" s="1857"/>
      <c r="E103" s="1552">
        <f t="shared" si="17"/>
        <v>0</v>
      </c>
      <c r="F103" s="1805">
        <f t="shared" si="18"/>
        <v>0</v>
      </c>
      <c r="G103" s="1806">
        <f t="shared" si="19"/>
        <v>0</v>
      </c>
    </row>
    <row r="104" spans="1:7" x14ac:dyDescent="0.25">
      <c r="A104" s="1665"/>
      <c r="B104" s="1679"/>
      <c r="C104" s="1666"/>
      <c r="D104" s="1857"/>
      <c r="E104" s="1552">
        <f t="shared" si="17"/>
        <v>0</v>
      </c>
      <c r="F104" s="1805">
        <f t="shared" si="18"/>
        <v>0</v>
      </c>
      <c r="G104" s="1806">
        <f t="shared" si="19"/>
        <v>0</v>
      </c>
    </row>
    <row r="105" spans="1:7" x14ac:dyDescent="0.25">
      <c r="A105" s="1665"/>
      <c r="B105" s="1679"/>
      <c r="C105" s="1666"/>
      <c r="D105" s="1857"/>
      <c r="E105" s="1552">
        <f t="shared" si="17"/>
        <v>0</v>
      </c>
      <c r="F105" s="1805">
        <f t="shared" si="18"/>
        <v>0</v>
      </c>
      <c r="G105" s="1806">
        <f t="shared" si="19"/>
        <v>0</v>
      </c>
    </row>
    <row r="106" spans="1:7" x14ac:dyDescent="0.25">
      <c r="A106" s="1665"/>
      <c r="B106" s="1679"/>
      <c r="C106" s="1666"/>
      <c r="D106" s="1857"/>
      <c r="E106" s="1552">
        <f t="shared" si="17"/>
        <v>0</v>
      </c>
      <c r="F106" s="1805">
        <f t="shared" si="18"/>
        <v>0</v>
      </c>
      <c r="G106" s="1806">
        <f t="shared" si="19"/>
        <v>0</v>
      </c>
    </row>
    <row r="107" spans="1:7" x14ac:dyDescent="0.25">
      <c r="A107" s="1665"/>
      <c r="B107" s="1679"/>
      <c r="C107" s="1666"/>
      <c r="D107" s="1857"/>
      <c r="E107" s="1552">
        <f t="shared" si="17"/>
        <v>0</v>
      </c>
      <c r="F107" s="1805">
        <f t="shared" si="18"/>
        <v>0</v>
      </c>
      <c r="G107" s="1806">
        <f t="shared" si="19"/>
        <v>0</v>
      </c>
    </row>
    <row r="108" spans="1:7" x14ac:dyDescent="0.25">
      <c r="A108" s="1665"/>
      <c r="B108" s="1679"/>
      <c r="C108" s="1666"/>
      <c r="D108" s="1857"/>
      <c r="E108" s="1552">
        <f t="shared" si="17"/>
        <v>0</v>
      </c>
      <c r="F108" s="1805">
        <f t="shared" si="18"/>
        <v>0</v>
      </c>
      <c r="G108" s="1806">
        <f t="shared" si="19"/>
        <v>0</v>
      </c>
    </row>
    <row r="109" spans="1:7" x14ac:dyDescent="0.25">
      <c r="A109" s="1665"/>
      <c r="B109" s="1679"/>
      <c r="C109" s="1666"/>
      <c r="D109" s="1857"/>
      <c r="E109" s="1552">
        <f t="shared" si="17"/>
        <v>0</v>
      </c>
      <c r="F109" s="1805">
        <f t="shared" si="18"/>
        <v>0</v>
      </c>
      <c r="G109" s="1806">
        <f t="shared" si="19"/>
        <v>0</v>
      </c>
    </row>
    <row r="110" spans="1:7" x14ac:dyDescent="0.25">
      <c r="A110" s="1665"/>
      <c r="B110" s="1679"/>
      <c r="C110" s="1666"/>
      <c r="D110" s="1857"/>
      <c r="E110" s="1552">
        <f t="shared" si="17"/>
        <v>0</v>
      </c>
      <c r="F110" s="1805">
        <f t="shared" si="18"/>
        <v>0</v>
      </c>
      <c r="G110" s="1806">
        <f t="shared" si="19"/>
        <v>0</v>
      </c>
    </row>
    <row r="111" spans="1:7" x14ac:dyDescent="0.25">
      <c r="A111" s="1665"/>
      <c r="B111" s="1679"/>
      <c r="C111" s="1666"/>
      <c r="D111" s="1857"/>
      <c r="E111" s="1552">
        <f t="shared" si="17"/>
        <v>0</v>
      </c>
      <c r="F111" s="1805">
        <f t="shared" si="18"/>
        <v>0</v>
      </c>
      <c r="G111" s="1806">
        <f t="shared" si="19"/>
        <v>0</v>
      </c>
    </row>
    <row r="112" spans="1:7" x14ac:dyDescent="0.25">
      <c r="A112" s="1665"/>
      <c r="B112" s="1679"/>
      <c r="C112" s="1666"/>
      <c r="D112" s="1857"/>
      <c r="E112" s="1552">
        <f t="shared" si="17"/>
        <v>0</v>
      </c>
      <c r="F112" s="1805">
        <f t="shared" si="18"/>
        <v>0</v>
      </c>
      <c r="G112" s="1806">
        <f t="shared" si="19"/>
        <v>0</v>
      </c>
    </row>
    <row r="113" spans="1:7" x14ac:dyDescent="0.25">
      <c r="A113" s="1665"/>
      <c r="B113" s="1679"/>
      <c r="C113" s="1666"/>
      <c r="D113" s="1857"/>
      <c r="E113" s="1552">
        <f t="shared" ref="E113:E125" si="20">IF(D113&lt;=25000,D113,IF(D113&gt;25000,25000,0))</f>
        <v>0</v>
      </c>
      <c r="F113" s="180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06">
        <f t="shared" ref="G113:G125" si="22">IF(F113=0,0,D113-F113)</f>
        <v>0</v>
      </c>
    </row>
    <row r="114" spans="1:7" x14ac:dyDescent="0.25">
      <c r="A114" s="1665"/>
      <c r="B114" s="1679"/>
      <c r="C114" s="1666"/>
      <c r="D114" s="1857"/>
      <c r="E114" s="1552">
        <f t="shared" si="20"/>
        <v>0</v>
      </c>
      <c r="F114" s="1805">
        <f t="shared" si="21"/>
        <v>0</v>
      </c>
      <c r="G114" s="1806">
        <f t="shared" si="22"/>
        <v>0</v>
      </c>
    </row>
    <row r="115" spans="1:7" x14ac:dyDescent="0.25">
      <c r="A115" s="1665"/>
      <c r="B115" s="1679"/>
      <c r="C115" s="1666"/>
      <c r="D115" s="1857"/>
      <c r="E115" s="1552">
        <f t="shared" si="20"/>
        <v>0</v>
      </c>
      <c r="F115" s="1805">
        <f t="shared" si="21"/>
        <v>0</v>
      </c>
      <c r="G115" s="1806">
        <f t="shared" si="22"/>
        <v>0</v>
      </c>
    </row>
    <row r="116" spans="1:7" x14ac:dyDescent="0.25">
      <c r="A116" s="1665"/>
      <c r="B116" s="1679"/>
      <c r="C116" s="1666"/>
      <c r="D116" s="1857"/>
      <c r="E116" s="1552">
        <f t="shared" si="20"/>
        <v>0</v>
      </c>
      <c r="F116" s="1805">
        <f t="shared" si="21"/>
        <v>0</v>
      </c>
      <c r="G116" s="1806">
        <f t="shared" si="22"/>
        <v>0</v>
      </c>
    </row>
    <row r="117" spans="1:7" x14ac:dyDescent="0.25">
      <c r="A117" s="1665"/>
      <c r="B117" s="1679"/>
      <c r="C117" s="1666"/>
      <c r="D117" s="1857"/>
      <c r="E117" s="1552">
        <f t="shared" si="20"/>
        <v>0</v>
      </c>
      <c r="F117" s="1805">
        <f t="shared" si="21"/>
        <v>0</v>
      </c>
      <c r="G117" s="1806">
        <f t="shared" si="22"/>
        <v>0</v>
      </c>
    </row>
    <row r="118" spans="1:7" x14ac:dyDescent="0.25">
      <c r="A118" s="1665"/>
      <c r="B118" s="1679"/>
      <c r="C118" s="1666"/>
      <c r="D118" s="1857"/>
      <c r="E118" s="1552">
        <f t="shared" si="20"/>
        <v>0</v>
      </c>
      <c r="F118" s="1805">
        <f t="shared" si="21"/>
        <v>0</v>
      </c>
      <c r="G118" s="1806">
        <f t="shared" si="22"/>
        <v>0</v>
      </c>
    </row>
    <row r="119" spans="1:7" x14ac:dyDescent="0.25">
      <c r="A119" s="1665"/>
      <c r="B119" s="1679"/>
      <c r="C119" s="1666"/>
      <c r="D119" s="1857"/>
      <c r="E119" s="1552">
        <f t="shared" si="20"/>
        <v>0</v>
      </c>
      <c r="F119" s="1805">
        <f t="shared" si="21"/>
        <v>0</v>
      </c>
      <c r="G119" s="1806">
        <f t="shared" si="22"/>
        <v>0</v>
      </c>
    </row>
    <row r="120" spans="1:7" x14ac:dyDescent="0.25">
      <c r="A120" s="1665"/>
      <c r="B120" s="1679"/>
      <c r="C120" s="1666"/>
      <c r="D120" s="1857"/>
      <c r="E120" s="1552">
        <f t="shared" si="20"/>
        <v>0</v>
      </c>
      <c r="F120" s="1805">
        <f t="shared" si="21"/>
        <v>0</v>
      </c>
      <c r="G120" s="1806">
        <f t="shared" si="22"/>
        <v>0</v>
      </c>
    </row>
    <row r="121" spans="1:7" x14ac:dyDescent="0.25">
      <c r="A121" s="1665"/>
      <c r="B121" s="1679"/>
      <c r="C121" s="1666"/>
      <c r="D121" s="1857"/>
      <c r="E121" s="1552">
        <f t="shared" si="20"/>
        <v>0</v>
      </c>
      <c r="F121" s="1805">
        <f t="shared" si="21"/>
        <v>0</v>
      </c>
      <c r="G121" s="1806">
        <f t="shared" si="22"/>
        <v>0</v>
      </c>
    </row>
    <row r="122" spans="1:7" x14ac:dyDescent="0.25">
      <c r="A122" s="1665"/>
      <c r="B122" s="1679"/>
      <c r="C122" s="1666"/>
      <c r="D122" s="1857"/>
      <c r="E122" s="1552">
        <f t="shared" si="20"/>
        <v>0</v>
      </c>
      <c r="F122" s="1805">
        <f t="shared" si="21"/>
        <v>0</v>
      </c>
      <c r="G122" s="1806">
        <f t="shared" si="22"/>
        <v>0</v>
      </c>
    </row>
    <row r="123" spans="1:7" x14ac:dyDescent="0.25">
      <c r="A123" s="1665"/>
      <c r="B123" s="1679"/>
      <c r="C123" s="1666"/>
      <c r="D123" s="1857"/>
      <c r="E123" s="1552">
        <f t="shared" si="20"/>
        <v>0</v>
      </c>
      <c r="F123" s="1805">
        <f t="shared" si="21"/>
        <v>0</v>
      </c>
      <c r="G123" s="1806">
        <f t="shared" si="22"/>
        <v>0</v>
      </c>
    </row>
    <row r="124" spans="1:7" x14ac:dyDescent="0.25">
      <c r="A124" s="1665"/>
      <c r="B124" s="1679"/>
      <c r="C124" s="1666"/>
      <c r="D124" s="1857"/>
      <c r="E124" s="1552">
        <f t="shared" si="20"/>
        <v>0</v>
      </c>
      <c r="F124" s="1805">
        <f t="shared" si="21"/>
        <v>0</v>
      </c>
      <c r="G124" s="1806">
        <f t="shared" si="22"/>
        <v>0</v>
      </c>
    </row>
    <row r="125" spans="1:7" x14ac:dyDescent="0.25">
      <c r="A125" s="1665"/>
      <c r="B125" s="1679"/>
      <c r="C125" s="1666"/>
      <c r="D125" s="1857"/>
      <c r="E125" s="1552">
        <f t="shared" si="20"/>
        <v>0</v>
      </c>
      <c r="F125" s="1805">
        <f t="shared" si="21"/>
        <v>0</v>
      </c>
      <c r="G125" s="1806">
        <f t="shared" si="22"/>
        <v>0</v>
      </c>
    </row>
    <row r="126" spans="1:7" x14ac:dyDescent="0.25">
      <c r="A126" s="1665"/>
      <c r="B126" s="1679"/>
      <c r="C126" s="1666"/>
      <c r="D126" s="1857"/>
      <c r="E126" s="1552">
        <f t="shared" ref="E126:E134" si="23">IF(D126&lt;=25000,D126,IF(D126&gt;25000,25000,0))</f>
        <v>0</v>
      </c>
      <c r="F126" s="180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06">
        <f t="shared" ref="G126:G134" si="25">IF(F126=0,0,D126-F126)</f>
        <v>0</v>
      </c>
    </row>
    <row r="127" spans="1:7" x14ac:dyDescent="0.25">
      <c r="A127" s="1665"/>
      <c r="B127" s="1679"/>
      <c r="C127" s="1666"/>
      <c r="D127" s="1857"/>
      <c r="E127" s="1552">
        <f t="shared" si="23"/>
        <v>0</v>
      </c>
      <c r="F127" s="1805">
        <f t="shared" si="24"/>
        <v>0</v>
      </c>
      <c r="G127" s="1806">
        <f t="shared" si="25"/>
        <v>0</v>
      </c>
    </row>
    <row r="128" spans="1:7" x14ac:dyDescent="0.25">
      <c r="A128" s="1665"/>
      <c r="B128" s="1679"/>
      <c r="C128" s="1666"/>
      <c r="D128" s="1857"/>
      <c r="E128" s="1552">
        <f t="shared" si="23"/>
        <v>0</v>
      </c>
      <c r="F128" s="1805">
        <f t="shared" si="24"/>
        <v>0</v>
      </c>
      <c r="G128" s="1806">
        <f t="shared" si="25"/>
        <v>0</v>
      </c>
    </row>
    <row r="129" spans="1:7" x14ac:dyDescent="0.25">
      <c r="A129" s="1665"/>
      <c r="B129" s="1679"/>
      <c r="C129" s="1666"/>
      <c r="D129" s="1857"/>
      <c r="E129" s="1552">
        <f t="shared" si="23"/>
        <v>0</v>
      </c>
      <c r="F129" s="1805">
        <f t="shared" si="24"/>
        <v>0</v>
      </c>
      <c r="G129" s="1806">
        <f t="shared" si="25"/>
        <v>0</v>
      </c>
    </row>
    <row r="130" spans="1:7" x14ac:dyDescent="0.25">
      <c r="A130" s="1665"/>
      <c r="B130" s="1679"/>
      <c r="C130" s="1666"/>
      <c r="D130" s="1857"/>
      <c r="E130" s="1552">
        <f t="shared" si="23"/>
        <v>0</v>
      </c>
      <c r="F130" s="1805">
        <f t="shared" si="24"/>
        <v>0</v>
      </c>
      <c r="G130" s="1806">
        <f t="shared" si="25"/>
        <v>0</v>
      </c>
    </row>
    <row r="131" spans="1:7" x14ac:dyDescent="0.25">
      <c r="A131" s="1665"/>
      <c r="B131" s="1850"/>
      <c r="C131" s="1666"/>
      <c r="D131" s="1857"/>
      <c r="E131" s="1552">
        <f t="shared" si="23"/>
        <v>0</v>
      </c>
      <c r="F131" s="1805">
        <f t="shared" si="24"/>
        <v>0</v>
      </c>
      <c r="G131" s="1806">
        <f t="shared" si="25"/>
        <v>0</v>
      </c>
    </row>
    <row r="132" spans="1:7" x14ac:dyDescent="0.25">
      <c r="A132" s="1665"/>
      <c r="B132" s="1850"/>
      <c r="C132" s="1666"/>
      <c r="D132" s="1857"/>
      <c r="E132" s="1552">
        <f t="shared" si="23"/>
        <v>0</v>
      </c>
      <c r="F132" s="1805">
        <f t="shared" si="24"/>
        <v>0</v>
      </c>
      <c r="G132" s="1806">
        <f t="shared" si="25"/>
        <v>0</v>
      </c>
    </row>
    <row r="133" spans="1:7" x14ac:dyDescent="0.25">
      <c r="A133" s="1665"/>
      <c r="B133" s="1679"/>
      <c r="C133" s="1666"/>
      <c r="D133" s="1857"/>
      <c r="E133" s="1552">
        <f t="shared" si="23"/>
        <v>0</v>
      </c>
      <c r="F133" s="1805">
        <f t="shared" si="24"/>
        <v>0</v>
      </c>
      <c r="G133" s="1806">
        <f t="shared" si="25"/>
        <v>0</v>
      </c>
    </row>
    <row r="134" spans="1:7" x14ac:dyDescent="0.25">
      <c r="A134" s="1665"/>
      <c r="B134" s="1679"/>
      <c r="C134" s="1666"/>
      <c r="D134" s="1857"/>
      <c r="E134" s="1552">
        <f t="shared" si="23"/>
        <v>0</v>
      </c>
      <c r="F134" s="1805">
        <f t="shared" si="24"/>
        <v>0</v>
      </c>
      <c r="G134" s="1806">
        <f t="shared" si="25"/>
        <v>0</v>
      </c>
    </row>
    <row r="135" spans="1:7" x14ac:dyDescent="0.25">
      <c r="A135" s="1665"/>
      <c r="B135" s="1679"/>
      <c r="C135" s="1666"/>
      <c r="D135" s="1857"/>
      <c r="E135" s="1552">
        <f t="shared" ref="E135:E139" si="26">IF(D135&lt;=25000,D135,IF(D135&gt;25000,25000,0))</f>
        <v>0</v>
      </c>
      <c r="F135" s="180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06">
        <f t="shared" ref="G135:G139" si="28">IF(F135=0,0,D135-F135)</f>
        <v>0</v>
      </c>
    </row>
    <row r="136" spans="1:7" x14ac:dyDescent="0.25">
      <c r="A136" s="1665"/>
      <c r="B136" s="1679"/>
      <c r="C136" s="1666"/>
      <c r="D136" s="1857"/>
      <c r="E136" s="1552">
        <f t="shared" si="26"/>
        <v>0</v>
      </c>
      <c r="F136" s="1805">
        <f t="shared" si="27"/>
        <v>0</v>
      </c>
      <c r="G136" s="1806">
        <f t="shared" si="28"/>
        <v>0</v>
      </c>
    </row>
    <row r="137" spans="1:7" x14ac:dyDescent="0.25">
      <c r="A137" s="1665"/>
      <c r="B137" s="1679"/>
      <c r="C137" s="1666"/>
      <c r="D137" s="1857"/>
      <c r="E137" s="1552">
        <f t="shared" si="26"/>
        <v>0</v>
      </c>
      <c r="F137" s="1805">
        <f t="shared" si="27"/>
        <v>0</v>
      </c>
      <c r="G137" s="1806">
        <f t="shared" si="28"/>
        <v>0</v>
      </c>
    </row>
    <row r="138" spans="1:7" x14ac:dyDescent="0.25">
      <c r="A138" s="1665"/>
      <c r="B138" s="1679"/>
      <c r="C138" s="1666"/>
      <c r="D138" s="1857"/>
      <c r="E138" s="1552">
        <f t="shared" si="26"/>
        <v>0</v>
      </c>
      <c r="F138" s="1805">
        <f t="shared" si="27"/>
        <v>0</v>
      </c>
      <c r="G138" s="1806">
        <f t="shared" si="28"/>
        <v>0</v>
      </c>
    </row>
    <row r="139" spans="1:7" x14ac:dyDescent="0.25">
      <c r="A139" s="1665"/>
      <c r="B139" s="1679"/>
      <c r="C139" s="1666"/>
      <c r="D139" s="1857"/>
      <c r="E139" s="1552">
        <f t="shared" si="26"/>
        <v>0</v>
      </c>
      <c r="F139" s="1805">
        <f t="shared" si="27"/>
        <v>0</v>
      </c>
      <c r="G139" s="1806">
        <f t="shared" si="28"/>
        <v>0</v>
      </c>
    </row>
    <row r="140" spans="1:7" x14ac:dyDescent="0.25">
      <c r="A140" s="1665"/>
      <c r="B140" s="1678"/>
      <c r="C140" s="1666"/>
      <c r="D140" s="1857"/>
      <c r="E140" s="1552">
        <f t="shared" si="2"/>
        <v>0</v>
      </c>
      <c r="F140" s="1805">
        <f t="shared" si="3"/>
        <v>0</v>
      </c>
      <c r="G140" s="1806">
        <f t="shared" si="4"/>
        <v>0</v>
      </c>
    </row>
    <row r="141" spans="1:7" x14ac:dyDescent="0.25">
      <c r="A141" s="1809" t="s">
        <v>158</v>
      </c>
      <c r="B141" s="1810"/>
      <c r="C141" s="1811"/>
      <c r="D141" s="1807">
        <f>SUM(D17:D140)</f>
        <v>1435413</v>
      </c>
      <c r="E141" s="1553">
        <f t="shared" si="1"/>
        <v>25000</v>
      </c>
      <c r="F141" s="1807">
        <f>SUM(F17:F140)</f>
        <v>311763</v>
      </c>
      <c r="G141" s="1808">
        <f>SUM(G17:G140)</f>
        <v>1099532</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6" colorId="8" zoomScale="110" zoomScaleNormal="110" workbookViewId="0">
      <selection activeCell="E44" sqref="E44"/>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46" t="s">
        <v>1176</v>
      </c>
      <c r="B1" s="1647"/>
      <c r="C1" s="1648"/>
    </row>
    <row r="2" spans="1:9" x14ac:dyDescent="0.2">
      <c r="A2" s="943" t="s">
        <v>1177</v>
      </c>
      <c r="B2" s="944"/>
      <c r="C2" s="944"/>
      <c r="D2" s="944"/>
      <c r="E2" s="945"/>
      <c r="F2" s="945"/>
      <c r="G2" s="946"/>
    </row>
    <row r="3" spans="1:9" ht="12" customHeight="1" x14ac:dyDescent="0.2">
      <c r="A3" s="947" t="s">
        <v>1422</v>
      </c>
      <c r="B3" s="948"/>
      <c r="C3" s="948"/>
      <c r="D3" s="948"/>
      <c r="E3" s="949"/>
      <c r="F3" s="949"/>
      <c r="G3" s="950"/>
    </row>
    <row r="4" spans="1:9" x14ac:dyDescent="0.2">
      <c r="A4" s="951" t="s">
        <v>778</v>
      </c>
      <c r="B4" s="952"/>
      <c r="C4" s="952"/>
      <c r="D4" s="952"/>
      <c r="E4" s="953"/>
      <c r="F4" s="954"/>
      <c r="G4" s="955"/>
      <c r="H4" s="252"/>
      <c r="I4" s="252"/>
    </row>
    <row r="5" spans="1:9" s="343" customFormat="1" ht="57" customHeight="1" x14ac:dyDescent="0.2">
      <c r="A5" s="2313" t="s">
        <v>1777</v>
      </c>
      <c r="B5" s="2314"/>
      <c r="C5" s="2314"/>
      <c r="D5" s="2314"/>
      <c r="E5" s="2314"/>
      <c r="F5" s="2314"/>
      <c r="G5" s="2315"/>
      <c r="H5" s="252"/>
      <c r="I5" s="603"/>
    </row>
    <row r="6" spans="1:9" s="661" customFormat="1" x14ac:dyDescent="0.2">
      <c r="A6" s="1649" t="s">
        <v>214</v>
      </c>
      <c r="B6" s="957"/>
      <c r="C6" s="957"/>
      <c r="D6" s="958"/>
      <c r="E6" s="958"/>
      <c r="F6" s="959"/>
      <c r="G6" s="960"/>
      <c r="H6" s="162"/>
      <c r="I6" s="162"/>
    </row>
    <row r="7" spans="1:9" s="661" customFormat="1" ht="12" customHeight="1" x14ac:dyDescent="0.2">
      <c r="A7" s="961" t="s">
        <v>963</v>
      </c>
      <c r="B7" s="962"/>
      <c r="C7" s="962"/>
      <c r="D7" s="963"/>
      <c r="E7" s="964"/>
      <c r="F7" s="965"/>
      <c r="G7" s="966"/>
      <c r="H7" s="162"/>
      <c r="I7" s="162"/>
    </row>
    <row r="8" spans="1:9" s="661" customFormat="1" ht="12" customHeight="1" x14ac:dyDescent="0.2">
      <c r="A8" s="961" t="s">
        <v>131</v>
      </c>
      <c r="B8" s="962"/>
      <c r="C8" s="962"/>
      <c r="D8" s="963"/>
      <c r="E8" s="964"/>
      <c r="F8" s="965"/>
      <c r="G8" s="966"/>
      <c r="H8" s="162"/>
      <c r="I8" s="162"/>
    </row>
    <row r="9" spans="1:9" s="661" customFormat="1" ht="12" customHeight="1" x14ac:dyDescent="0.2">
      <c r="A9" s="961" t="s">
        <v>132</v>
      </c>
      <c r="B9" s="962"/>
      <c r="C9" s="962"/>
      <c r="D9" s="963"/>
      <c r="E9" s="964"/>
      <c r="F9" s="965"/>
      <c r="G9" s="966"/>
      <c r="H9" s="162"/>
      <c r="I9" s="162"/>
    </row>
    <row r="10" spans="1:9" s="661" customFormat="1" ht="12" customHeight="1" x14ac:dyDescent="0.2">
      <c r="A10" s="961" t="s">
        <v>2075</v>
      </c>
      <c r="B10" s="962"/>
      <c r="C10" s="967"/>
      <c r="D10" s="963"/>
      <c r="E10" s="964"/>
      <c r="F10" s="965"/>
      <c r="G10" s="966"/>
      <c r="H10" s="162"/>
      <c r="I10" s="162"/>
    </row>
    <row r="11" spans="1:9" s="661" customFormat="1" ht="22.5" customHeight="1" x14ac:dyDescent="0.2">
      <c r="A11" s="2318" t="s">
        <v>1944</v>
      </c>
      <c r="B11" s="2319"/>
      <c r="C11" s="2319"/>
      <c r="D11" s="2320"/>
      <c r="E11" s="968"/>
      <c r="F11" s="965"/>
      <c r="G11" s="969"/>
      <c r="H11" s="162"/>
      <c r="I11" s="162"/>
    </row>
    <row r="12" spans="1:9" s="661" customFormat="1" ht="12" customHeight="1" x14ac:dyDescent="0.2">
      <c r="A12" s="961" t="s">
        <v>133</v>
      </c>
      <c r="B12" s="962"/>
      <c r="C12" s="962"/>
      <c r="D12" s="963"/>
      <c r="E12" s="964"/>
      <c r="F12" s="965"/>
      <c r="G12" s="966"/>
      <c r="H12" s="162"/>
      <c r="I12" s="162"/>
    </row>
    <row r="13" spans="1:9" s="661" customFormat="1" ht="12" customHeight="1" x14ac:dyDescent="0.2">
      <c r="A13" s="961" t="s">
        <v>212</v>
      </c>
      <c r="B13" s="962"/>
      <c r="C13" s="962"/>
      <c r="D13" s="963"/>
      <c r="E13" s="964"/>
      <c r="F13" s="965"/>
      <c r="G13" s="966"/>
      <c r="H13" s="162"/>
      <c r="I13" s="162"/>
    </row>
    <row r="14" spans="1:9" s="661" customFormat="1" ht="12" customHeight="1" x14ac:dyDescent="0.2">
      <c r="A14" s="961" t="s">
        <v>213</v>
      </c>
      <c r="B14" s="962"/>
      <c r="C14" s="962"/>
      <c r="D14" s="963"/>
      <c r="E14" s="964"/>
      <c r="F14" s="970"/>
      <c r="G14" s="971"/>
      <c r="H14" s="162"/>
      <c r="I14" s="162"/>
    </row>
    <row r="15" spans="1:9" s="661" customFormat="1" ht="12" customHeight="1" x14ac:dyDescent="0.2">
      <c r="A15" s="956" t="s">
        <v>388</v>
      </c>
      <c r="B15" s="958"/>
      <c r="C15" s="958"/>
      <c r="D15" s="958"/>
      <c r="E15" s="958"/>
      <c r="F15" s="958"/>
      <c r="G15" s="972"/>
      <c r="H15" s="162"/>
      <c r="I15" s="162"/>
    </row>
    <row r="16" spans="1:9" s="661" customFormat="1" x14ac:dyDescent="0.2">
      <c r="A16" s="973" t="s">
        <v>1442</v>
      </c>
      <c r="B16" s="974"/>
      <c r="C16" s="975"/>
      <c r="D16" s="954"/>
      <c r="E16" s="949"/>
      <c r="F16" s="949"/>
      <c r="G16" s="950"/>
      <c r="H16" s="162"/>
      <c r="I16" s="162"/>
    </row>
    <row r="17" spans="1:9" s="661" customFormat="1" ht="12" customHeight="1" x14ac:dyDescent="0.2">
      <c r="A17" s="976"/>
      <c r="B17" s="977"/>
      <c r="C17" s="329"/>
      <c r="D17" s="1650" t="s">
        <v>552</v>
      </c>
      <c r="E17" s="1651"/>
      <c r="F17" s="1650" t="s">
        <v>452</v>
      </c>
      <c r="G17" s="1652"/>
      <c r="H17" s="162"/>
      <c r="I17" s="162"/>
    </row>
    <row r="18" spans="1:9" s="259" customFormat="1" ht="11.25" x14ac:dyDescent="0.2">
      <c r="A18" s="979"/>
      <c r="C18" s="980" t="s">
        <v>453</v>
      </c>
      <c r="D18" s="1653" t="s">
        <v>454</v>
      </c>
      <c r="E18" s="1653" t="s">
        <v>55</v>
      </c>
      <c r="F18" s="1653" t="s">
        <v>454</v>
      </c>
      <c r="G18" s="1653" t="s">
        <v>55</v>
      </c>
      <c r="H18" s="178"/>
      <c r="I18" s="178"/>
    </row>
    <row r="19" spans="1:9" s="661" customFormat="1" ht="12" customHeight="1" x14ac:dyDescent="0.2">
      <c r="A19" s="981" t="s">
        <v>475</v>
      </c>
      <c r="B19" s="982"/>
      <c r="C19" s="983" t="s">
        <v>590</v>
      </c>
      <c r="D19" s="1812"/>
      <c r="E19" s="1813">
        <f>'Expenditures 15-22'!K33-SUM('Expenditures 15-22'!G33,'Expenditures 15-22'!I33)+'Expenditures 15-22'!D229</f>
        <v>9698326</v>
      </c>
      <c r="F19" s="1812"/>
      <c r="G19" s="1814">
        <f>'Expenditures 15-22'!K33-SUM('Expenditures 15-22'!G33,'Expenditures 15-22'!I33)+'Expenditures 15-22'!D229</f>
        <v>9698326</v>
      </c>
      <c r="H19" s="978"/>
      <c r="I19" s="162"/>
    </row>
    <row r="20" spans="1:9" s="661" customFormat="1" ht="12" customHeight="1" x14ac:dyDescent="0.2">
      <c r="A20" s="981" t="s">
        <v>56</v>
      </c>
      <c r="B20" s="982"/>
      <c r="C20" s="984"/>
      <c r="D20" s="1815"/>
      <c r="E20" s="1815"/>
      <c r="F20" s="1815"/>
      <c r="G20" s="1816"/>
      <c r="H20" s="978"/>
      <c r="I20" s="162"/>
    </row>
    <row r="21" spans="1:9" s="661" customFormat="1" ht="12" customHeight="1" x14ac:dyDescent="0.2">
      <c r="A21" s="985" t="s">
        <v>420</v>
      </c>
      <c r="B21" s="986"/>
      <c r="C21" s="984">
        <v>2100</v>
      </c>
      <c r="D21" s="1815"/>
      <c r="E21" s="1817">
        <f>'Expenditures 15-22'!K42-SUM('Expenditures 15-22'!G42,'Expenditures 15-22'!I42)+'Expenditures 15-22'!K120-SUM('Expenditures 15-22'!G120,'Expenditures 15-22'!I120)+'Expenditures 15-22'!K180-SUM('Expenditures 15-22'!G180,'Expenditures 15-22'!I180)+'Expenditures 15-22'!D238</f>
        <v>1224898</v>
      </c>
      <c r="F21" s="1815"/>
      <c r="G21" s="1818">
        <f>'Expenditures 15-22'!K42-SUM('Expenditures 15-22'!G42,'Expenditures 15-22'!I42)+'Expenditures 15-22'!K120-SUM('Expenditures 15-22'!G120,'Expenditures 15-22'!I120)+'Expenditures 15-22'!K180-SUM('Expenditures 15-22'!G180,'Expenditures 15-22'!I180)+'Expenditures 15-22'!D238</f>
        <v>1224898</v>
      </c>
      <c r="H21" s="978"/>
      <c r="I21" s="162"/>
    </row>
    <row r="22" spans="1:9" s="661" customFormat="1" ht="12" customHeight="1" x14ac:dyDescent="0.2">
      <c r="A22" s="985" t="s">
        <v>584</v>
      </c>
      <c r="B22" s="986"/>
      <c r="C22" s="984">
        <v>2200</v>
      </c>
      <c r="D22" s="1815"/>
      <c r="E22" s="1817">
        <f>'Expenditures 15-22'!K47-SUM('Expenditures 15-22'!G47,'Expenditures 15-22'!I47)+'Expenditures 15-22'!D243</f>
        <v>224216</v>
      </c>
      <c r="F22" s="1815"/>
      <c r="G22" s="1818">
        <f>'Expenditures 15-22'!K47-SUM('Expenditures 15-22'!G47,'Expenditures 15-22'!I47)+'Expenditures 15-22'!D243</f>
        <v>224216</v>
      </c>
      <c r="H22" s="978"/>
      <c r="I22" s="162"/>
    </row>
    <row r="23" spans="1:9" s="661" customFormat="1" ht="12" customHeight="1" x14ac:dyDescent="0.2">
      <c r="A23" s="985" t="s">
        <v>585</v>
      </c>
      <c r="B23" s="986"/>
      <c r="C23" s="984">
        <v>2300</v>
      </c>
      <c r="D23" s="1815"/>
      <c r="E23" s="1817">
        <f>'Expenditures 15-22'!K53-SUM('Expenditures 15-22'!G53,'Expenditures 15-22'!I53)+'Expenditures 15-22'!D257+'Expenditures 15-22'!K330-SUM('Expenditures 15-22'!G330,'Expenditures 15-22'!I330)</f>
        <v>1411312</v>
      </c>
      <c r="F23" s="1815"/>
      <c r="G23" s="1817">
        <f>'Expenditures 15-22'!K53-SUM('Expenditures 15-22'!G53,'Expenditures 15-22'!I53)+'Expenditures 15-22'!D257+'Expenditures 15-22'!K330-SUM('Expenditures 15-22'!G330,'Expenditures 15-22'!I330)</f>
        <v>1411312</v>
      </c>
      <c r="H23" s="978"/>
      <c r="I23" s="162"/>
    </row>
    <row r="24" spans="1:9" s="661" customFormat="1" ht="12" customHeight="1" x14ac:dyDescent="0.2">
      <c r="A24" s="985" t="s">
        <v>586</v>
      </c>
      <c r="B24" s="986"/>
      <c r="C24" s="984">
        <v>2400</v>
      </c>
      <c r="D24" s="1815"/>
      <c r="E24" s="1817">
        <f>'Expenditures 15-22'!K57-SUM('Expenditures 15-22'!G57,'Expenditures 15-22'!I57)+'Expenditures 15-22'!D261</f>
        <v>360045</v>
      </c>
      <c r="F24" s="1815"/>
      <c r="G24" s="1818">
        <f>'Expenditures 15-22'!K57-SUM('Expenditures 15-22'!G57,'Expenditures 15-22'!I57)+'Expenditures 15-22'!D261</f>
        <v>360045</v>
      </c>
      <c r="H24" s="978"/>
      <c r="I24" s="162"/>
    </row>
    <row r="25" spans="1:9" s="661" customFormat="1" ht="12" customHeight="1" x14ac:dyDescent="0.2">
      <c r="A25" s="981" t="s">
        <v>587</v>
      </c>
      <c r="B25" s="987"/>
      <c r="C25" s="984"/>
      <c r="D25" s="1815"/>
      <c r="E25" s="1817"/>
      <c r="F25" s="1815"/>
      <c r="G25" s="1818"/>
      <c r="H25" s="978"/>
      <c r="I25" s="162"/>
    </row>
    <row r="26" spans="1:9" s="661" customFormat="1" ht="12" customHeight="1" x14ac:dyDescent="0.2">
      <c r="A26" s="985" t="s">
        <v>535</v>
      </c>
      <c r="B26" s="988"/>
      <c r="C26" s="984">
        <v>2510</v>
      </c>
      <c r="D26" s="1817">
        <f>'Expenditures 15-22'!K59-SUM('Expenditures 15-22'!G59,'Expenditures 15-22'!I59)+'Expenditures 15-22'!D263-E7</f>
        <v>0</v>
      </c>
      <c r="E26" s="1817">
        <f>'Expenditures 15-22'!K122-SUM('Expenditures 15-22'!G122,'Expenditures 15-22'!I122)+E7</f>
        <v>0</v>
      </c>
      <c r="F26" s="1817">
        <f>'Expenditures 15-22'!K59-SUM('Expenditures 15-22'!G59,'Expenditures 15-22'!I59)+'Expenditures 15-22'!D263-E7</f>
        <v>0</v>
      </c>
      <c r="G26" s="1818">
        <f>'Expenditures 15-22'!K122-SUM('Expenditures 15-22'!G122,'Expenditures 15-22'!I122)+E7</f>
        <v>0</v>
      </c>
      <c r="H26" s="978"/>
      <c r="I26" s="162"/>
    </row>
    <row r="27" spans="1:9" s="661" customFormat="1" ht="12" customHeight="1" x14ac:dyDescent="0.2">
      <c r="A27" s="985" t="s">
        <v>482</v>
      </c>
      <c r="B27" s="988"/>
      <c r="C27" s="984">
        <v>2520</v>
      </c>
      <c r="D27" s="1817">
        <f>'Expenditures 15-22'!K60-SUM('Expenditures 15-22'!G60,'Expenditures 15-22'!I60)+'Expenditures 15-22'!D264-E8</f>
        <v>224269</v>
      </c>
      <c r="E27" s="1817">
        <f>E8</f>
        <v>0</v>
      </c>
      <c r="F27" s="1817">
        <f>'Expenditures 15-22'!K60-SUM('Expenditures 15-22'!G60,'Expenditures 15-22'!I60)+'Expenditures 15-22'!D264-E8</f>
        <v>224269</v>
      </c>
      <c r="G27" s="1818">
        <f>E8</f>
        <v>0</v>
      </c>
      <c r="H27" s="978"/>
      <c r="I27" s="162"/>
    </row>
    <row r="28" spans="1:9" s="661" customFormat="1" ht="12" customHeight="1" x14ac:dyDescent="0.2">
      <c r="A28" s="985" t="s">
        <v>536</v>
      </c>
      <c r="B28" s="988"/>
      <c r="C28" s="984">
        <v>2540</v>
      </c>
      <c r="D28" s="1819"/>
      <c r="E28" s="1817">
        <f>'Expenditures 15-22'!K61-SUM('Expenditures 15-22'!G61,'Expenditures 15-22'!I61)+'Expenditures 15-22'!K124-SUM('Expenditures 15-22'!G124,'Expenditures 15-22'!I124)+'Expenditures 15-22'!D266</f>
        <v>1617297</v>
      </c>
      <c r="F28" s="1819">
        <f>'Expenditures 15-22'!K61-SUM('Expenditures 15-22'!G61,'Expenditures 15-22'!I61)+'Expenditures 15-22'!K124-SUM('Expenditures 15-22'!G124,'Expenditures 15-22'!I124)+'Expenditures 15-22'!D266-E9</f>
        <v>1617297</v>
      </c>
      <c r="G28" s="1818">
        <f>E9</f>
        <v>0</v>
      </c>
      <c r="H28" s="978"/>
      <c r="I28" s="162"/>
    </row>
    <row r="29" spans="1:9" ht="12" customHeight="1" x14ac:dyDescent="0.2">
      <c r="A29" s="985" t="s">
        <v>537</v>
      </c>
      <c r="B29" s="988"/>
      <c r="C29" s="984">
        <v>2550</v>
      </c>
      <c r="D29" s="1815"/>
      <c r="E29" s="1817">
        <f>'Expenditures 15-22'!K62-SUM('Expenditures 15-22'!G62,'Expenditures 15-22'!I62)+'Expenditures 15-22'!K125-SUM('Expenditures 15-22'!G125,'Expenditures 15-22'!I125)+'Expenditures 15-22'!K182-SUM('Expenditures 15-22'!G182,'Expenditures 15-22'!I182)+'Expenditures 15-22'!D267</f>
        <v>226989</v>
      </c>
      <c r="F29" s="1815"/>
      <c r="G29" s="1818">
        <f>'Expenditures 15-22'!K62-SUM('Expenditures 15-22'!G62,'Expenditures 15-22'!I62)+'Expenditures 15-22'!K125-SUM('Expenditures 15-22'!G125,'Expenditures 15-22'!I125)+'Expenditures 15-22'!K182-SUM('Expenditures 15-22'!G182,'Expenditures 15-22'!I182)+'Expenditures 15-22'!D267</f>
        <v>226989</v>
      </c>
      <c r="H29" s="976"/>
    </row>
    <row r="30" spans="1:9" ht="12" customHeight="1" x14ac:dyDescent="0.2">
      <c r="A30" s="985" t="s">
        <v>102</v>
      </c>
      <c r="B30" s="988"/>
      <c r="C30" s="984">
        <v>2560</v>
      </c>
      <c r="D30" s="1815"/>
      <c r="E30" s="1817">
        <f>'Expenditures 15-22'!K63-SUM('Expenditures 15-22'!G63,'Expenditures 15-22'!I63)+'Expenditures 15-22'!D268-E10</f>
        <v>497615</v>
      </c>
      <c r="F30" s="1815"/>
      <c r="G30" s="1817">
        <f>'Expenditures 15-22'!K63-SUM('Expenditures 15-22'!G63,'Expenditures 15-22'!I63)+'Expenditures 15-22'!D268-E10</f>
        <v>497615</v>
      </c>
    </row>
    <row r="31" spans="1:9" ht="12" customHeight="1" x14ac:dyDescent="0.2">
      <c r="A31" s="985" t="s">
        <v>103</v>
      </c>
      <c r="B31" s="988"/>
      <c r="C31" s="984">
        <v>2570</v>
      </c>
      <c r="D31" s="1817">
        <f>'Expenditures 15-22'!K64-SUM('Expenditures 15-22'!G64,'Expenditures 15-22'!I64)+'Expenditures 15-22'!D269-E12</f>
        <v>0</v>
      </c>
      <c r="E31" s="1817">
        <f>E12</f>
        <v>0</v>
      </c>
      <c r="F31" s="1817">
        <f>'Expenditures 15-22'!K64-SUM('Expenditures 15-22'!G64,'Expenditures 15-22'!I64)+'Expenditures 15-22'!D269-E12</f>
        <v>0</v>
      </c>
      <c r="G31" s="1817">
        <f>E12</f>
        <v>0</v>
      </c>
    </row>
    <row r="32" spans="1:9" ht="12" customHeight="1" x14ac:dyDescent="0.2">
      <c r="A32" s="981" t="s">
        <v>538</v>
      </c>
      <c r="B32" s="987"/>
      <c r="C32" s="984"/>
      <c r="D32" s="1815"/>
      <c r="E32" s="1815"/>
      <c r="F32" s="1815"/>
      <c r="G32" s="1815"/>
    </row>
    <row r="33" spans="1:7" ht="12" customHeight="1" x14ac:dyDescent="0.2">
      <c r="A33" s="985" t="s">
        <v>539</v>
      </c>
      <c r="B33" s="988"/>
      <c r="C33" s="984">
        <v>2610</v>
      </c>
      <c r="D33" s="1815"/>
      <c r="E33" s="1817">
        <f>'Expenditures 15-22'!K67-SUM('Expenditures 15-22'!G67,'Expenditures 15-22'!I67)+'Expenditures 15-22'!D272</f>
        <v>0</v>
      </c>
      <c r="F33" s="1815"/>
      <c r="G33" s="1817">
        <f>'Expenditures 15-22'!K67-SUM('Expenditures 15-22'!G67,'Expenditures 15-22'!I67)+'Expenditures 15-22'!D272</f>
        <v>0</v>
      </c>
    </row>
    <row r="34" spans="1:7" ht="12" customHeight="1" x14ac:dyDescent="0.2">
      <c r="A34" s="985" t="s">
        <v>540</v>
      </c>
      <c r="B34" s="988"/>
      <c r="C34" s="984">
        <v>2620</v>
      </c>
      <c r="D34" s="1815"/>
      <c r="E34" s="1817">
        <f>'Expenditures 15-22'!K68-SUM('Expenditures 15-22'!G68,'Expenditures 15-22'!I68)+'Expenditures 15-22'!D273</f>
        <v>0</v>
      </c>
      <c r="F34" s="1815"/>
      <c r="G34" s="1817">
        <f>'Expenditures 15-22'!K68-SUM('Expenditures 15-22'!G68,'Expenditures 15-22'!I68)+'Expenditures 15-22'!D273</f>
        <v>0</v>
      </c>
    </row>
    <row r="35" spans="1:7" ht="12" customHeight="1" x14ac:dyDescent="0.2">
      <c r="A35" s="985" t="s">
        <v>1120</v>
      </c>
      <c r="B35" s="988"/>
      <c r="C35" s="984">
        <v>2630</v>
      </c>
      <c r="D35" s="1815"/>
      <c r="E35" s="1817">
        <f>'Expenditures 15-22'!K69-SUM('Expenditures 15-22'!G69,'Expenditures 15-22'!I69)+'Expenditures 15-22'!D274</f>
        <v>0</v>
      </c>
      <c r="F35" s="1815"/>
      <c r="G35" s="1817">
        <f>'Expenditures 15-22'!K69-SUM('Expenditures 15-22'!G69,'Expenditures 15-22'!I69)+'Expenditures 15-22'!D274</f>
        <v>0</v>
      </c>
    </row>
    <row r="36" spans="1:7" ht="12" customHeight="1" x14ac:dyDescent="0.2">
      <c r="A36" s="985" t="s">
        <v>422</v>
      </c>
      <c r="B36" s="988"/>
      <c r="C36" s="984">
        <v>2640</v>
      </c>
      <c r="D36" s="1817">
        <f>'Expenditures 15-22'!K70-SUM('Expenditures 15-22'!G70,'Expenditures 15-22'!I70)+'Expenditures 15-22'!D275-E13</f>
        <v>5821</v>
      </c>
      <c r="E36" s="1817">
        <f>E13</f>
        <v>0</v>
      </c>
      <c r="F36" s="1817">
        <f>'Expenditures 15-22'!K70-SUM('Expenditures 15-22'!G70,'Expenditures 15-22'!I70)+'Expenditures 15-22'!D275-E13</f>
        <v>5821</v>
      </c>
      <c r="G36" s="1817">
        <f>E13</f>
        <v>0</v>
      </c>
    </row>
    <row r="37" spans="1:7" ht="12" customHeight="1" x14ac:dyDescent="0.2">
      <c r="A37" s="985" t="s">
        <v>423</v>
      </c>
      <c r="B37" s="988"/>
      <c r="C37" s="984">
        <v>2660</v>
      </c>
      <c r="D37" s="1817">
        <f>'Expenditures 15-22'!K71-SUM('Expenditures 15-22'!G71,'Expenditures 15-22'!I71)+'Expenditures 15-22'!D276-E14</f>
        <v>229218</v>
      </c>
      <c r="E37" s="1817">
        <f>E14</f>
        <v>0</v>
      </c>
      <c r="F37" s="1817">
        <f>'Expenditures 15-22'!K71-SUM('Expenditures 15-22'!G71,'Expenditures 15-22'!I71)+'Expenditures 15-22'!D276-E14</f>
        <v>229218</v>
      </c>
      <c r="G37" s="1817">
        <f>E14</f>
        <v>0</v>
      </c>
    </row>
    <row r="38" spans="1:7" ht="12" customHeight="1" x14ac:dyDescent="0.2">
      <c r="A38" s="981" t="s">
        <v>541</v>
      </c>
      <c r="B38" s="982"/>
      <c r="C38" s="984">
        <v>2900</v>
      </c>
      <c r="D38" s="1815"/>
      <c r="E38" s="1817">
        <f>'Expenditures 15-22'!K73-SUM('Expenditures 15-22'!G73,'Expenditures 15-22'!I73)+'Expenditures 15-22'!K128-SUM('Expenditures 15-22'!G128,'Expenditures 15-22'!I128)+'Expenditures 15-22'!K183-SUM('Expenditures 15-22'!G183,'Expenditures 15-22'!I183)+'Expenditures 15-22'!D278</f>
        <v>0</v>
      </c>
      <c r="F38" s="1815"/>
      <c r="G38" s="181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81" t="s">
        <v>468</v>
      </c>
      <c r="B39" s="982"/>
      <c r="C39" s="984">
        <v>3000</v>
      </c>
      <c r="D39" s="1815"/>
      <c r="E39" s="1817">
        <f>'Expenditures 15-22'!K75-SUM('Expenditures 15-22'!G75,'Expenditures 15-22'!I75)+'Expenditures 15-22'!K130-SUM('Expenditures 15-22'!G130,'Expenditures 15-22'!I130)+'Expenditures 15-22'!K185-SUM('Expenditures 15-22'!G185,'Expenditures 15-22'!I185)+'Expenditures 15-22'!D280</f>
        <v>16811</v>
      </c>
      <c r="F39" s="1815"/>
      <c r="G39" s="1817">
        <f>'Expenditures 15-22'!K75-SUM('Expenditures 15-22'!G75,'Expenditures 15-22'!I75)+'Expenditures 15-22'!K130-SUM('Expenditures 15-22'!G130,'Expenditures 15-22'!I130)+'Expenditures 15-22'!K185-SUM('Expenditures 15-22'!G185,'Expenditures 15-22'!I185)+'Expenditures 15-22'!D280</f>
        <v>16811</v>
      </c>
    </row>
    <row r="40" spans="1:7" ht="12" customHeight="1" x14ac:dyDescent="0.2">
      <c r="A40" s="981" t="s">
        <v>1929</v>
      </c>
      <c r="B40" s="982"/>
      <c r="C40" s="984"/>
      <c r="D40" s="1815"/>
      <c r="E40" s="1819">
        <f>-'Contracts Paid in CY 29'!G141</f>
        <v>-1099532</v>
      </c>
      <c r="F40" s="1815"/>
      <c r="G40" s="1819">
        <f>-'Contracts Paid in CY 29'!G141</f>
        <v>-1099532</v>
      </c>
    </row>
    <row r="41" spans="1:7" ht="12" customHeight="1" x14ac:dyDescent="0.2">
      <c r="A41" s="989" t="s">
        <v>158</v>
      </c>
      <c r="B41" s="990"/>
      <c r="C41" s="991"/>
      <c r="D41" s="1819">
        <f>SUM(D19:D39)</f>
        <v>459308</v>
      </c>
      <c r="E41" s="1819">
        <f>SUM(E19:E40)</f>
        <v>14177977</v>
      </c>
      <c r="F41" s="1819">
        <f>SUM(F19:F39)</f>
        <v>2076605</v>
      </c>
      <c r="G41" s="1819">
        <f>SUM(G19:G40)</f>
        <v>12560680</v>
      </c>
    </row>
    <row r="42" spans="1:7" x14ac:dyDescent="0.2">
      <c r="A42" s="978"/>
      <c r="B42" s="162"/>
      <c r="C42" s="992"/>
      <c r="D42" s="2316" t="s">
        <v>542</v>
      </c>
      <c r="E42" s="2317"/>
      <c r="F42" s="993" t="s">
        <v>543</v>
      </c>
      <c r="G42" s="994"/>
    </row>
    <row r="43" spans="1:7" ht="12" customHeight="1" x14ac:dyDescent="0.2">
      <c r="A43" s="978"/>
      <c r="B43" s="162"/>
      <c r="C43" s="992"/>
      <c r="D43" s="1820" t="s">
        <v>492</v>
      </c>
      <c r="E43" s="1821">
        <f>D41</f>
        <v>459308</v>
      </c>
      <c r="F43" s="1820" t="s">
        <v>494</v>
      </c>
      <c r="G43" s="1821">
        <f>F41</f>
        <v>2076605</v>
      </c>
    </row>
    <row r="44" spans="1:7" ht="12" customHeight="1" x14ac:dyDescent="0.2">
      <c r="A44" s="978"/>
      <c r="B44" s="162"/>
      <c r="C44" s="992"/>
      <c r="D44" s="1820" t="s">
        <v>493</v>
      </c>
      <c r="E44" s="1821">
        <f>E41</f>
        <v>14177977</v>
      </c>
      <c r="F44" s="1820" t="s">
        <v>493</v>
      </c>
      <c r="G44" s="1821">
        <f>G41</f>
        <v>12560680</v>
      </c>
    </row>
    <row r="45" spans="1:7" ht="12" customHeight="1" x14ac:dyDescent="0.2">
      <c r="A45" s="978"/>
      <c r="B45" s="162"/>
      <c r="C45" s="162"/>
      <c r="D45" s="1822" t="s">
        <v>1062</v>
      </c>
      <c r="E45" s="1823">
        <f>(E43/E44)</f>
        <v>3.239587707047345E-2</v>
      </c>
      <c r="F45" s="1822" t="s">
        <v>1062</v>
      </c>
      <c r="G45" s="1823">
        <f>(G43/G44)</f>
        <v>0.16532584223147154</v>
      </c>
    </row>
    <row r="46" spans="1:7" x14ac:dyDescent="0.2">
      <c r="A46" s="995"/>
      <c r="B46" s="996"/>
      <c r="C46" s="996"/>
      <c r="D46" s="997"/>
      <c r="E46" s="998"/>
      <c r="F46" s="997"/>
      <c r="G46" s="99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0"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7" activePane="bottomLeft" state="frozen"/>
      <selection activeCell="P51" sqref="P51:P52"/>
      <selection pane="bottomLeft" activeCell="P51" sqref="P51:P52"/>
    </sheetView>
  </sheetViews>
  <sheetFormatPr defaultColWidth="9.140625" defaultRowHeight="12.75" x14ac:dyDescent="0.2"/>
  <cols>
    <col min="1" max="1" width="54.5703125" style="1889" customWidth="1"/>
    <col min="2" max="2" width="4.140625" style="1889" customWidth="1"/>
    <col min="3" max="4" width="9.85546875" style="1860" customWidth="1"/>
    <col min="5" max="5" width="12.5703125" style="1890" customWidth="1"/>
    <col min="6" max="6" width="67.5703125" style="1860" customWidth="1"/>
    <col min="7" max="7" width="9.140625" style="1860" customWidth="1"/>
    <col min="8" max="8" width="5.5703125" style="1891" bestFit="1" customWidth="1"/>
    <col min="9" max="10" width="2" style="1891" bestFit="1" customWidth="1"/>
    <col min="11" max="11" width="9" style="1891" customWidth="1"/>
    <col min="12" max="16384" width="9.140625" style="1860"/>
  </cols>
  <sheetData>
    <row r="1" spans="1:10" x14ac:dyDescent="0.2">
      <c r="A1" s="2324" t="s">
        <v>1445</v>
      </c>
      <c r="B1" s="2324"/>
      <c r="C1" s="2324"/>
      <c r="D1" s="2324"/>
      <c r="E1" s="2324"/>
      <c r="F1" s="2324"/>
    </row>
    <row r="2" spans="1:10" x14ac:dyDescent="0.2">
      <c r="A2" s="1900" t="s">
        <v>2047</v>
      </c>
      <c r="B2" s="1861"/>
      <c r="C2" s="1900"/>
      <c r="D2" s="1861"/>
      <c r="E2" s="1861"/>
      <c r="F2" s="1862"/>
    </row>
    <row r="3" spans="1:10" x14ac:dyDescent="0.2">
      <c r="A3" s="1900" t="s">
        <v>1699</v>
      </c>
      <c r="B3" s="1861"/>
      <c r="C3" s="1900"/>
      <c r="D3" s="1861"/>
      <c r="E3" s="1861"/>
      <c r="F3" s="1862"/>
    </row>
    <row r="4" spans="1:10" ht="3.75" customHeight="1" x14ac:dyDescent="0.2">
      <c r="A4" s="1861"/>
      <c r="B4" s="1861"/>
      <c r="C4" s="1861"/>
      <c r="D4" s="1861"/>
      <c r="E4" s="1861"/>
      <c r="F4" s="1862"/>
    </row>
    <row r="5" spans="1:10" ht="15" x14ac:dyDescent="0.25">
      <c r="A5" s="2325" t="s">
        <v>1626</v>
      </c>
      <c r="B5" s="2326"/>
      <c r="C5" s="2327"/>
      <c r="D5" s="2327"/>
      <c r="E5" s="2327"/>
      <c r="F5" s="2327"/>
    </row>
    <row r="6" spans="1:10" ht="12" customHeight="1" x14ac:dyDescent="0.25">
      <c r="A6" s="1863"/>
      <c r="B6" s="1864"/>
      <c r="C6" s="2328" t="str">
        <f>COVER!A17</f>
        <v>Ottawa Township High School</v>
      </c>
      <c r="D6" s="2328"/>
      <c r="E6" s="2328"/>
      <c r="F6" s="1865"/>
    </row>
    <row r="7" spans="1:10" ht="11.25" customHeight="1" thickBot="1" x14ac:dyDescent="0.3">
      <c r="A7" s="1863"/>
      <c r="B7" s="1864"/>
      <c r="C7" s="2329">
        <f>COVER!A13</f>
        <v>35050140017</v>
      </c>
      <c r="D7" s="2329"/>
      <c r="E7" s="2329"/>
      <c r="F7" s="1865"/>
    </row>
    <row r="8" spans="1:10" ht="25.5" customHeight="1" thickBot="1" x14ac:dyDescent="0.25">
      <c r="A8" s="1906" t="s">
        <v>2024</v>
      </c>
      <c r="B8" s="1866"/>
      <c r="C8" s="1902" t="s">
        <v>1779</v>
      </c>
      <c r="D8" s="1901" t="s">
        <v>1780</v>
      </c>
      <c r="E8" s="1903" t="s">
        <v>1446</v>
      </c>
      <c r="F8" s="1901" t="s">
        <v>1781</v>
      </c>
      <c r="H8" s="1867" t="b">
        <v>0</v>
      </c>
    </row>
    <row r="9" spans="1:10" ht="15.75" customHeight="1" x14ac:dyDescent="0.2">
      <c r="A9" s="1868" t="s">
        <v>1622</v>
      </c>
      <c r="B9" s="1869"/>
      <c r="C9" s="1870"/>
      <c r="D9" s="1870"/>
      <c r="E9" s="1871"/>
      <c r="F9" s="1872"/>
    </row>
    <row r="10" spans="1:10" ht="27.75" customHeight="1" x14ac:dyDescent="0.2">
      <c r="A10" s="1873" t="s">
        <v>1778</v>
      </c>
      <c r="B10" s="1874"/>
      <c r="C10" s="1875"/>
      <c r="D10" s="1875"/>
      <c r="E10" s="1904" t="s">
        <v>1447</v>
      </c>
      <c r="F10" s="1905" t="s">
        <v>1448</v>
      </c>
    </row>
    <row r="11" spans="1:10" ht="12" customHeight="1" x14ac:dyDescent="0.2">
      <c r="A11" s="1876" t="s">
        <v>1449</v>
      </c>
      <c r="B11" s="1877"/>
      <c r="C11" s="1878"/>
      <c r="D11" s="1878"/>
      <c r="E11" s="1879"/>
      <c r="F11" s="1880"/>
      <c r="H11" s="1891">
        <f>IF(C11="X",5,0)</f>
        <v>0</v>
      </c>
      <c r="I11" s="1891">
        <f>IF(D11="X",5,0)</f>
        <v>0</v>
      </c>
      <c r="J11" s="1891">
        <f>IF(E11="X",5,0)</f>
        <v>0</v>
      </c>
    </row>
    <row r="12" spans="1:10" ht="12" customHeight="1" x14ac:dyDescent="0.2">
      <c r="A12" s="1876" t="s">
        <v>1450</v>
      </c>
      <c r="B12" s="1877"/>
      <c r="C12" s="1878"/>
      <c r="D12" s="1878"/>
      <c r="E12" s="1881"/>
      <c r="F12" s="1880"/>
      <c r="H12" s="1891">
        <f t="shared" ref="H12:H33" si="0">IF(C12="X",5,0)</f>
        <v>0</v>
      </c>
      <c r="I12" s="1891">
        <f t="shared" ref="I12:I33" si="1">IF(D12="X",5,0)</f>
        <v>0</v>
      </c>
      <c r="J12" s="1891">
        <f t="shared" ref="J12:J33" si="2">IF(E12="X",5,0)</f>
        <v>0</v>
      </c>
    </row>
    <row r="13" spans="1:10" ht="12" customHeight="1" x14ac:dyDescent="0.2">
      <c r="A13" s="1876" t="s">
        <v>1451</v>
      </c>
      <c r="B13" s="1877"/>
      <c r="C13" s="1964" t="s">
        <v>2089</v>
      </c>
      <c r="D13" s="1964" t="s">
        <v>2089</v>
      </c>
      <c r="E13" s="1966" t="s">
        <v>2089</v>
      </c>
      <c r="F13" s="1965" t="s">
        <v>3405</v>
      </c>
      <c r="H13" s="1891">
        <f t="shared" si="0"/>
        <v>5</v>
      </c>
      <c r="I13" s="1891">
        <f t="shared" si="1"/>
        <v>5</v>
      </c>
      <c r="J13" s="1891">
        <f t="shared" si="2"/>
        <v>5</v>
      </c>
    </row>
    <row r="14" spans="1:10" ht="12" customHeight="1" x14ac:dyDescent="0.2">
      <c r="A14" s="1876" t="s">
        <v>1452</v>
      </c>
      <c r="B14" s="1877"/>
      <c r="C14" s="1964"/>
      <c r="D14" s="1964"/>
      <c r="E14" s="1966"/>
      <c r="F14" s="1965"/>
      <c r="H14" s="1891">
        <f t="shared" si="0"/>
        <v>0</v>
      </c>
      <c r="I14" s="1891">
        <f t="shared" si="1"/>
        <v>0</v>
      </c>
      <c r="J14" s="1891">
        <f t="shared" si="2"/>
        <v>0</v>
      </c>
    </row>
    <row r="15" spans="1:10" ht="12" customHeight="1" x14ac:dyDescent="0.2">
      <c r="A15" s="1876" t="s">
        <v>1453</v>
      </c>
      <c r="B15" s="1877"/>
      <c r="C15" s="1964"/>
      <c r="D15" s="1964"/>
      <c r="E15" s="1966"/>
      <c r="F15" s="1965"/>
      <c r="H15" s="1891">
        <f t="shared" si="0"/>
        <v>0</v>
      </c>
      <c r="I15" s="1891">
        <f t="shared" si="1"/>
        <v>0</v>
      </c>
      <c r="J15" s="1891">
        <f t="shared" si="2"/>
        <v>0</v>
      </c>
    </row>
    <row r="16" spans="1:10" ht="12" customHeight="1" x14ac:dyDescent="0.2">
      <c r="A16" s="1876" t="s">
        <v>1454</v>
      </c>
      <c r="B16" s="1877"/>
      <c r="C16" s="1964"/>
      <c r="D16" s="1964"/>
      <c r="E16" s="1966"/>
      <c r="F16" s="1965"/>
      <c r="H16" s="1891">
        <f t="shared" si="0"/>
        <v>0</v>
      </c>
      <c r="I16" s="1891">
        <f t="shared" si="1"/>
        <v>0</v>
      </c>
      <c r="J16" s="1891">
        <f t="shared" si="2"/>
        <v>0</v>
      </c>
    </row>
    <row r="17" spans="1:12" ht="12" customHeight="1" x14ac:dyDescent="0.2">
      <c r="A17" s="1876" t="s">
        <v>1455</v>
      </c>
      <c r="B17" s="1877"/>
      <c r="C17" s="1964"/>
      <c r="D17" s="1964"/>
      <c r="E17" s="1966"/>
      <c r="F17" s="1965"/>
      <c r="H17" s="1891">
        <f t="shared" si="0"/>
        <v>0</v>
      </c>
      <c r="I17" s="1891">
        <f t="shared" si="1"/>
        <v>0</v>
      </c>
      <c r="J17" s="1891">
        <f t="shared" si="2"/>
        <v>0</v>
      </c>
    </row>
    <row r="18" spans="1:12" ht="12" customHeight="1" x14ac:dyDescent="0.2">
      <c r="A18" s="1876" t="s">
        <v>1456</v>
      </c>
      <c r="B18" s="1877"/>
      <c r="C18" s="1964"/>
      <c r="D18" s="1964"/>
      <c r="E18" s="1966"/>
      <c r="F18" s="1965"/>
      <c r="H18" s="1891">
        <f t="shared" si="0"/>
        <v>0</v>
      </c>
      <c r="I18" s="1891">
        <f t="shared" si="1"/>
        <v>0</v>
      </c>
      <c r="J18" s="1891">
        <f t="shared" si="2"/>
        <v>0</v>
      </c>
    </row>
    <row r="19" spans="1:12" ht="12" customHeight="1" x14ac:dyDescent="0.2">
      <c r="A19" s="1876" t="s">
        <v>1607</v>
      </c>
      <c r="B19" s="1877"/>
      <c r="C19" s="1964" t="s">
        <v>2089</v>
      </c>
      <c r="D19" s="1964" t="s">
        <v>2089</v>
      </c>
      <c r="E19" s="1966" t="s">
        <v>2089</v>
      </c>
      <c r="F19" s="1965" t="s">
        <v>3406</v>
      </c>
      <c r="H19" s="1891">
        <f t="shared" si="0"/>
        <v>5</v>
      </c>
      <c r="I19" s="1891">
        <f t="shared" si="1"/>
        <v>5</v>
      </c>
      <c r="J19" s="1891">
        <f t="shared" si="2"/>
        <v>5</v>
      </c>
    </row>
    <row r="20" spans="1:12" ht="12" customHeight="1" x14ac:dyDescent="0.2">
      <c r="A20" s="1876" t="s">
        <v>1608</v>
      </c>
      <c r="B20" s="1877"/>
      <c r="C20" s="1964"/>
      <c r="D20" s="1964"/>
      <c r="E20" s="1966"/>
      <c r="F20" s="1965"/>
      <c r="H20" s="1891">
        <f t="shared" si="0"/>
        <v>0</v>
      </c>
      <c r="I20" s="1891">
        <f t="shared" si="1"/>
        <v>0</v>
      </c>
      <c r="J20" s="1891">
        <f t="shared" si="2"/>
        <v>0</v>
      </c>
    </row>
    <row r="21" spans="1:12" ht="12" customHeight="1" x14ac:dyDescent="0.2">
      <c r="A21" s="1876" t="s">
        <v>1609</v>
      </c>
      <c r="B21" s="1877"/>
      <c r="C21" s="1964"/>
      <c r="D21" s="1964"/>
      <c r="E21" s="1966"/>
      <c r="F21" s="1965"/>
      <c r="H21" s="1891">
        <f t="shared" si="0"/>
        <v>0</v>
      </c>
      <c r="I21" s="1891">
        <f t="shared" si="1"/>
        <v>0</v>
      </c>
      <c r="J21" s="1891">
        <f t="shared" si="2"/>
        <v>0</v>
      </c>
    </row>
    <row r="22" spans="1:12" ht="12" customHeight="1" x14ac:dyDescent="0.2">
      <c r="A22" s="1876" t="s">
        <v>1610</v>
      </c>
      <c r="B22" s="1877"/>
      <c r="C22" s="1964"/>
      <c r="D22" s="1964"/>
      <c r="E22" s="1966"/>
      <c r="F22" s="1965"/>
      <c r="H22" s="1891">
        <f t="shared" si="0"/>
        <v>0</v>
      </c>
      <c r="I22" s="1891">
        <f t="shared" si="1"/>
        <v>0</v>
      </c>
      <c r="J22" s="1891">
        <f t="shared" si="2"/>
        <v>0</v>
      </c>
    </row>
    <row r="23" spans="1:12" ht="12" customHeight="1" x14ac:dyDescent="0.2">
      <c r="A23" s="1876" t="s">
        <v>1611</v>
      </c>
      <c r="B23" s="1877"/>
      <c r="C23" s="1964"/>
      <c r="D23" s="1964"/>
      <c r="E23" s="1966"/>
      <c r="F23" s="1965"/>
      <c r="H23" s="1891">
        <f t="shared" si="0"/>
        <v>0</v>
      </c>
      <c r="I23" s="1891">
        <f t="shared" si="1"/>
        <v>0</v>
      </c>
      <c r="J23" s="1891">
        <f t="shared" si="2"/>
        <v>0</v>
      </c>
    </row>
    <row r="24" spans="1:12" ht="12" customHeight="1" x14ac:dyDescent="0.2">
      <c r="A24" s="1876" t="s">
        <v>1612</v>
      </c>
      <c r="B24" s="1877"/>
      <c r="C24" s="1964" t="s">
        <v>2089</v>
      </c>
      <c r="D24" s="1964" t="s">
        <v>2089</v>
      </c>
      <c r="E24" s="1966" t="s">
        <v>2089</v>
      </c>
      <c r="F24" s="1965" t="s">
        <v>3407</v>
      </c>
      <c r="H24" s="1891">
        <f t="shared" si="0"/>
        <v>5</v>
      </c>
      <c r="I24" s="1891">
        <f t="shared" si="1"/>
        <v>5</v>
      </c>
      <c r="J24" s="1891">
        <f t="shared" si="2"/>
        <v>5</v>
      </c>
    </row>
    <row r="25" spans="1:12" ht="12" customHeight="1" x14ac:dyDescent="0.2">
      <c r="A25" s="1876" t="s">
        <v>1613</v>
      </c>
      <c r="B25" s="1877"/>
      <c r="C25" s="1964"/>
      <c r="D25" s="1964"/>
      <c r="E25" s="1966"/>
      <c r="F25" s="1965"/>
      <c r="H25" s="1891">
        <f t="shared" si="0"/>
        <v>0</v>
      </c>
      <c r="I25" s="1891">
        <f t="shared" si="1"/>
        <v>0</v>
      </c>
      <c r="J25" s="1891">
        <f t="shared" si="2"/>
        <v>0</v>
      </c>
    </row>
    <row r="26" spans="1:12" ht="12" customHeight="1" x14ac:dyDescent="0.2">
      <c r="A26" s="1876" t="s">
        <v>1614</v>
      </c>
      <c r="B26" s="1877"/>
      <c r="C26" s="1964" t="s">
        <v>2089</v>
      </c>
      <c r="D26" s="1964" t="s">
        <v>2089</v>
      </c>
      <c r="E26" s="1966" t="s">
        <v>2089</v>
      </c>
      <c r="F26" s="1965" t="s">
        <v>3408</v>
      </c>
      <c r="H26" s="1891">
        <f t="shared" si="0"/>
        <v>5</v>
      </c>
      <c r="I26" s="1891">
        <f t="shared" si="1"/>
        <v>5</v>
      </c>
      <c r="J26" s="1891">
        <f t="shared" si="2"/>
        <v>5</v>
      </c>
    </row>
    <row r="27" spans="1:12" x14ac:dyDescent="0.2">
      <c r="A27" s="1876" t="s">
        <v>1615</v>
      </c>
      <c r="B27" s="1877"/>
      <c r="C27" s="1964"/>
      <c r="D27" s="1964"/>
      <c r="E27" s="1966"/>
      <c r="F27" s="1965"/>
      <c r="H27" s="1891">
        <f t="shared" si="0"/>
        <v>0</v>
      </c>
      <c r="I27" s="1891">
        <f t="shared" si="1"/>
        <v>0</v>
      </c>
      <c r="J27" s="1891">
        <f t="shared" si="2"/>
        <v>0</v>
      </c>
    </row>
    <row r="28" spans="1:12" ht="12" customHeight="1" x14ac:dyDescent="0.2">
      <c r="A28" s="1876" t="s">
        <v>1616</v>
      </c>
      <c r="B28" s="1877"/>
      <c r="C28" s="1964"/>
      <c r="D28" s="1964"/>
      <c r="E28" s="1966"/>
      <c r="F28" s="1965"/>
      <c r="H28" s="1891">
        <f t="shared" si="0"/>
        <v>0</v>
      </c>
      <c r="I28" s="1891">
        <f t="shared" si="1"/>
        <v>0</v>
      </c>
      <c r="J28" s="1891">
        <f t="shared" si="2"/>
        <v>0</v>
      </c>
    </row>
    <row r="29" spans="1:12" ht="12" customHeight="1" x14ac:dyDescent="0.2">
      <c r="A29" s="1876" t="s">
        <v>1617</v>
      </c>
      <c r="B29" s="1877"/>
      <c r="C29" s="1964"/>
      <c r="D29" s="1964"/>
      <c r="E29" s="1966"/>
      <c r="F29" s="1965"/>
      <c r="H29" s="1891">
        <f t="shared" si="0"/>
        <v>0</v>
      </c>
      <c r="I29" s="1891">
        <f t="shared" si="1"/>
        <v>0</v>
      </c>
      <c r="J29" s="1891">
        <f t="shared" si="2"/>
        <v>0</v>
      </c>
    </row>
    <row r="30" spans="1:12" ht="12" customHeight="1" x14ac:dyDescent="0.2">
      <c r="A30" s="1876" t="s">
        <v>1618</v>
      </c>
      <c r="B30" s="1877"/>
      <c r="C30" s="1964" t="s">
        <v>2089</v>
      </c>
      <c r="D30" s="1964" t="s">
        <v>2089</v>
      </c>
      <c r="E30" s="1966" t="s">
        <v>2089</v>
      </c>
      <c r="F30" s="1965" t="s">
        <v>3409</v>
      </c>
      <c r="H30" s="1891">
        <f t="shared" si="0"/>
        <v>5</v>
      </c>
      <c r="I30" s="1891">
        <f t="shared" si="1"/>
        <v>5</v>
      </c>
      <c r="J30" s="1891">
        <f t="shared" si="2"/>
        <v>5</v>
      </c>
    </row>
    <row r="31" spans="1:12" ht="12" customHeight="1" x14ac:dyDescent="0.2">
      <c r="A31" s="1876" t="s">
        <v>1619</v>
      </c>
      <c r="B31" s="1877"/>
      <c r="C31" s="1964" t="s">
        <v>2089</v>
      </c>
      <c r="D31" s="1964" t="s">
        <v>2089</v>
      </c>
      <c r="E31" s="1966" t="s">
        <v>2089</v>
      </c>
      <c r="F31" s="1965" t="s">
        <v>3405</v>
      </c>
      <c r="H31" s="1891">
        <f t="shared" si="0"/>
        <v>5</v>
      </c>
      <c r="I31" s="1891">
        <f t="shared" si="1"/>
        <v>5</v>
      </c>
      <c r="J31" s="1891">
        <f t="shared" si="2"/>
        <v>5</v>
      </c>
      <c r="L31" s="1882"/>
    </row>
    <row r="32" spans="1:12" ht="12" customHeight="1" x14ac:dyDescent="0.2">
      <c r="A32" s="1876" t="s">
        <v>1620</v>
      </c>
      <c r="B32" s="1877"/>
      <c r="C32" s="1964" t="s">
        <v>2089</v>
      </c>
      <c r="D32" s="1964" t="s">
        <v>2089</v>
      </c>
      <c r="E32" s="1966" t="s">
        <v>2089</v>
      </c>
      <c r="F32" s="1965" t="s">
        <v>3410</v>
      </c>
      <c r="H32" s="1891">
        <f t="shared" si="0"/>
        <v>5</v>
      </c>
      <c r="I32" s="1891">
        <f t="shared" si="1"/>
        <v>5</v>
      </c>
      <c r="J32" s="1891">
        <f t="shared" si="2"/>
        <v>5</v>
      </c>
    </row>
    <row r="33" spans="1:11" ht="12" customHeight="1" x14ac:dyDescent="0.2">
      <c r="A33" s="1876" t="s">
        <v>1621</v>
      </c>
      <c r="B33" s="1877"/>
      <c r="C33" s="1878"/>
      <c r="D33" s="1878"/>
      <c r="E33" s="1881"/>
      <c r="F33" s="1880"/>
      <c r="H33" s="1891">
        <f t="shared" si="0"/>
        <v>0</v>
      </c>
      <c r="I33" s="1891">
        <f t="shared" si="1"/>
        <v>0</v>
      </c>
      <c r="J33" s="1891">
        <f t="shared" si="2"/>
        <v>0</v>
      </c>
    </row>
    <row r="34" spans="1:11" ht="12" customHeight="1" x14ac:dyDescent="0.25">
      <c r="A34" s="1883"/>
      <c r="B34" s="1883"/>
      <c r="C34" s="1883"/>
      <c r="D34" s="1883"/>
      <c r="E34" s="1883"/>
      <c r="F34" s="1883"/>
      <c r="H34" s="1891">
        <f>SUM(H11:H32)</f>
        <v>35</v>
      </c>
      <c r="I34" s="1891">
        <f>SUM(I11:I32)</f>
        <v>35</v>
      </c>
      <c r="J34" s="1891">
        <f>SUM(J11:J32)</f>
        <v>35</v>
      </c>
      <c r="K34" s="1891">
        <f>SUM(H34:J34)</f>
        <v>105</v>
      </c>
    </row>
    <row r="35" spans="1:11" ht="12" customHeight="1" x14ac:dyDescent="0.2">
      <c r="A35" s="1884" t="s">
        <v>1458</v>
      </c>
      <c r="B35" s="1885"/>
      <c r="C35" s="2330"/>
      <c r="D35" s="2330"/>
      <c r="E35" s="2330"/>
      <c r="F35" s="2331"/>
    </row>
    <row r="36" spans="1:11" ht="12" customHeight="1" x14ac:dyDescent="0.2">
      <c r="A36" s="2321"/>
      <c r="B36" s="2322"/>
      <c r="C36" s="2322"/>
      <c r="D36" s="2322"/>
      <c r="E36" s="2322"/>
      <c r="F36" s="2323"/>
    </row>
    <row r="37" spans="1:11" ht="12" customHeight="1" x14ac:dyDescent="0.2">
      <c r="A37" s="2321"/>
      <c r="B37" s="2322"/>
      <c r="C37" s="2322"/>
      <c r="D37" s="2322"/>
      <c r="E37" s="2322"/>
      <c r="F37" s="2323"/>
    </row>
    <row r="38" spans="1:11" ht="12" customHeight="1" x14ac:dyDescent="0.2">
      <c r="A38" s="2335"/>
      <c r="B38" s="2336"/>
      <c r="C38" s="2336"/>
      <c r="D38" s="2336"/>
      <c r="E38" s="2336"/>
      <c r="F38" s="2337"/>
    </row>
    <row r="39" spans="1:11" ht="4.5" hidden="1" customHeight="1" x14ac:dyDescent="0.2">
      <c r="A39" s="1886"/>
      <c r="B39" s="1886"/>
      <c r="C39" s="1886"/>
      <c r="D39" s="1886"/>
      <c r="E39" s="1886"/>
      <c r="F39" s="1886"/>
    </row>
    <row r="40" spans="1:11" s="1883" customFormat="1" ht="12" customHeight="1" x14ac:dyDescent="0.25">
      <c r="A40" s="1887" t="s">
        <v>1457</v>
      </c>
      <c r="B40" s="1888"/>
      <c r="C40" s="2338"/>
      <c r="D40" s="2338"/>
      <c r="E40" s="2338"/>
      <c r="F40" s="2339"/>
      <c r="H40" s="1892"/>
      <c r="I40" s="1892"/>
      <c r="J40" s="1892"/>
      <c r="K40" s="1892"/>
    </row>
    <row r="41" spans="1:11" s="1883" customFormat="1" ht="12" customHeight="1" x14ac:dyDescent="0.25">
      <c r="A41" s="2340"/>
      <c r="B41" s="2341"/>
      <c r="C41" s="2341"/>
      <c r="D41" s="2341"/>
      <c r="E41" s="2341"/>
      <c r="F41" s="2342"/>
      <c r="H41" s="1892"/>
      <c r="I41" s="1892"/>
      <c r="J41" s="1892"/>
      <c r="K41" s="1892"/>
    </row>
    <row r="42" spans="1:11" s="1883" customFormat="1" ht="12" customHeight="1" x14ac:dyDescent="0.25">
      <c r="A42" s="2340"/>
      <c r="B42" s="2341"/>
      <c r="C42" s="2341"/>
      <c r="D42" s="2341"/>
      <c r="E42" s="2341"/>
      <c r="F42" s="2342"/>
      <c r="H42" s="1892"/>
      <c r="I42" s="1892"/>
      <c r="J42" s="1892"/>
      <c r="K42" s="1892"/>
    </row>
    <row r="43" spans="1:11" s="1883" customFormat="1" ht="15" x14ac:dyDescent="0.25">
      <c r="A43" s="2332"/>
      <c r="B43" s="2333"/>
      <c r="C43" s="2333"/>
      <c r="D43" s="2333"/>
      <c r="E43" s="2333"/>
      <c r="F43" s="2334"/>
      <c r="H43" s="1892"/>
      <c r="I43" s="1892"/>
      <c r="J43" s="1892"/>
      <c r="K43" s="1892"/>
    </row>
    <row r="44" spans="1:11" s="1883" customFormat="1" ht="12" hidden="1" customHeight="1" x14ac:dyDescent="0.25">
      <c r="A44" s="2332"/>
      <c r="B44" s="2333"/>
      <c r="C44" s="2333"/>
      <c r="D44" s="2333"/>
      <c r="E44" s="2333"/>
      <c r="F44" s="2334"/>
      <c r="H44" s="1892"/>
      <c r="I44" s="1892"/>
      <c r="J44" s="1892"/>
      <c r="K44" s="1892"/>
    </row>
    <row r="45" spans="1:11" s="1883" customFormat="1" ht="12" customHeight="1" x14ac:dyDescent="0.25">
      <c r="H45" s="1892"/>
      <c r="I45" s="1892"/>
      <c r="J45" s="1892"/>
      <c r="K45" s="1892"/>
    </row>
    <row r="46" spans="1:11" s="1883" customFormat="1" ht="9.75" customHeight="1" x14ac:dyDescent="0.25">
      <c r="H46" s="1892"/>
      <c r="I46" s="1892"/>
      <c r="J46" s="1892"/>
      <c r="K46" s="1892"/>
    </row>
    <row r="47" spans="1:11" s="1883" customFormat="1" ht="13.5" customHeight="1" x14ac:dyDescent="0.25">
      <c r="H47" s="1892"/>
      <c r="I47" s="1892"/>
      <c r="J47" s="1892"/>
      <c r="K47" s="1892"/>
    </row>
    <row r="48" spans="1:11" s="1883" customFormat="1" ht="15" x14ac:dyDescent="0.25">
      <c r="H48" s="1892"/>
      <c r="I48" s="1892"/>
      <c r="J48" s="1892"/>
      <c r="K48" s="1892"/>
    </row>
    <row r="49" spans="1:11" s="1883" customFormat="1" ht="15" hidden="1" x14ac:dyDescent="0.25">
      <c r="A49" s="1883" t="b">
        <v>0</v>
      </c>
      <c r="H49" s="1892"/>
      <c r="I49" s="1892"/>
      <c r="J49" s="1892"/>
      <c r="K49" s="1892"/>
    </row>
    <row r="50" spans="1:11" s="1883" customFormat="1" ht="15" x14ac:dyDescent="0.25">
      <c r="H50" s="1892"/>
      <c r="I50" s="1892"/>
      <c r="J50" s="1892"/>
      <c r="K50" s="1892"/>
    </row>
    <row r="51" spans="1:11" s="1883" customFormat="1" ht="15" x14ac:dyDescent="0.25">
      <c r="H51" s="1892"/>
      <c r="I51" s="1892"/>
      <c r="J51" s="1892"/>
      <c r="K51" s="1892"/>
    </row>
    <row r="52" spans="1:11" s="1883" customFormat="1" ht="15" x14ac:dyDescent="0.25">
      <c r="H52" s="1892"/>
      <c r="I52" s="1892"/>
      <c r="J52" s="1892"/>
      <c r="K52" s="1892"/>
    </row>
    <row r="53" spans="1:11" s="1883" customFormat="1" ht="15" x14ac:dyDescent="0.25">
      <c r="H53" s="1892"/>
      <c r="I53" s="1892"/>
      <c r="J53" s="1892"/>
      <c r="K53" s="1892"/>
    </row>
    <row r="54" spans="1:11" s="1883" customFormat="1" ht="15" x14ac:dyDescent="0.25">
      <c r="H54" s="1892"/>
      <c r="I54" s="1892"/>
      <c r="J54" s="1892"/>
      <c r="K54" s="1892"/>
    </row>
    <row r="55" spans="1:11" s="1883" customFormat="1" ht="15" x14ac:dyDescent="0.25">
      <c r="H55" s="1892"/>
      <c r="I55" s="1892"/>
      <c r="J55" s="1892"/>
      <c r="K55" s="1892"/>
    </row>
    <row r="56" spans="1:11" s="1883" customFormat="1" ht="15" x14ac:dyDescent="0.25">
      <c r="H56" s="1892"/>
      <c r="I56" s="1892"/>
      <c r="J56" s="1892"/>
      <c r="K56" s="1892"/>
    </row>
    <row r="57" spans="1:11" s="1883" customFormat="1" ht="15" x14ac:dyDescent="0.25">
      <c r="H57" s="1892"/>
      <c r="I57" s="1892"/>
      <c r="J57" s="1892"/>
      <c r="K57" s="1892"/>
    </row>
    <row r="58" spans="1:11" s="1883" customFormat="1" ht="15" x14ac:dyDescent="0.25">
      <c r="H58" s="1892"/>
      <c r="I58" s="1892"/>
      <c r="J58" s="1892"/>
      <c r="K58" s="1892"/>
    </row>
    <row r="59" spans="1:11" s="1883" customFormat="1" ht="15" x14ac:dyDescent="0.25">
      <c r="H59" s="1892"/>
      <c r="I59" s="1892"/>
      <c r="J59" s="1892"/>
      <c r="K59" s="1892"/>
    </row>
    <row r="60" spans="1:11" s="1883" customFormat="1" ht="15" x14ac:dyDescent="0.25">
      <c r="H60" s="1892"/>
      <c r="I60" s="1892"/>
      <c r="J60" s="1892"/>
      <c r="K60" s="1892"/>
    </row>
    <row r="61" spans="1:11" s="1883" customFormat="1" ht="15" x14ac:dyDescent="0.25">
      <c r="H61" s="1892"/>
      <c r="I61" s="1892"/>
      <c r="J61" s="1892"/>
      <c r="K61" s="1892"/>
    </row>
    <row r="62" spans="1:11" s="1883" customFormat="1" ht="15" x14ac:dyDescent="0.25">
      <c r="H62" s="1892"/>
      <c r="I62" s="1892"/>
      <c r="J62" s="1892"/>
      <c r="K62" s="1892"/>
    </row>
    <row r="63" spans="1:11" s="1883" customFormat="1" ht="15" x14ac:dyDescent="0.25">
      <c r="H63" s="1892"/>
      <c r="I63" s="1892"/>
      <c r="J63" s="1892"/>
      <c r="K63" s="1892"/>
    </row>
    <row r="64" spans="1:11" s="1883" customFormat="1" ht="15" x14ac:dyDescent="0.25">
      <c r="H64" s="1892"/>
      <c r="I64" s="1892"/>
      <c r="J64" s="1892"/>
      <c r="K64" s="1892"/>
    </row>
    <row r="65" spans="8:11" s="1883" customFormat="1" ht="15" x14ac:dyDescent="0.25">
      <c r="H65" s="1892"/>
      <c r="I65" s="1892"/>
      <c r="J65" s="1892"/>
      <c r="K65" s="1892"/>
    </row>
    <row r="66" spans="8:11" s="1883" customFormat="1" ht="15" x14ac:dyDescent="0.25">
      <c r="H66" s="1892"/>
      <c r="I66" s="1892"/>
      <c r="J66" s="1892"/>
      <c r="K66" s="1892"/>
    </row>
    <row r="67" spans="8:11" s="1883" customFormat="1" ht="15" x14ac:dyDescent="0.25">
      <c r="H67" s="1892"/>
      <c r="I67" s="1892"/>
      <c r="J67" s="1892"/>
      <c r="K67" s="1892"/>
    </row>
    <row r="68" spans="8:11" s="1883" customFormat="1" ht="15" x14ac:dyDescent="0.25">
      <c r="H68" s="1892"/>
      <c r="I68" s="1892"/>
      <c r="J68" s="1892"/>
      <c r="K68" s="1892"/>
    </row>
    <row r="69" spans="8:11" s="1883" customFormat="1" ht="15" x14ac:dyDescent="0.25">
      <c r="H69" s="1892"/>
      <c r="I69" s="1892"/>
      <c r="J69" s="1892"/>
      <c r="K69" s="1892"/>
    </row>
    <row r="70" spans="8:11" s="1883" customFormat="1" ht="15" x14ac:dyDescent="0.25">
      <c r="H70" s="1892"/>
      <c r="I70" s="1892"/>
      <c r="J70" s="1892"/>
      <c r="K70" s="1892"/>
    </row>
    <row r="71" spans="8:11" s="1883" customFormat="1" ht="15" x14ac:dyDescent="0.25">
      <c r="H71" s="1892"/>
      <c r="I71" s="1892"/>
      <c r="J71" s="1892"/>
      <c r="K71" s="1892"/>
    </row>
    <row r="72" spans="8:11" s="1883" customFormat="1" ht="15" x14ac:dyDescent="0.25">
      <c r="H72" s="1892"/>
      <c r="I72" s="1892"/>
      <c r="J72" s="1892"/>
      <c r="K72" s="1892"/>
    </row>
    <row r="73" spans="8:11" s="1883" customFormat="1" ht="15" x14ac:dyDescent="0.25">
      <c r="H73" s="1892"/>
      <c r="I73" s="1892"/>
      <c r="J73" s="1892"/>
      <c r="K73" s="1892"/>
    </row>
    <row r="74" spans="8:11" s="1883" customFormat="1" ht="15" x14ac:dyDescent="0.25">
      <c r="H74" s="1892"/>
      <c r="I74" s="1892"/>
      <c r="J74" s="1892"/>
      <c r="K74" s="1892"/>
    </row>
    <row r="75" spans="8:11" s="1883" customFormat="1" ht="15" x14ac:dyDescent="0.25">
      <c r="H75" s="1892"/>
      <c r="I75" s="1892"/>
      <c r="J75" s="1892"/>
      <c r="K75" s="1892"/>
    </row>
    <row r="76" spans="8:11" s="1883" customFormat="1" ht="15" x14ac:dyDescent="0.25">
      <c r="H76" s="1892"/>
      <c r="I76" s="1892"/>
      <c r="J76" s="1892"/>
      <c r="K76" s="1892"/>
    </row>
    <row r="77" spans="8:11" s="1883" customFormat="1" ht="15" x14ac:dyDescent="0.25">
      <c r="H77" s="1892"/>
      <c r="I77" s="1892"/>
      <c r="J77" s="1892"/>
      <c r="K77" s="1892"/>
    </row>
    <row r="78" spans="8:11" s="1883" customFormat="1" ht="15" x14ac:dyDescent="0.25">
      <c r="H78" s="1892"/>
      <c r="I78" s="1892"/>
      <c r="J78" s="1892"/>
      <c r="K78" s="1892"/>
    </row>
    <row r="79" spans="8:11" s="1883" customFormat="1" ht="15" x14ac:dyDescent="0.25">
      <c r="H79" s="1892"/>
      <c r="I79" s="1892"/>
      <c r="J79" s="1892"/>
      <c r="K79" s="1892"/>
    </row>
    <row r="80" spans="8:11" s="1883" customFormat="1" ht="15" x14ac:dyDescent="0.25">
      <c r="H80" s="1892"/>
      <c r="I80" s="1892"/>
      <c r="J80" s="1892"/>
      <c r="K80" s="1892"/>
    </row>
    <row r="81" spans="8:11" s="1883" customFormat="1" ht="15" x14ac:dyDescent="0.25">
      <c r="H81" s="1892"/>
      <c r="I81" s="1892"/>
      <c r="J81" s="1892"/>
      <c r="K81" s="1892"/>
    </row>
    <row r="82" spans="8:11" s="1883" customFormat="1" ht="15" x14ac:dyDescent="0.25">
      <c r="H82" s="1892"/>
      <c r="I82" s="1892"/>
      <c r="J82" s="1892"/>
      <c r="K82" s="1892"/>
    </row>
    <row r="83" spans="8:11" s="1883" customFormat="1" ht="15" x14ac:dyDescent="0.25">
      <c r="H83" s="1892"/>
      <c r="I83" s="1892"/>
      <c r="J83" s="1892"/>
      <c r="K83" s="1892"/>
    </row>
    <row r="84" spans="8:11" s="1883" customFormat="1" ht="15" x14ac:dyDescent="0.25">
      <c r="H84" s="1892"/>
      <c r="I84" s="1892"/>
      <c r="J84" s="1892"/>
      <c r="K84" s="1892"/>
    </row>
    <row r="85" spans="8:11" s="1883" customFormat="1" ht="15" x14ac:dyDescent="0.25">
      <c r="H85" s="1892"/>
      <c r="I85" s="1892"/>
      <c r="J85" s="1892"/>
      <c r="K85" s="1892"/>
    </row>
    <row r="86" spans="8:11" s="1883" customFormat="1" ht="15" x14ac:dyDescent="0.25">
      <c r="H86" s="1892"/>
      <c r="I86" s="1892"/>
      <c r="J86" s="1892"/>
      <c r="K86" s="1892"/>
    </row>
    <row r="87" spans="8:11" s="1883" customFormat="1" ht="15" x14ac:dyDescent="0.25">
      <c r="H87" s="1892"/>
      <c r="I87" s="1892"/>
      <c r="J87" s="1892"/>
      <c r="K87" s="1892"/>
    </row>
    <row r="88" spans="8:11" s="1883" customFormat="1" ht="15" x14ac:dyDescent="0.25">
      <c r="H88" s="1892"/>
      <c r="I88" s="1892"/>
      <c r="J88" s="1892"/>
      <c r="K88" s="1892"/>
    </row>
    <row r="89" spans="8:11" s="1883" customFormat="1" ht="15" x14ac:dyDescent="0.25">
      <c r="H89" s="1892"/>
      <c r="I89" s="1892"/>
      <c r="J89" s="1892"/>
      <c r="K89" s="1892"/>
    </row>
    <row r="90" spans="8:11" s="1883" customFormat="1" ht="15" x14ac:dyDescent="0.25">
      <c r="H90" s="1892"/>
      <c r="I90" s="1892"/>
      <c r="J90" s="1892"/>
      <c r="K90" s="1892"/>
    </row>
    <row r="91" spans="8:11" s="1883" customFormat="1" ht="15" x14ac:dyDescent="0.25">
      <c r="H91" s="1892"/>
      <c r="I91" s="1892"/>
      <c r="J91" s="1892"/>
      <c r="K91" s="1892"/>
    </row>
    <row r="92" spans="8:11" s="1883" customFormat="1" ht="15" x14ac:dyDescent="0.25">
      <c r="H92" s="1892"/>
      <c r="I92" s="1892"/>
      <c r="J92" s="1892"/>
      <c r="K92" s="1892"/>
    </row>
    <row r="93" spans="8:11" s="1883" customFormat="1" ht="15" x14ac:dyDescent="0.25">
      <c r="H93" s="1892"/>
      <c r="I93" s="1892"/>
      <c r="J93" s="1892"/>
      <c r="K93" s="1892"/>
    </row>
    <row r="94" spans="8:11" s="1883" customFormat="1" ht="15" x14ac:dyDescent="0.25">
      <c r="H94" s="1892"/>
      <c r="I94" s="1892"/>
      <c r="J94" s="1892"/>
      <c r="K94" s="1892"/>
    </row>
    <row r="95" spans="8:11" s="1883" customFormat="1" ht="15" x14ac:dyDescent="0.25">
      <c r="H95" s="1892"/>
      <c r="I95" s="1892"/>
      <c r="J95" s="1892"/>
      <c r="K95" s="1892"/>
    </row>
    <row r="96" spans="8:11" s="1883" customFormat="1" ht="15" x14ac:dyDescent="0.25">
      <c r="H96" s="1892"/>
      <c r="I96" s="1892"/>
      <c r="J96" s="1892"/>
      <c r="K96" s="1892"/>
    </row>
    <row r="97" spans="8:11" s="1883" customFormat="1" ht="15" x14ac:dyDescent="0.25">
      <c r="H97" s="1892"/>
      <c r="I97" s="1892"/>
      <c r="J97" s="1892"/>
      <c r="K97" s="1892"/>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P51" sqref="P51:P52"/>
    </sheetView>
  </sheetViews>
  <sheetFormatPr defaultColWidth="9.140625" defaultRowHeight="12.75" x14ac:dyDescent="0.2"/>
  <cols>
    <col min="1" max="1" width="3" style="1001" customWidth="1"/>
    <col min="2" max="2" width="2.7109375" style="1001" customWidth="1"/>
    <col min="3" max="3" width="38.5703125" style="1001" customWidth="1"/>
    <col min="4" max="4" width="6.42578125" style="1001" customWidth="1"/>
    <col min="5" max="10" width="15.7109375" style="1001" customWidth="1"/>
    <col min="11" max="14" width="4.7109375" style="1001" customWidth="1"/>
    <col min="15" max="16384" width="9.140625" style="1001"/>
  </cols>
  <sheetData>
    <row r="1" spans="1:17" ht="11.85" customHeight="1" x14ac:dyDescent="0.2">
      <c r="A1" s="999"/>
      <c r="B1" s="1000"/>
      <c r="E1" s="1002"/>
      <c r="F1" s="1003" t="s">
        <v>424</v>
      </c>
      <c r="G1" s="1004"/>
    </row>
    <row r="2" spans="1:17" ht="11.85" customHeight="1" x14ac:dyDescent="0.2">
      <c r="A2" s="999"/>
      <c r="B2" s="1000"/>
      <c r="E2" s="1002"/>
      <c r="F2" s="1005" t="s">
        <v>307</v>
      </c>
      <c r="G2" s="1004"/>
    </row>
    <row r="3" spans="1:17" ht="11.85" customHeight="1" x14ac:dyDescent="0.2">
      <c r="E3" s="1002"/>
      <c r="F3" s="1005" t="s">
        <v>425</v>
      </c>
      <c r="G3" s="1002"/>
    </row>
    <row r="4" spans="1:17" ht="11.85" customHeight="1" x14ac:dyDescent="0.2">
      <c r="E4" s="1002"/>
      <c r="F4" s="1005" t="s">
        <v>922</v>
      </c>
      <c r="G4" s="1002"/>
    </row>
    <row r="5" spans="1:17" ht="12.2" customHeight="1" x14ac:dyDescent="0.2">
      <c r="F5" s="1005"/>
    </row>
    <row r="6" spans="1:17" x14ac:dyDescent="0.2">
      <c r="A6" s="1907" t="s">
        <v>692</v>
      </c>
      <c r="B6" s="1654"/>
      <c r="C6" s="1654"/>
      <c r="D6" s="1654"/>
      <c r="E6" s="1655"/>
      <c r="F6" s="1006"/>
      <c r="G6" s="1000"/>
      <c r="H6" s="1007" t="s">
        <v>1085</v>
      </c>
      <c r="I6" s="2348" t="str">
        <f>COVER!A17</f>
        <v>Ottawa Township High School</v>
      </c>
      <c r="J6" s="2349"/>
      <c r="Q6" s="1676"/>
    </row>
    <row r="7" spans="1:17" x14ac:dyDescent="0.2">
      <c r="A7" s="2350" t="s">
        <v>923</v>
      </c>
      <c r="B7" s="2351"/>
      <c r="C7" s="2351"/>
      <c r="D7" s="2351"/>
      <c r="E7" s="2352"/>
      <c r="F7" s="1008"/>
      <c r="G7" s="1000"/>
      <c r="H7" s="1007" t="s">
        <v>389</v>
      </c>
      <c r="I7" s="2353">
        <f>COVER!A13</f>
        <v>35050140017</v>
      </c>
      <c r="J7" s="2353"/>
    </row>
    <row r="8" spans="1:17" ht="8.25" customHeight="1" x14ac:dyDescent="0.2">
      <c r="A8" s="1656"/>
      <c r="B8" s="1657"/>
      <c r="C8" s="1657"/>
      <c r="D8" s="1657"/>
      <c r="E8" s="1658"/>
      <c r="F8" s="1009"/>
      <c r="G8" s="1010"/>
      <c r="H8" s="1010"/>
      <c r="I8" s="1010"/>
      <c r="J8" s="1010"/>
    </row>
    <row r="9" spans="1:17" ht="13.5" customHeight="1" x14ac:dyDescent="0.2">
      <c r="A9" s="1011"/>
      <c r="B9" s="1012"/>
      <c r="C9" s="1012"/>
      <c r="D9" s="1013"/>
      <c r="E9" s="1908" t="s">
        <v>1700</v>
      </c>
      <c r="F9" s="1014"/>
      <c r="G9" s="1014"/>
      <c r="H9" s="1909" t="s">
        <v>1701</v>
      </c>
      <c r="I9" s="1014"/>
      <c r="J9" s="1015"/>
    </row>
    <row r="10" spans="1:17" s="1023" customFormat="1" ht="13.5" customHeight="1" x14ac:dyDescent="0.2">
      <c r="A10" s="1016"/>
      <c r="B10" s="1017"/>
      <c r="C10" s="1018"/>
      <c r="D10" s="1019"/>
      <c r="E10" s="1020" t="s">
        <v>444</v>
      </c>
      <c r="F10" s="1021" t="s">
        <v>445</v>
      </c>
      <c r="G10" s="1022"/>
      <c r="H10" s="1021" t="s">
        <v>444</v>
      </c>
      <c r="I10" s="1021" t="s">
        <v>445</v>
      </c>
      <c r="J10" s="1021"/>
    </row>
    <row r="11" spans="1:17" s="1023" customFormat="1" ht="22.5" x14ac:dyDescent="0.2">
      <c r="A11" s="2354" t="s">
        <v>501</v>
      </c>
      <c r="B11" s="2355"/>
      <c r="C11" s="2356"/>
      <c r="D11" s="1024" t="s">
        <v>925</v>
      </c>
      <c r="E11" s="1024" t="s">
        <v>66</v>
      </c>
      <c r="F11" s="1024" t="s">
        <v>6</v>
      </c>
      <c r="G11" s="1025" t="s">
        <v>158</v>
      </c>
      <c r="H11" s="1025" t="s">
        <v>66</v>
      </c>
      <c r="I11" s="1024" t="s">
        <v>6</v>
      </c>
      <c r="J11" s="1025" t="s">
        <v>158</v>
      </c>
    </row>
    <row r="12" spans="1:17" ht="15" customHeight="1" x14ac:dyDescent="0.2">
      <c r="A12" s="1026">
        <v>1</v>
      </c>
      <c r="B12" s="1027" t="s">
        <v>871</v>
      </c>
      <c r="C12" s="1028"/>
      <c r="D12" s="1029">
        <v>2320</v>
      </c>
      <c r="E12" s="1824">
        <f>'Expenditures 15-22'!K50</f>
        <v>222564</v>
      </c>
      <c r="F12" s="1030"/>
      <c r="G12" s="1824">
        <f t="shared" ref="G12:G18" si="0">SUM(E12:F12)</f>
        <v>222564</v>
      </c>
      <c r="H12" s="1031">
        <v>229320</v>
      </c>
      <c r="I12" s="1030"/>
      <c r="J12" s="1824">
        <f t="shared" ref="J12:J18" si="1">SUM(H12:I12)</f>
        <v>229320</v>
      </c>
    </row>
    <row r="13" spans="1:17" ht="15" customHeight="1" x14ac:dyDescent="0.2">
      <c r="A13" s="1026">
        <v>2</v>
      </c>
      <c r="B13" s="1027" t="s">
        <v>44</v>
      </c>
      <c r="C13" s="1028"/>
      <c r="D13" s="1029">
        <v>2330</v>
      </c>
      <c r="E13" s="1824">
        <f>'Expenditures 15-22'!K51</f>
        <v>0</v>
      </c>
      <c r="F13" s="1030"/>
      <c r="G13" s="1824">
        <f t="shared" si="0"/>
        <v>0</v>
      </c>
      <c r="H13" s="1031"/>
      <c r="I13" s="1030"/>
      <c r="J13" s="1824">
        <f t="shared" si="1"/>
        <v>0</v>
      </c>
    </row>
    <row r="14" spans="1:17" ht="15" customHeight="1" x14ac:dyDescent="0.2">
      <c r="A14" s="1026">
        <v>3</v>
      </c>
      <c r="B14" s="1027" t="s">
        <v>45</v>
      </c>
      <c r="C14" s="1028"/>
      <c r="D14" s="1032">
        <v>2490</v>
      </c>
      <c r="E14" s="1824">
        <f>'Expenditures 15-22'!K56</f>
        <v>0</v>
      </c>
      <c r="F14" s="1030"/>
      <c r="G14" s="1824">
        <f t="shared" si="0"/>
        <v>0</v>
      </c>
      <c r="H14" s="1031"/>
      <c r="I14" s="1030"/>
      <c r="J14" s="1824">
        <f t="shared" si="1"/>
        <v>0</v>
      </c>
    </row>
    <row r="15" spans="1:17" ht="15" customHeight="1" x14ac:dyDescent="0.2">
      <c r="A15" s="1026">
        <v>4</v>
      </c>
      <c r="B15" s="1027" t="s">
        <v>1127</v>
      </c>
      <c r="C15" s="1028"/>
      <c r="D15" s="1029">
        <v>2510</v>
      </c>
      <c r="E15" s="1824">
        <f>'Expenditures 15-22'!K59</f>
        <v>0</v>
      </c>
      <c r="F15" s="1824">
        <f>'Expenditures 15-22'!K122</f>
        <v>0</v>
      </c>
      <c r="G15" s="1824">
        <f t="shared" si="0"/>
        <v>0</v>
      </c>
      <c r="H15" s="1031"/>
      <c r="I15" s="1031"/>
      <c r="J15" s="1824">
        <f t="shared" si="1"/>
        <v>0</v>
      </c>
    </row>
    <row r="16" spans="1:17" ht="15" customHeight="1" x14ac:dyDescent="0.2">
      <c r="A16" s="1026">
        <v>5</v>
      </c>
      <c r="B16" s="1027" t="s">
        <v>103</v>
      </c>
      <c r="C16" s="1028"/>
      <c r="D16" s="1029">
        <v>2570</v>
      </c>
      <c r="E16" s="1824">
        <f>'Expenditures 15-22'!K64</f>
        <v>0</v>
      </c>
      <c r="F16" s="1030"/>
      <c r="G16" s="1824">
        <f t="shared" si="0"/>
        <v>0</v>
      </c>
      <c r="H16" s="1031"/>
      <c r="I16" s="1030"/>
      <c r="J16" s="1824">
        <f t="shared" si="1"/>
        <v>0</v>
      </c>
    </row>
    <row r="17" spans="1:10" ht="15" customHeight="1" x14ac:dyDescent="0.2">
      <c r="A17" s="1026">
        <v>6</v>
      </c>
      <c r="B17" s="1027" t="s">
        <v>1119</v>
      </c>
      <c r="C17" s="1028"/>
      <c r="D17" s="1029">
        <v>2610</v>
      </c>
      <c r="E17" s="1824">
        <f>'Expenditures 15-22'!K67</f>
        <v>0</v>
      </c>
      <c r="F17" s="1030"/>
      <c r="G17" s="1824">
        <f t="shared" si="0"/>
        <v>0</v>
      </c>
      <c r="H17" s="1031"/>
      <c r="I17" s="1030"/>
      <c r="J17" s="1824">
        <f t="shared" si="1"/>
        <v>0</v>
      </c>
    </row>
    <row r="18" spans="1:10" ht="22.5" customHeight="1" x14ac:dyDescent="0.2">
      <c r="A18" s="1033">
        <v>7</v>
      </c>
      <c r="B18" s="2357" t="s">
        <v>7</v>
      </c>
      <c r="C18" s="2358"/>
      <c r="D18" s="2359"/>
      <c r="E18" s="1034"/>
      <c r="F18" s="1034"/>
      <c r="G18" s="1825">
        <f t="shared" si="0"/>
        <v>0</v>
      </c>
      <c r="H18" s="1031"/>
      <c r="I18" s="1031"/>
      <c r="J18" s="1824">
        <f t="shared" si="1"/>
        <v>0</v>
      </c>
    </row>
    <row r="19" spans="1:10" ht="12.75" customHeight="1" thickBot="1" x14ac:dyDescent="0.25">
      <c r="A19" s="1026">
        <v>8</v>
      </c>
      <c r="B19" s="1035" t="s">
        <v>1222</v>
      </c>
      <c r="D19" s="1036"/>
      <c r="E19" s="1826">
        <f t="shared" ref="E19:J19" si="2">SUM(E12:E17)-E18</f>
        <v>222564</v>
      </c>
      <c r="F19" s="1826">
        <f t="shared" si="2"/>
        <v>0</v>
      </c>
      <c r="G19" s="1826">
        <f t="shared" si="2"/>
        <v>222564</v>
      </c>
      <c r="H19" s="1826">
        <f t="shared" si="2"/>
        <v>229320</v>
      </c>
      <c r="I19" s="1826">
        <f t="shared" si="2"/>
        <v>0</v>
      </c>
      <c r="J19" s="1826">
        <f t="shared" si="2"/>
        <v>229320</v>
      </c>
    </row>
    <row r="20" spans="1:10" ht="13.5" thickTop="1" x14ac:dyDescent="0.2">
      <c r="A20" s="1026">
        <v>9</v>
      </c>
      <c r="B20" s="2360" t="s">
        <v>1702</v>
      </c>
      <c r="C20" s="2360"/>
      <c r="D20" s="2361"/>
      <c r="E20" s="1037"/>
      <c r="F20" s="1037"/>
      <c r="G20" s="1037"/>
      <c r="H20" s="1037"/>
      <c r="I20" s="1037"/>
      <c r="J20" s="1827">
        <f>IF(AND(G19&gt;0,J19&gt;0),(((J19-G19)/G19)),"Enter Budget Data")</f>
        <v>3.0355313527794251E-2</v>
      </c>
    </row>
    <row r="21" spans="1:10" ht="9" customHeight="1" x14ac:dyDescent="0.2">
      <c r="B21" s="1038"/>
    </row>
    <row r="22" spans="1:10" x14ac:dyDescent="0.2">
      <c r="A22" s="1039" t="s">
        <v>135</v>
      </c>
      <c r="B22" s="1038"/>
    </row>
    <row r="23" spans="1:10" x14ac:dyDescent="0.2">
      <c r="A23" s="1002" t="s">
        <v>1703</v>
      </c>
      <c r="B23" s="1038"/>
    </row>
    <row r="24" spans="1:10" x14ac:dyDescent="0.2">
      <c r="A24" s="1002" t="s">
        <v>1704</v>
      </c>
      <c r="B24" s="1038"/>
    </row>
    <row r="25" spans="1:10" x14ac:dyDescent="0.2">
      <c r="A25" s="1040"/>
      <c r="B25" s="1038"/>
    </row>
    <row r="26" spans="1:10" ht="20.100000000000001" customHeight="1" x14ac:dyDescent="0.2">
      <c r="B26" s="1038"/>
      <c r="C26" s="2366"/>
      <c r="D26" s="2366"/>
      <c r="E26" s="1041"/>
      <c r="F26" s="2365"/>
      <c r="G26" s="2365"/>
    </row>
    <row r="27" spans="1:10" x14ac:dyDescent="0.2">
      <c r="B27" s="1038"/>
      <c r="C27" s="1042" t="s">
        <v>1092</v>
      </c>
      <c r="D27" s="1043"/>
      <c r="E27" s="1044"/>
      <c r="F27" s="2362" t="s">
        <v>1588</v>
      </c>
      <c r="G27" s="2362"/>
    </row>
    <row r="28" spans="1:10" ht="28.5" customHeight="1" x14ac:dyDescent="0.2">
      <c r="B28" s="1038"/>
      <c r="C28" s="2364"/>
      <c r="D28" s="2364"/>
      <c r="E28" s="1045"/>
      <c r="F28" s="2364"/>
      <c r="G28" s="2364"/>
    </row>
    <row r="29" spans="1:10" x14ac:dyDescent="0.2">
      <c r="B29" s="1038"/>
      <c r="C29" s="1046" t="s">
        <v>1641</v>
      </c>
      <c r="E29" s="1047"/>
      <c r="F29" s="2363" t="s">
        <v>1589</v>
      </c>
      <c r="G29" s="2363"/>
    </row>
    <row r="30" spans="1:10" ht="9" customHeight="1" x14ac:dyDescent="0.2">
      <c r="B30" s="1038"/>
      <c r="C30" s="1048"/>
      <c r="E30" s="1049"/>
      <c r="F30" s="1050"/>
      <c r="G30" s="1050"/>
    </row>
    <row r="31" spans="1:10" ht="15" customHeight="1" x14ac:dyDescent="0.2">
      <c r="A31" s="1002"/>
      <c r="B31" s="1051" t="s">
        <v>1093</v>
      </c>
    </row>
    <row r="32" spans="1:10" ht="9" customHeight="1" x14ac:dyDescent="0.2">
      <c r="A32" s="1002"/>
      <c r="B32" s="1039"/>
    </row>
    <row r="33" spans="1:10" ht="12.75" customHeight="1" x14ac:dyDescent="0.2">
      <c r="A33" s="1002"/>
      <c r="B33" s="1052"/>
      <c r="C33" s="2345" t="s">
        <v>134</v>
      </c>
      <c r="D33" s="2346"/>
      <c r="E33" s="2346"/>
      <c r="F33" s="2346"/>
      <c r="G33" s="2346"/>
      <c r="H33" s="2346"/>
      <c r="I33" s="2346"/>
    </row>
    <row r="34" spans="1:10" ht="10.35" customHeight="1" x14ac:dyDescent="0.2">
      <c r="C34" s="2346"/>
      <c r="D34" s="2346"/>
      <c r="E34" s="2346"/>
      <c r="F34" s="2346"/>
      <c r="G34" s="2346"/>
      <c r="H34" s="2346"/>
      <c r="I34" s="2346"/>
    </row>
    <row r="35" spans="1:10" ht="7.5" customHeight="1" x14ac:dyDescent="0.2">
      <c r="C35" s="1053"/>
    </row>
    <row r="36" spans="1:10" ht="13.5" customHeight="1" x14ac:dyDescent="0.2">
      <c r="B36" s="1052"/>
      <c r="C36" s="2347" t="s">
        <v>1943</v>
      </c>
      <c r="D36" s="2346"/>
      <c r="E36" s="2346"/>
      <c r="F36" s="2346"/>
      <c r="G36" s="2346"/>
      <c r="H36" s="2346"/>
      <c r="I36" s="2346"/>
      <c r="J36" s="1054"/>
    </row>
    <row r="37" spans="1:10" ht="22.5" customHeight="1" x14ac:dyDescent="0.2">
      <c r="C37" s="2346"/>
      <c r="D37" s="2346"/>
      <c r="E37" s="2346"/>
      <c r="F37" s="2346"/>
      <c r="G37" s="2346"/>
      <c r="H37" s="2346"/>
      <c r="I37" s="2346"/>
      <c r="J37" s="1054"/>
    </row>
    <row r="38" spans="1:10" ht="7.5" customHeight="1" x14ac:dyDescent="0.2">
      <c r="C38" s="1053"/>
      <c r="D38" s="1055"/>
      <c r="E38" s="1056"/>
      <c r="F38" s="1057"/>
      <c r="G38" s="1056"/>
    </row>
    <row r="39" spans="1:10" ht="13.5" customHeight="1" x14ac:dyDescent="0.2">
      <c r="B39" s="1052"/>
      <c r="C39" s="2343" t="s">
        <v>936</v>
      </c>
      <c r="D39" s="2344"/>
      <c r="E39" s="2344"/>
      <c r="F39" s="2344"/>
      <c r="G39" s="2344"/>
      <c r="H39" s="2344"/>
      <c r="I39" s="2344"/>
    </row>
    <row r="40" spans="1:10" ht="13.35" customHeight="1" x14ac:dyDescent="0.2">
      <c r="A40" s="1002"/>
      <c r="C40" s="1058"/>
      <c r="D40" s="1058"/>
      <c r="E40" s="1058"/>
      <c r="F40" s="1058"/>
      <c r="G40" s="1058"/>
      <c r="H40" s="1058"/>
      <c r="I40" s="105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5" sqref="B5"/>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59">
        <v>1</v>
      </c>
      <c r="B5" s="1963" t="s">
        <v>3454</v>
      </c>
    </row>
    <row r="6" spans="1:2" x14ac:dyDescent="0.2">
      <c r="A6" s="1059">
        <v>2</v>
      </c>
      <c r="B6" s="1962" t="s">
        <v>3358</v>
      </c>
    </row>
    <row r="7" spans="1:2" x14ac:dyDescent="0.2">
      <c r="A7" s="1059">
        <v>3</v>
      </c>
      <c r="B7" s="1962" t="s">
        <v>3363</v>
      </c>
    </row>
    <row r="8" spans="1:2" x14ac:dyDescent="0.2">
      <c r="A8" s="1059">
        <v>4</v>
      </c>
      <c r="B8" s="1962" t="s">
        <v>3359</v>
      </c>
    </row>
    <row r="9" spans="1:2" x14ac:dyDescent="0.2">
      <c r="A9" s="1059">
        <v>5</v>
      </c>
      <c r="B9" s="1962" t="s">
        <v>3360</v>
      </c>
    </row>
    <row r="10" spans="1:2" x14ac:dyDescent="0.2">
      <c r="A10" s="1059">
        <v>6</v>
      </c>
      <c r="B10" s="1962" t="s">
        <v>3364</v>
      </c>
    </row>
    <row r="11" spans="1:2" x14ac:dyDescent="0.2">
      <c r="A11" s="1059">
        <v>7</v>
      </c>
      <c r="B11" s="1963" t="s">
        <v>3411</v>
      </c>
    </row>
    <row r="12" spans="1:2" x14ac:dyDescent="0.2">
      <c r="A12" s="1059">
        <v>8</v>
      </c>
      <c r="B12" s="1962" t="s">
        <v>3361</v>
      </c>
    </row>
    <row r="13" spans="1:2" x14ac:dyDescent="0.2">
      <c r="A13" s="1059">
        <v>9</v>
      </c>
      <c r="B13" s="1963" t="s">
        <v>3453</v>
      </c>
    </row>
    <row r="14" spans="1:2" x14ac:dyDescent="0.2">
      <c r="A14" s="1059">
        <v>10</v>
      </c>
      <c r="B14" s="1962" t="s">
        <v>3362</v>
      </c>
    </row>
    <row r="15" spans="1:2" x14ac:dyDescent="0.2">
      <c r="A15" s="1059">
        <v>11</v>
      </c>
      <c r="B15" s="1962" t="s">
        <v>3365</v>
      </c>
    </row>
    <row r="16" spans="1:2" x14ac:dyDescent="0.2">
      <c r="A16" s="1059">
        <v>12</v>
      </c>
      <c r="B16" s="1962" t="s">
        <v>3366</v>
      </c>
    </row>
    <row r="17" spans="1:2" x14ac:dyDescent="0.2">
      <c r="A17" s="1059">
        <v>13</v>
      </c>
      <c r="B17" s="1962" t="s">
        <v>3367</v>
      </c>
    </row>
    <row r="18" spans="1:2" x14ac:dyDescent="0.2">
      <c r="A18" s="1060"/>
    </row>
    <row r="19" spans="1:2" x14ac:dyDescent="0.2">
      <c r="A19" s="1060"/>
    </row>
    <row r="20" spans="1:2" x14ac:dyDescent="0.2">
      <c r="A20" s="1060"/>
    </row>
    <row r="21" spans="1:2" x14ac:dyDescent="0.2">
      <c r="A21" s="1060"/>
    </row>
    <row r="22" spans="1:2" x14ac:dyDescent="0.2">
      <c r="A22" s="1060"/>
    </row>
    <row r="23" spans="1:2" x14ac:dyDescent="0.2">
      <c r="A23" s="1060"/>
    </row>
    <row r="24" spans="1:2" x14ac:dyDescent="0.2">
      <c r="A24" s="1060"/>
    </row>
    <row r="25" spans="1:2" x14ac:dyDescent="0.2">
      <c r="A25" s="1060"/>
    </row>
    <row r="26" spans="1:2" x14ac:dyDescent="0.2">
      <c r="A26" s="1060"/>
    </row>
    <row r="27" spans="1:2" x14ac:dyDescent="0.2">
      <c r="A27" s="1060"/>
    </row>
    <row r="28" spans="1:2" x14ac:dyDescent="0.2">
      <c r="A28" s="1060"/>
    </row>
    <row r="29" spans="1:2" x14ac:dyDescent="0.2">
      <c r="A29" s="1060"/>
    </row>
    <row r="30" spans="1:2" x14ac:dyDescent="0.2">
      <c r="A30" s="1060"/>
    </row>
    <row r="31" spans="1:2" x14ac:dyDescent="0.2">
      <c r="A31" s="1060"/>
    </row>
    <row r="32" spans="1:2" x14ac:dyDescent="0.2">
      <c r="A32" s="1060"/>
    </row>
    <row r="33" spans="1:1" x14ac:dyDescent="0.2">
      <c r="A33" s="1060"/>
    </row>
    <row r="34" spans="1:1" x14ac:dyDescent="0.2">
      <c r="A34" s="1060"/>
    </row>
    <row r="35" spans="1:1" x14ac:dyDescent="0.2">
      <c r="A35" s="1060"/>
    </row>
    <row r="36" spans="1:1" x14ac:dyDescent="0.2">
      <c r="A36" s="1060"/>
    </row>
    <row r="37" spans="1:1" x14ac:dyDescent="0.2">
      <c r="A37" s="1060"/>
    </row>
    <row r="38" spans="1:1" x14ac:dyDescent="0.2">
      <c r="A38" s="1060"/>
    </row>
    <row r="39" spans="1:1" x14ac:dyDescent="0.2">
      <c r="A39" s="1060"/>
    </row>
    <row r="40" spans="1:1" x14ac:dyDescent="0.2">
      <c r="A40" s="1060"/>
    </row>
    <row r="41" spans="1:1" x14ac:dyDescent="0.2">
      <c r="A41" s="1060"/>
    </row>
    <row r="42" spans="1:1" x14ac:dyDescent="0.2">
      <c r="A42" s="1060"/>
    </row>
    <row r="43" spans="1:1" x14ac:dyDescent="0.2">
      <c r="A43" s="1060"/>
    </row>
    <row r="44" spans="1:1" x14ac:dyDescent="0.2">
      <c r="A44" s="1060"/>
    </row>
    <row r="45" spans="1:1" x14ac:dyDescent="0.2">
      <c r="A45" s="1060"/>
    </row>
    <row r="46" spans="1:1" x14ac:dyDescent="0.2">
      <c r="A46" s="1060"/>
    </row>
    <row r="47" spans="1:1" x14ac:dyDescent="0.2">
      <c r="A47" s="1060"/>
    </row>
    <row r="48" spans="1:1" x14ac:dyDescent="0.2">
      <c r="A48" s="1060"/>
    </row>
    <row r="49" spans="1:2" x14ac:dyDescent="0.2">
      <c r="A49" s="1060"/>
    </row>
    <row r="50" spans="1:2" x14ac:dyDescent="0.2">
      <c r="A50" s="1060"/>
    </row>
    <row r="51" spans="1:2" x14ac:dyDescent="0.2">
      <c r="A51" s="1060"/>
    </row>
    <row r="52" spans="1:2" x14ac:dyDescent="0.2">
      <c r="A52" s="1060"/>
    </row>
    <row r="53" spans="1:2" x14ac:dyDescent="0.2">
      <c r="A53" s="1060"/>
    </row>
    <row r="54" spans="1:2" x14ac:dyDescent="0.2">
      <c r="A54" s="1060"/>
    </row>
    <row r="55" spans="1:2" x14ac:dyDescent="0.2">
      <c r="A55" s="1060"/>
    </row>
    <row r="56" spans="1:2" x14ac:dyDescent="0.2">
      <c r="A56" s="1060"/>
    </row>
    <row r="57" spans="1:2" x14ac:dyDescent="0.2">
      <c r="A57" s="1060"/>
    </row>
    <row r="58" spans="1:2" x14ac:dyDescent="0.2">
      <c r="A58" s="1060"/>
    </row>
    <row r="59" spans="1:2" x14ac:dyDescent="0.2">
      <c r="A59" s="1060"/>
    </row>
    <row r="60" spans="1:2" x14ac:dyDescent="0.2">
      <c r="A60" s="1060"/>
    </row>
    <row r="61" spans="1:2" x14ac:dyDescent="0.2">
      <c r="A61" s="1060"/>
    </row>
    <row r="62" spans="1:2" x14ac:dyDescent="0.2">
      <c r="A62" s="1060"/>
    </row>
    <row r="63" spans="1:2" x14ac:dyDescent="0.2">
      <c r="A63" s="1060"/>
    </row>
    <row r="64" spans="1:2" x14ac:dyDescent="0.2">
      <c r="A64" s="1060"/>
      <c r="B64" s="258" t="str">
        <f>COVER!A17</f>
        <v>Ottawa Township High School</v>
      </c>
    </row>
    <row r="65" spans="2:2" x14ac:dyDescent="0.2">
      <c r="B65" s="1061">
        <f>COVER!A13</f>
        <v>35050140017</v>
      </c>
    </row>
  </sheetData>
  <phoneticPr fontId="16"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P51" sqref="P51:P52"/>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1125</v>
      </c>
      <c r="C1" s="163" t="s">
        <v>1230</v>
      </c>
      <c r="D1" s="163"/>
      <c r="E1" s="163"/>
    </row>
    <row r="2" spans="1:5" ht="12.75" thickTop="1" x14ac:dyDescent="0.2">
      <c r="A2" s="164"/>
      <c r="B2" s="164"/>
      <c r="C2" s="164" t="s">
        <v>1230</v>
      </c>
      <c r="D2" s="165" t="s">
        <v>702</v>
      </c>
      <c r="E2" s="166" t="s">
        <v>1159</v>
      </c>
    </row>
    <row r="3" spans="1:5" x14ac:dyDescent="0.2">
      <c r="C3" s="162" t="s">
        <v>1230</v>
      </c>
      <c r="D3" s="167"/>
    </row>
    <row r="4" spans="1:5" x14ac:dyDescent="0.2">
      <c r="A4" s="168" t="s">
        <v>1970</v>
      </c>
      <c r="C4" s="162" t="s">
        <v>1230</v>
      </c>
      <c r="D4" s="169" t="s">
        <v>10</v>
      </c>
      <c r="E4" s="170" t="s">
        <v>22</v>
      </c>
    </row>
    <row r="5" spans="1:5" x14ac:dyDescent="0.2">
      <c r="A5" s="168" t="s">
        <v>1972</v>
      </c>
      <c r="C5" s="162" t="s">
        <v>1230</v>
      </c>
      <c r="D5" s="169" t="s">
        <v>10</v>
      </c>
      <c r="E5" s="170" t="s">
        <v>22</v>
      </c>
    </row>
    <row r="6" spans="1:5" x14ac:dyDescent="0.2">
      <c r="A6" s="168" t="s">
        <v>1971</v>
      </c>
      <c r="C6" s="162" t="s">
        <v>1230</v>
      </c>
      <c r="D6" s="167" t="s">
        <v>11</v>
      </c>
      <c r="E6" s="170" t="s">
        <v>997</v>
      </c>
    </row>
    <row r="7" spans="1:5" x14ac:dyDescent="0.2">
      <c r="A7" s="168" t="s">
        <v>1973</v>
      </c>
      <c r="C7" s="162" t="s">
        <v>1230</v>
      </c>
      <c r="D7" s="169" t="s">
        <v>12</v>
      </c>
      <c r="E7" s="170" t="s">
        <v>998</v>
      </c>
    </row>
    <row r="8" spans="1:5" x14ac:dyDescent="0.2">
      <c r="A8" s="168" t="s">
        <v>399</v>
      </c>
      <c r="C8" s="162" t="s">
        <v>1230</v>
      </c>
      <c r="D8" s="169"/>
      <c r="E8" s="171"/>
    </row>
    <row r="9" spans="1:5" x14ac:dyDescent="0.2">
      <c r="B9" s="167" t="s">
        <v>691</v>
      </c>
      <c r="C9" s="167" t="s">
        <v>1230</v>
      </c>
      <c r="D9" s="169" t="s">
        <v>13</v>
      </c>
      <c r="E9" s="170" t="s">
        <v>23</v>
      </c>
    </row>
    <row r="10" spans="1:5" x14ac:dyDescent="0.2">
      <c r="B10" s="167" t="s">
        <v>1030</v>
      </c>
      <c r="C10" s="162" t="s">
        <v>1230</v>
      </c>
      <c r="D10" s="169"/>
      <c r="E10" s="171"/>
    </row>
    <row r="11" spans="1:5" x14ac:dyDescent="0.2">
      <c r="B11" s="167" t="s">
        <v>1974</v>
      </c>
      <c r="C11" s="162" t="s">
        <v>1230</v>
      </c>
      <c r="D11" s="169" t="s">
        <v>14</v>
      </c>
      <c r="E11" s="170" t="s">
        <v>1217</v>
      </c>
    </row>
    <row r="12" spans="1:5" x14ac:dyDescent="0.2">
      <c r="B12" s="169" t="s">
        <v>1975</v>
      </c>
      <c r="C12" s="162" t="s">
        <v>1230</v>
      </c>
      <c r="D12" s="169" t="s">
        <v>15</v>
      </c>
      <c r="E12" s="170" t="s">
        <v>1098</v>
      </c>
    </row>
    <row r="13" spans="1:5" x14ac:dyDescent="0.2">
      <c r="B13" s="167" t="s">
        <v>1210</v>
      </c>
      <c r="C13" s="162" t="s">
        <v>1230</v>
      </c>
      <c r="D13" s="169" t="s">
        <v>16</v>
      </c>
      <c r="E13" s="170" t="s">
        <v>655</v>
      </c>
    </row>
    <row r="14" spans="1:5" x14ac:dyDescent="0.2">
      <c r="A14" s="168" t="s">
        <v>527</v>
      </c>
      <c r="B14" s="167"/>
      <c r="D14" s="169"/>
      <c r="E14" s="171"/>
    </row>
    <row r="15" spans="1:5" x14ac:dyDescent="0.2">
      <c r="A15" s="172"/>
      <c r="B15" s="162" t="s">
        <v>1976</v>
      </c>
      <c r="C15" s="162" t="s">
        <v>1230</v>
      </c>
      <c r="D15" s="169" t="s">
        <v>17</v>
      </c>
      <c r="E15" s="170" t="s">
        <v>656</v>
      </c>
    </row>
    <row r="16" spans="1:5" x14ac:dyDescent="0.2">
      <c r="A16" s="172"/>
      <c r="B16" s="162" t="s">
        <v>1977</v>
      </c>
      <c r="C16" s="162" t="s">
        <v>1230</v>
      </c>
      <c r="D16" s="169" t="s">
        <v>701</v>
      </c>
      <c r="E16" s="170" t="s">
        <v>1099</v>
      </c>
    </row>
    <row r="17" spans="1:5" x14ac:dyDescent="0.2">
      <c r="B17" s="167" t="s">
        <v>1044</v>
      </c>
      <c r="C17" s="162" t="s">
        <v>1230</v>
      </c>
    </row>
    <row r="18" spans="1:5" x14ac:dyDescent="0.2">
      <c r="B18" s="167" t="s">
        <v>1983</v>
      </c>
      <c r="D18" s="169" t="s">
        <v>18</v>
      </c>
      <c r="E18" s="170" t="s">
        <v>1100</v>
      </c>
    </row>
    <row r="19" spans="1:5" x14ac:dyDescent="0.2">
      <c r="A19" s="168" t="s">
        <v>1160</v>
      </c>
      <c r="C19" s="162" t="s">
        <v>1230</v>
      </c>
      <c r="D19" s="169"/>
      <c r="E19" s="171"/>
    </row>
    <row r="20" spans="1:5" x14ac:dyDescent="0.2">
      <c r="B20" s="167" t="s">
        <v>1978</v>
      </c>
      <c r="C20" s="162" t="s">
        <v>1230</v>
      </c>
      <c r="D20" s="169" t="s">
        <v>19</v>
      </c>
      <c r="E20" s="170" t="s">
        <v>53</v>
      </c>
    </row>
    <row r="21" spans="1:5" x14ac:dyDescent="0.2">
      <c r="B21" s="167" t="s">
        <v>1979</v>
      </c>
      <c r="C21" s="162" t="s">
        <v>1230</v>
      </c>
      <c r="D21" s="169" t="s">
        <v>20</v>
      </c>
      <c r="E21" s="170" t="s">
        <v>1707</v>
      </c>
    </row>
    <row r="22" spans="1:5" x14ac:dyDescent="0.2">
      <c r="A22" s="168"/>
      <c r="B22" s="162" t="s">
        <v>1967</v>
      </c>
      <c r="C22" s="162" t="s">
        <v>1230</v>
      </c>
      <c r="D22" s="167" t="s">
        <v>1969</v>
      </c>
      <c r="E22" s="1849" t="s">
        <v>1708</v>
      </c>
    </row>
    <row r="23" spans="1:5" x14ac:dyDescent="0.2">
      <c r="A23" s="168"/>
      <c r="B23" s="162" t="s">
        <v>1968</v>
      </c>
      <c r="D23" s="167" t="s">
        <v>657</v>
      </c>
      <c r="E23" s="1849" t="s">
        <v>1015</v>
      </c>
    </row>
    <row r="24" spans="1:5" x14ac:dyDescent="0.2">
      <c r="A24" s="168" t="s">
        <v>1706</v>
      </c>
      <c r="C24" s="162" t="s">
        <v>1230</v>
      </c>
      <c r="D24" s="167" t="s">
        <v>1459</v>
      </c>
      <c r="E24" s="170" t="s">
        <v>1016</v>
      </c>
    </row>
    <row r="25" spans="1:5" x14ac:dyDescent="0.2">
      <c r="A25" s="168" t="s">
        <v>1980</v>
      </c>
      <c r="C25" s="162" t="s">
        <v>1230</v>
      </c>
      <c r="D25" s="169" t="s">
        <v>21</v>
      </c>
      <c r="E25" s="170" t="s">
        <v>1101</v>
      </c>
    </row>
    <row r="26" spans="1:5" x14ac:dyDescent="0.2">
      <c r="A26" s="168" t="s">
        <v>1981</v>
      </c>
      <c r="C26" s="162" t="s">
        <v>1230</v>
      </c>
      <c r="D26" s="169" t="s">
        <v>583</v>
      </c>
      <c r="E26" s="170" t="s">
        <v>1102</v>
      </c>
    </row>
    <row r="27" spans="1:5" x14ac:dyDescent="0.2">
      <c r="A27" s="168" t="s">
        <v>1982</v>
      </c>
      <c r="C27" s="162" t="s">
        <v>1230</v>
      </c>
      <c r="D27" s="169" t="s">
        <v>577</v>
      </c>
      <c r="E27" s="170" t="s">
        <v>703</v>
      </c>
    </row>
    <row r="28" spans="1:5" x14ac:dyDescent="0.2">
      <c r="A28" s="168" t="s">
        <v>1984</v>
      </c>
      <c r="D28" s="169" t="s">
        <v>704</v>
      </c>
      <c r="E28" s="170" t="s">
        <v>1432</v>
      </c>
    </row>
    <row r="29" spans="1:5" x14ac:dyDescent="0.2">
      <c r="A29" s="168" t="s">
        <v>1985</v>
      </c>
      <c r="D29" s="169" t="s">
        <v>1460</v>
      </c>
      <c r="E29" s="170" t="s">
        <v>1441</v>
      </c>
    </row>
    <row r="30" spans="1:5" x14ac:dyDescent="0.2">
      <c r="A30" s="173" t="s">
        <v>1986</v>
      </c>
      <c r="C30" s="162" t="s">
        <v>1230</v>
      </c>
      <c r="D30" s="169" t="s">
        <v>42</v>
      </c>
      <c r="E30" s="170" t="s">
        <v>1038</v>
      </c>
    </row>
    <row r="31" spans="1:5" x14ac:dyDescent="0.2">
      <c r="A31" s="168" t="s">
        <v>1601</v>
      </c>
      <c r="C31" s="162" t="s">
        <v>1230</v>
      </c>
      <c r="D31" s="167"/>
      <c r="E31" s="171"/>
    </row>
    <row r="32" spans="1:5" x14ac:dyDescent="0.2">
      <c r="B32" s="167" t="s">
        <v>1987</v>
      </c>
      <c r="C32" s="162" t="s">
        <v>1230</v>
      </c>
      <c r="D32" s="169" t="s">
        <v>1602</v>
      </c>
      <c r="E32" s="170" t="s">
        <v>1461</v>
      </c>
    </row>
    <row r="33" spans="1:5" x14ac:dyDescent="0.2">
      <c r="A33" s="172"/>
      <c r="D33" s="169"/>
      <c r="E33" s="171"/>
    </row>
    <row r="34" spans="1:5" x14ac:dyDescent="0.2">
      <c r="A34" s="172"/>
      <c r="D34" s="169"/>
      <c r="E34" s="171"/>
    </row>
    <row r="35" spans="1:5" ht="15.75" customHeight="1" thickBot="1" x14ac:dyDescent="0.25">
      <c r="A35" s="2084" t="s">
        <v>1124</v>
      </c>
      <c r="B35" s="2084"/>
      <c r="C35" s="2084"/>
      <c r="D35" s="2084"/>
      <c r="E35" s="2084"/>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81" t="s">
        <v>714</v>
      </c>
      <c r="B40" s="2081"/>
      <c r="C40" s="2081"/>
      <c r="D40" s="2081"/>
      <c r="E40" s="2081"/>
    </row>
    <row r="41" spans="1:5" x14ac:dyDescent="0.2">
      <c r="A41" s="2082" t="s">
        <v>1705</v>
      </c>
      <c r="B41" s="2082"/>
      <c r="C41" s="2082"/>
      <c r="D41" s="2082"/>
      <c r="E41" s="2082"/>
    </row>
    <row r="42" spans="1:5" ht="12.75" customHeight="1" x14ac:dyDescent="0.2">
      <c r="A42" s="2083" t="s">
        <v>1079</v>
      </c>
      <c r="B42" s="2083"/>
      <c r="C42" s="2083"/>
      <c r="D42" s="2083"/>
      <c r="E42" s="2083"/>
    </row>
    <row r="43" spans="1:5" ht="6.75" customHeight="1" x14ac:dyDescent="0.2">
      <c r="A43" s="167"/>
      <c r="B43" s="176"/>
    </row>
    <row r="44" spans="1:5" x14ac:dyDescent="0.2">
      <c r="A44" s="185" t="s">
        <v>1039</v>
      </c>
      <c r="B44" s="186" t="s">
        <v>2017</v>
      </c>
    </row>
    <row r="45" spans="1:5" ht="6.75" customHeight="1" x14ac:dyDescent="0.2">
      <c r="A45" s="187"/>
      <c r="B45" s="186"/>
    </row>
    <row r="46" spans="1:5" x14ac:dyDescent="0.2">
      <c r="A46" s="185" t="s">
        <v>1040</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1873</v>
      </c>
    </row>
    <row r="52" spans="1:3" x14ac:dyDescent="0.2">
      <c r="A52" s="190"/>
      <c r="B52" s="188" t="s">
        <v>1893</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1874</v>
      </c>
    </row>
    <row r="57" spans="1:3" x14ac:dyDescent="0.2">
      <c r="A57" s="193"/>
      <c r="B57" s="190" t="s">
        <v>1876</v>
      </c>
    </row>
    <row r="58" spans="1:3" x14ac:dyDescent="0.2">
      <c r="A58" s="194"/>
      <c r="B58" s="190" t="s">
        <v>1877</v>
      </c>
    </row>
    <row r="59" spans="1:3" x14ac:dyDescent="0.2">
      <c r="A59" s="195"/>
      <c r="B59" s="1497" t="s">
        <v>1878</v>
      </c>
    </row>
    <row r="60" spans="1:3" x14ac:dyDescent="0.2">
      <c r="A60" s="196"/>
      <c r="B60" s="1497" t="s">
        <v>1879</v>
      </c>
    </row>
    <row r="61" spans="1:3" ht="6" customHeight="1" x14ac:dyDescent="0.2">
      <c r="A61" s="197"/>
      <c r="B61" s="189"/>
    </row>
    <row r="62" spans="1:3" x14ac:dyDescent="0.2">
      <c r="A62" s="169" t="s">
        <v>1713</v>
      </c>
      <c r="B62" s="198" t="s">
        <v>1875</v>
      </c>
    </row>
    <row r="63" spans="1:3" x14ac:dyDescent="0.2">
      <c r="A63" s="188"/>
      <c r="B63" s="169" t="s">
        <v>1890</v>
      </c>
    </row>
    <row r="64" spans="1:3" x14ac:dyDescent="0.2">
      <c r="A64" s="195"/>
      <c r="B64" s="1499" t="s">
        <v>1880</v>
      </c>
    </row>
    <row r="65" spans="1:9" x14ac:dyDescent="0.2">
      <c r="A65" s="188"/>
      <c r="B65" s="169" t="s">
        <v>1891</v>
      </c>
    </row>
    <row r="66" spans="1:9" x14ac:dyDescent="0.2">
      <c r="A66" s="190"/>
      <c r="B66" s="190" t="s">
        <v>1881</v>
      </c>
    </row>
    <row r="67" spans="1:9" ht="12" customHeight="1" x14ac:dyDescent="0.2">
      <c r="A67" s="188"/>
      <c r="B67" s="169" t="s">
        <v>1892</v>
      </c>
    </row>
    <row r="68" spans="1:9" x14ac:dyDescent="0.2">
      <c r="A68" s="189"/>
      <c r="B68" s="190" t="s">
        <v>1882</v>
      </c>
    </row>
    <row r="69" spans="1:9" x14ac:dyDescent="0.2">
      <c r="A69" s="190"/>
      <c r="B69" s="188" t="s">
        <v>1883</v>
      </c>
    </row>
    <row r="70" spans="1:9" ht="13.5" customHeight="1" x14ac:dyDescent="0.2">
      <c r="A70" s="190"/>
      <c r="B70" s="188" t="s">
        <v>1884</v>
      </c>
    </row>
    <row r="71" spans="1:9" ht="12" customHeight="1" x14ac:dyDescent="0.2">
      <c r="A71" s="192"/>
      <c r="B71" s="1498" t="s">
        <v>1716</v>
      </c>
    </row>
    <row r="72" spans="1:9" ht="9" customHeight="1" x14ac:dyDescent="0.2">
      <c r="A72" s="192"/>
      <c r="B72" s="199"/>
    </row>
    <row r="73" spans="1:9" x14ac:dyDescent="0.2">
      <c r="A73" s="189" t="s">
        <v>1717</v>
      </c>
      <c r="B73" s="169" t="s">
        <v>1886</v>
      </c>
    </row>
    <row r="74" spans="1:9" x14ac:dyDescent="0.2">
      <c r="A74" s="189"/>
      <c r="B74" s="169" t="s">
        <v>1885</v>
      </c>
    </row>
    <row r="75" spans="1:9" ht="8.25" customHeight="1" x14ac:dyDescent="0.2">
      <c r="A75" s="189"/>
      <c r="B75" s="189"/>
    </row>
    <row r="76" spans="1:9" ht="12.2" customHeight="1" x14ac:dyDescent="0.2">
      <c r="A76" s="189" t="s">
        <v>1718</v>
      </c>
      <c r="B76" s="198" t="s">
        <v>1887</v>
      </c>
    </row>
    <row r="77" spans="1:9" ht="12.2" customHeight="1" x14ac:dyDescent="0.2">
      <c r="A77" s="190"/>
      <c r="B77" s="169" t="s">
        <v>1719</v>
      </c>
      <c r="C77" s="179"/>
      <c r="D77" s="180"/>
      <c r="E77" s="181"/>
      <c r="F77" s="181"/>
      <c r="G77" s="181"/>
      <c r="H77" s="181"/>
      <c r="I77" s="181"/>
    </row>
    <row r="78" spans="1:9" ht="11.25" customHeight="1" x14ac:dyDescent="0.2">
      <c r="A78" s="190"/>
      <c r="B78" s="190" t="s">
        <v>1889</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1888</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P51" sqref="P51:P5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5" t="s">
        <v>1480</v>
      </c>
      <c r="D6" s="24"/>
    </row>
    <row r="7" spans="1:4" ht="13.5" customHeight="1" x14ac:dyDescent="0.2">
      <c r="A7" s="23"/>
      <c r="B7" s="25"/>
      <c r="C7" s="65" t="s">
        <v>1481</v>
      </c>
      <c r="D7" s="24"/>
    </row>
    <row r="8" spans="1:4" ht="13.5" customHeight="1" x14ac:dyDescent="0.2">
      <c r="A8" s="23"/>
      <c r="B8" s="146" t="s">
        <v>999</v>
      </c>
      <c r="C8" s="65" t="s">
        <v>1466</v>
      </c>
      <c r="D8" s="24"/>
    </row>
    <row r="9" spans="1:4" ht="13.5" customHeight="1" x14ac:dyDescent="0.2">
      <c r="A9" s="14"/>
      <c r="B9" s="144" t="s">
        <v>1000</v>
      </c>
      <c r="C9" s="142"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5"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43" t="s">
        <v>1391</v>
      </c>
      <c r="C15" s="142" t="s">
        <v>1392</v>
      </c>
    </row>
    <row r="16" spans="1:4" ht="12.75" customHeight="1" x14ac:dyDescent="0.2">
      <c r="C16" s="142" t="s">
        <v>1393</v>
      </c>
    </row>
    <row r="17" spans="3:3" ht="12.75" customHeight="1" x14ac:dyDescent="0.2">
      <c r="C17" s="66"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6"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E13" sqref="E13"/>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62"/>
      <c r="C11" s="1062"/>
      <c r="D11" s="1062"/>
      <c r="E11" s="1062"/>
      <c r="F11" s="1062"/>
    </row>
    <row r="13" spans="1:6" x14ac:dyDescent="0.2">
      <c r="A13" s="1063" t="s">
        <v>1572</v>
      </c>
    </row>
    <row r="15" spans="1:6" x14ac:dyDescent="0.2">
      <c r="A15" s="389" t="s">
        <v>911</v>
      </c>
    </row>
    <row r="16" spans="1:6" s="1062" customFormat="1" ht="45" customHeight="1" x14ac:dyDescent="0.2">
      <c r="A16" s="1064"/>
      <c r="B16" s="1064" t="s">
        <v>1782</v>
      </c>
    </row>
    <row r="17" spans="1:2" ht="6" customHeight="1" x14ac:dyDescent="0.2"/>
    <row r="18" spans="1:2" ht="24.75" customHeight="1" x14ac:dyDescent="0.2">
      <c r="A18" s="2367" t="s">
        <v>1783</v>
      </c>
      <c r="B18" s="2367"/>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1745" r:id="rId4">
          <objectPr defaultSize="0" r:id="rId5">
            <anchor moveWithCells="1">
              <from>
                <xdr:col>1</xdr:col>
                <xdr:colOff>0</xdr:colOff>
                <xdr:row>3</xdr:row>
                <xdr:rowOff>0</xdr:rowOff>
              </from>
              <to>
                <xdr:col>1</xdr:col>
                <xdr:colOff>914400</xdr:colOff>
                <xdr:row>7</xdr:row>
                <xdr:rowOff>38100</xdr:rowOff>
              </to>
            </anchor>
          </objectPr>
        </oleObject>
      </mc:Choice>
      <mc:Fallback>
        <oleObject progId="Acrobat Document" dvAspect="DVASPECT_ICON" shapeId="31745"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P51" sqref="P51:P52"/>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68" t="s">
        <v>1789</v>
      </c>
      <c r="B1" s="2369"/>
      <c r="C1" s="2369"/>
      <c r="D1" s="2369"/>
      <c r="E1" s="2369"/>
      <c r="F1" s="2370"/>
    </row>
    <row r="2" spans="1:8" ht="45" customHeight="1" x14ac:dyDescent="0.2">
      <c r="A2" s="2378" t="s">
        <v>1790</v>
      </c>
      <c r="B2" s="2379"/>
      <c r="C2" s="2379"/>
      <c r="D2" s="2379"/>
      <c r="E2" s="2379"/>
      <c r="F2" s="2380"/>
      <c r="G2" s="1065"/>
      <c r="H2" s="1065"/>
    </row>
    <row r="3" spans="1:8" ht="57" customHeight="1" x14ac:dyDescent="0.2">
      <c r="A3" s="2381" t="s">
        <v>1785</v>
      </c>
      <c r="B3" s="2382"/>
      <c r="C3" s="2382"/>
      <c r="D3" s="2382"/>
      <c r="E3" s="2382"/>
      <c r="F3" s="2383"/>
      <c r="G3" s="1065"/>
      <c r="H3" s="1065"/>
    </row>
    <row r="4" spans="1:8" ht="14.25" customHeight="1" x14ac:dyDescent="0.2">
      <c r="A4" s="2387" t="s">
        <v>2055</v>
      </c>
      <c r="B4" s="2388"/>
      <c r="C4" s="2388"/>
      <c r="D4" s="2388"/>
      <c r="E4" s="2388"/>
      <c r="F4" s="2389"/>
      <c r="G4" s="1065"/>
      <c r="H4" s="1065"/>
    </row>
    <row r="5" spans="1:8" ht="14.25" customHeight="1" x14ac:dyDescent="0.2">
      <c r="A5" s="2390" t="s">
        <v>2056</v>
      </c>
      <c r="B5" s="2391"/>
      <c r="C5" s="2391"/>
      <c r="D5" s="2391"/>
      <c r="E5" s="2391"/>
      <c r="F5" s="2392"/>
      <c r="G5" s="1065"/>
      <c r="H5" s="1065"/>
    </row>
    <row r="6" spans="1:8" s="1066" customFormat="1" ht="41.25" customHeight="1" x14ac:dyDescent="0.2">
      <c r="A6" s="2384" t="s">
        <v>1791</v>
      </c>
      <c r="B6" s="2385"/>
      <c r="C6" s="2385"/>
      <c r="D6" s="2385"/>
      <c r="E6" s="2385"/>
      <c r="F6" s="2386"/>
    </row>
    <row r="7" spans="1:8" ht="42" customHeight="1" x14ac:dyDescent="0.2">
      <c r="A7" s="1067" t="s">
        <v>501</v>
      </c>
      <c r="B7" s="1068" t="s">
        <v>1575</v>
      </c>
      <c r="C7" s="1068" t="s">
        <v>1576</v>
      </c>
      <c r="D7" s="1068" t="s">
        <v>1574</v>
      </c>
      <c r="E7" s="1068" t="s">
        <v>1577</v>
      </c>
      <c r="F7" s="1068" t="s">
        <v>1433</v>
      </c>
    </row>
    <row r="8" spans="1:8" s="1070" customFormat="1" ht="14.25" customHeight="1" x14ac:dyDescent="0.2">
      <c r="A8" s="1069" t="s">
        <v>1434</v>
      </c>
      <c r="B8" s="1828">
        <f>'Acct Summary 7-8'!C8</f>
        <v>13251981</v>
      </c>
      <c r="C8" s="1828">
        <f>'Acct Summary 7-8'!D8</f>
        <v>1752057</v>
      </c>
      <c r="D8" s="1828">
        <f>'Acct Summary 7-8'!F8</f>
        <v>1234204</v>
      </c>
      <c r="E8" s="1828">
        <f>'Acct Summary 7-8'!I8</f>
        <v>326258</v>
      </c>
      <c r="F8" s="1828">
        <f>SUM(B8:E8)</f>
        <v>16564500</v>
      </c>
    </row>
    <row r="9" spans="1:8" s="1070" customFormat="1" ht="14.25" customHeight="1" thickBot="1" x14ac:dyDescent="0.25">
      <c r="A9" s="1069" t="s">
        <v>1435</v>
      </c>
      <c r="B9" s="1829">
        <f>'Acct Summary 7-8'!C17</f>
        <v>13842230</v>
      </c>
      <c r="C9" s="1829">
        <f>'Acct Summary 7-8'!D17</f>
        <v>1483779</v>
      </c>
      <c r="D9" s="1829">
        <f>'Acct Summary 7-8'!F17</f>
        <v>1084203</v>
      </c>
      <c r="E9" s="1828"/>
      <c r="F9" s="1828">
        <f>SUM(B9:E9)</f>
        <v>16410212</v>
      </c>
    </row>
    <row r="10" spans="1:8" s="1070" customFormat="1" ht="14.25" thickTop="1" thickBot="1" x14ac:dyDescent="0.25">
      <c r="A10" s="1071" t="s">
        <v>1436</v>
      </c>
      <c r="B10" s="1830">
        <f>(B8-B9)</f>
        <v>-590249</v>
      </c>
      <c r="C10" s="1830">
        <f>(C8-C9)</f>
        <v>268278</v>
      </c>
      <c r="D10" s="1830">
        <f>(D8-D9)</f>
        <v>150001</v>
      </c>
      <c r="E10" s="1829">
        <f>(E8-E9)</f>
        <v>326258</v>
      </c>
      <c r="F10" s="1831">
        <f>SUM(F8-F9)</f>
        <v>154288</v>
      </c>
    </row>
    <row r="11" spans="1:8" s="1070" customFormat="1" ht="14.25" thickTop="1" thickBot="1" x14ac:dyDescent="0.25">
      <c r="A11" s="1072" t="s">
        <v>1784</v>
      </c>
      <c r="B11" s="1832">
        <f>'Acct Summary 7-8'!C81</f>
        <v>9154536</v>
      </c>
      <c r="C11" s="1832">
        <f>'Acct Summary 7-8'!D81</f>
        <v>574512</v>
      </c>
      <c r="D11" s="1832">
        <f>'Acct Summary 7-8'!F81</f>
        <v>1009552</v>
      </c>
      <c r="E11" s="1832">
        <f>'Acct Summary 7-8'!I81</f>
        <v>2975482</v>
      </c>
      <c r="F11" s="1833">
        <f>SUM(B11:E11)</f>
        <v>13714082</v>
      </c>
    </row>
    <row r="12" spans="1:8" ht="16.5" customHeight="1" thickTop="1" x14ac:dyDescent="0.2">
      <c r="A12" s="1073"/>
      <c r="B12" s="1074"/>
      <c r="C12" s="2372" t="str">
        <f>IF(AND(F10&lt;0,F11&gt;=0,ABS(F10*3)&gt;ABS(F11)),A16,IF(AND(F10&lt;0,F11&gt;0,ABS(F10*3)&lt;=ABS(F11)),A17,IF(AND(F10&lt;0,F11&lt;0),A16,IF(F11=0,A19,A18))))</f>
        <v>Balanced - no deficit reduction plan is required.</v>
      </c>
      <c r="D12" s="2373"/>
      <c r="E12" s="2373"/>
      <c r="F12" s="2374"/>
    </row>
    <row r="13" spans="1:8" ht="19.5" customHeight="1" x14ac:dyDescent="0.2">
      <c r="A13" s="1075"/>
      <c r="B13" s="1076"/>
      <c r="C13" s="2372"/>
      <c r="D13" s="2373"/>
      <c r="E13" s="2373"/>
      <c r="F13" s="2374"/>
      <c r="H13" s="1065"/>
    </row>
    <row r="14" spans="1:8" ht="19.5" customHeight="1" x14ac:dyDescent="0.2">
      <c r="A14" s="1075"/>
      <c r="B14" s="1076"/>
      <c r="C14" s="2372"/>
      <c r="D14" s="2373"/>
      <c r="E14" s="2373"/>
      <c r="F14" s="2374"/>
      <c r="H14" s="1065"/>
    </row>
    <row r="15" spans="1:8" ht="17.25" customHeight="1" x14ac:dyDescent="0.2">
      <c r="A15" s="1075"/>
      <c r="B15" s="1076"/>
      <c r="C15" s="2375"/>
      <c r="D15" s="2376"/>
      <c r="E15" s="2376"/>
      <c r="F15" s="2377"/>
      <c r="H15" s="1065"/>
    </row>
    <row r="16" spans="1:8" s="310" customFormat="1" ht="51.75" hidden="1" customHeight="1" x14ac:dyDescent="0.2">
      <c r="A16" s="2371" t="s">
        <v>1786</v>
      </c>
      <c r="B16" s="2371"/>
      <c r="C16" s="2371"/>
      <c r="D16" s="2371"/>
      <c r="E16" s="2371"/>
      <c r="F16" s="310" t="s">
        <v>1437</v>
      </c>
    </row>
    <row r="17" spans="1:6" hidden="1" x14ac:dyDescent="0.2">
      <c r="A17" s="316" t="s">
        <v>1787</v>
      </c>
      <c r="F17" s="1077" t="s">
        <v>1438</v>
      </c>
    </row>
    <row r="18" spans="1:6" hidden="1" x14ac:dyDescent="0.2">
      <c r="A18" s="316" t="s">
        <v>1788</v>
      </c>
      <c r="F18" s="316" t="s">
        <v>1476</v>
      </c>
    </row>
    <row r="19" spans="1:6" hidden="1" x14ac:dyDescent="0.2">
      <c r="A19" s="316" t="s">
        <v>1475</v>
      </c>
      <c r="F19" s="316" t="s">
        <v>1440</v>
      </c>
    </row>
    <row r="20" spans="1:6" ht="14.25" customHeight="1" x14ac:dyDescent="0.2"/>
    <row r="21" spans="1:6" x14ac:dyDescent="0.2">
      <c r="B21" s="1078"/>
    </row>
    <row r="48" spans="3:3" x14ac:dyDescent="0.2">
      <c r="C48" s="107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11" colorId="8" zoomScale="110" zoomScaleNormal="110" workbookViewId="0">
      <selection activeCell="P51" sqref="P51:P52"/>
    </sheetView>
  </sheetViews>
  <sheetFormatPr defaultColWidth="9.140625" defaultRowHeight="12" x14ac:dyDescent="0.2"/>
  <cols>
    <col min="1" max="1" width="2.7109375" style="1124" customWidth="1"/>
    <col min="2" max="2" width="3.140625" style="1124" customWidth="1"/>
    <col min="3" max="3" width="96.140625" style="1064" customWidth="1"/>
    <col min="4" max="4" width="42.140625" style="242" customWidth="1"/>
    <col min="5" max="5" width="2.7109375" style="1083" customWidth="1"/>
    <col min="6" max="6" width="1" style="1083" customWidth="1"/>
    <col min="7" max="16384" width="9.140625" style="1083"/>
  </cols>
  <sheetData>
    <row r="1" spans="1:4" ht="4.5" customHeight="1" thickBot="1" x14ac:dyDescent="0.25">
      <c r="A1" s="1079"/>
      <c r="B1" s="1080"/>
      <c r="C1" s="1081"/>
      <c r="D1" s="1082"/>
    </row>
    <row r="2" spans="1:4" ht="7.5" customHeight="1" thickTop="1" x14ac:dyDescent="0.2">
      <c r="A2" s="1910"/>
      <c r="B2" s="1911"/>
      <c r="C2" s="1912"/>
      <c r="D2" s="1913"/>
    </row>
    <row r="3" spans="1:4" ht="36" customHeight="1" x14ac:dyDescent="0.2">
      <c r="A3" s="2393" t="s">
        <v>685</v>
      </c>
      <c r="B3" s="2394"/>
      <c r="C3" s="2394"/>
      <c r="D3" s="2395"/>
    </row>
    <row r="4" spans="1:4" x14ac:dyDescent="0.2">
      <c r="A4" s="1143" t="s">
        <v>1792</v>
      </c>
      <c r="B4" s="1144"/>
      <c r="C4" s="1145"/>
      <c r="D4" s="1146"/>
    </row>
    <row r="5" spans="1:4" ht="21" customHeight="1" x14ac:dyDescent="0.2">
      <c r="A5" s="1139"/>
      <c r="B5" s="1140">
        <v>1</v>
      </c>
      <c r="C5" s="1141" t="s">
        <v>1945</v>
      </c>
      <c r="D5" s="1142"/>
    </row>
    <row r="6" spans="1:4" s="661" customFormat="1" ht="14.25" customHeight="1" x14ac:dyDescent="0.2">
      <c r="A6" s="1129"/>
      <c r="B6" s="1084">
        <f t="shared" ref="B6:B13" si="0">B5+1</f>
        <v>2</v>
      </c>
      <c r="C6" s="1085" t="s">
        <v>918</v>
      </c>
      <c r="D6" s="1086"/>
    </row>
    <row r="7" spans="1:4" s="661" customFormat="1" ht="12.75" x14ac:dyDescent="0.2">
      <c r="A7" s="1129"/>
      <c r="B7" s="1084">
        <f t="shared" si="0"/>
        <v>3</v>
      </c>
      <c r="C7" s="2404" t="s">
        <v>1583</v>
      </c>
      <c r="D7" s="2405"/>
    </row>
    <row r="8" spans="1:4" s="661" customFormat="1" ht="12.75" x14ac:dyDescent="0.2">
      <c r="A8" s="1129"/>
      <c r="B8" s="1084"/>
      <c r="C8" s="1087" t="s">
        <v>1582</v>
      </c>
      <c r="D8" s="1088"/>
    </row>
    <row r="9" spans="1:4" s="661" customFormat="1" ht="14.25" customHeight="1" x14ac:dyDescent="0.2">
      <c r="A9" s="1129"/>
      <c r="B9" s="1084">
        <f>B7+1</f>
        <v>4</v>
      </c>
      <c r="C9" s="1085" t="s">
        <v>2048</v>
      </c>
      <c r="D9" s="1086"/>
    </row>
    <row r="10" spans="1:4" s="661" customFormat="1" ht="14.25" customHeight="1" x14ac:dyDescent="0.2">
      <c r="A10" s="1129"/>
      <c r="B10" s="1084">
        <f t="shared" si="0"/>
        <v>5</v>
      </c>
      <c r="C10" s="1085" t="s">
        <v>659</v>
      </c>
      <c r="D10" s="1086"/>
    </row>
    <row r="11" spans="1:4" s="661" customFormat="1" ht="14.25" customHeight="1" x14ac:dyDescent="0.2">
      <c r="A11" s="1129"/>
      <c r="B11" s="1084">
        <f t="shared" si="0"/>
        <v>6</v>
      </c>
      <c r="C11" s="1085" t="s">
        <v>810</v>
      </c>
      <c r="D11" s="1086"/>
    </row>
    <row r="12" spans="1:4" s="661" customFormat="1" ht="14.25" customHeight="1" x14ac:dyDescent="0.2">
      <c r="A12" s="1129"/>
      <c r="B12" s="1084">
        <f t="shared" si="0"/>
        <v>7</v>
      </c>
      <c r="C12" s="1085" t="s">
        <v>1121</v>
      </c>
      <c r="D12" s="1086"/>
    </row>
    <row r="13" spans="1:4" s="661" customFormat="1" ht="14.25" customHeight="1" x14ac:dyDescent="0.2">
      <c r="A13" s="1129"/>
      <c r="B13" s="1084">
        <f t="shared" si="0"/>
        <v>8</v>
      </c>
      <c r="C13" s="1125" t="s">
        <v>811</v>
      </c>
      <c r="D13" s="1086"/>
    </row>
    <row r="14" spans="1:4" s="661" customFormat="1" ht="14.25" customHeight="1" x14ac:dyDescent="0.2">
      <c r="A14" s="1129"/>
      <c r="B14" s="1126">
        <v>9</v>
      </c>
      <c r="C14" s="1127" t="s">
        <v>1584</v>
      </c>
      <c r="D14" s="1128"/>
    </row>
    <row r="15" spans="1:4" s="661" customFormat="1" ht="21.75" customHeight="1" x14ac:dyDescent="0.2">
      <c r="A15" s="2396" t="s">
        <v>1064</v>
      </c>
      <c r="B15" s="2397"/>
      <c r="C15" s="2397"/>
      <c r="D15" s="2398"/>
    </row>
    <row r="16" spans="1:4" s="661" customFormat="1" ht="24" customHeight="1" x14ac:dyDescent="0.2">
      <c r="A16" s="2399" t="s">
        <v>683</v>
      </c>
      <c r="B16" s="2400"/>
      <c r="C16" s="2400"/>
      <c r="D16" s="2401"/>
    </row>
    <row r="17" spans="1:10" s="661" customFormat="1" ht="12.75" customHeight="1" x14ac:dyDescent="0.2">
      <c r="A17" s="1147" t="s">
        <v>1793</v>
      </c>
      <c r="B17" s="1148"/>
      <c r="C17" s="1149"/>
      <c r="D17" s="1150"/>
    </row>
    <row r="18" spans="1:10" s="661" customFormat="1" ht="12.75" customHeight="1" x14ac:dyDescent="0.2">
      <c r="A18" s="1151" t="s">
        <v>1794</v>
      </c>
      <c r="B18" s="1152"/>
      <c r="C18" s="1153"/>
      <c r="D18" s="1154"/>
    </row>
    <row r="19" spans="1:10" ht="6.75" customHeight="1" thickBot="1" x14ac:dyDescent="0.25">
      <c r="A19" s="1155"/>
      <c r="B19" s="1156"/>
      <c r="C19" s="1157"/>
      <c r="D19" s="1158"/>
    </row>
    <row r="20" spans="1:10" s="1162" customFormat="1" ht="12.75" thickTop="1" x14ac:dyDescent="0.2">
      <c r="A20" s="1159"/>
      <c r="B20" s="1160" t="s">
        <v>1795</v>
      </c>
      <c r="C20" s="1161"/>
      <c r="D20" s="1164" t="s">
        <v>733</v>
      </c>
    </row>
    <row r="21" spans="1:10" x14ac:dyDescent="0.2">
      <c r="A21" s="1089"/>
      <c r="B21" s="1090">
        <v>1</v>
      </c>
      <c r="C21" s="2408" t="s">
        <v>331</v>
      </c>
      <c r="D21" s="2409"/>
    </row>
    <row r="22" spans="1:10" ht="12.75" x14ac:dyDescent="0.2">
      <c r="A22" s="1130"/>
      <c r="B22" s="1131">
        <v>2</v>
      </c>
      <c r="C22" s="2406" t="s">
        <v>1604</v>
      </c>
      <c r="D22" s="2407"/>
    </row>
    <row r="23" spans="1:10" ht="12.2" customHeight="1" x14ac:dyDescent="0.2">
      <c r="A23" s="1130"/>
      <c r="B23" s="1131"/>
      <c r="C23" s="1132" t="s">
        <v>1010</v>
      </c>
      <c r="D23" s="1133" t="str">
        <f>IF(COVER!O11="X","CASH",IF(COVER!O12="X","ACCRUAL ","PLEASE CHECK AN ACCOUNTING BASIS."))</f>
        <v>CASH</v>
      </c>
    </row>
    <row r="24" spans="1:10" ht="12.2" customHeight="1" x14ac:dyDescent="0.2">
      <c r="A24" s="1130"/>
      <c r="B24" s="1131"/>
      <c r="C24" s="1132" t="s">
        <v>1398</v>
      </c>
      <c r="D24" s="1133" t="str">
        <f>IF(COVER!O11="X","OK",IF(AND('Aud Quest 2'!J90=0,'Aud Quest 2'!I77&lt;DATE(2017,12,31)),"ENTER ACCOUNTING INFO",IF(AND('Aud Quest 2'!J90&gt;0,'Aud Quest 2'!I77&lt;DATE(2017,12,31)),"OK")))</f>
        <v>OK</v>
      </c>
    </row>
    <row r="25" spans="1:10" x14ac:dyDescent="0.2">
      <c r="A25" s="1091"/>
      <c r="B25" s="1092"/>
      <c r="C25" s="1093" t="s">
        <v>1606</v>
      </c>
      <c r="D25" s="1094" t="str">
        <f>IF(AND(COVER!J29="X",COVER!J30="X",COVER!L30&lt;&gt;"X"),"OK",IF(AND(COVER!J29="X",COVER!J30&lt;&gt;"X",COVER!L30="X"),"OK",IF(AND(COVER!L29="X",COVER!J30&lt;&gt;"X"),"OK","PLEASE CHECK YES or NO.")))</f>
        <v>OK</v>
      </c>
    </row>
    <row r="26" spans="1:10" x14ac:dyDescent="0.2">
      <c r="A26" s="1091"/>
      <c r="B26" s="1134"/>
      <c r="C26" s="1095" t="s">
        <v>1605</v>
      </c>
      <c r="D26" s="1096" t="str">
        <f>IF(AND(COVER!J29="X",COVER!J30="X",COVER!L29&lt;&gt;"X"),"OK",IF(AND(COVER!J29="X",COVER!J30&lt;&gt;"X",COVER!L30="X"),"SENDING AN A-133 SEPERATELY!",IF(AND(COVER!L29="X",COVER!J30&lt;&gt;"X"),"OK","PLEASE CHECK YES or NO.")))</f>
        <v>OK</v>
      </c>
    </row>
    <row r="27" spans="1:10" ht="12" hidden="1" customHeight="1" x14ac:dyDescent="0.2">
      <c r="A27" s="1097"/>
      <c r="B27" s="1134"/>
      <c r="C27" s="1093" t="s">
        <v>1031</v>
      </c>
      <c r="D27" s="1096" t="str">
        <f>IF(AND(COVER!J29="X",COVER!J31="X",COVER!L29&lt;&gt;"X"),"OK",IF(AND(COVER!J29="X",COVER!J31&lt;&gt;"X",COVER!L31="X"),"NO FINDINGS WERE ISSUED",IF(AND(COVER!L29="X",COVER!J31&lt;&gt;"X"),"OK","PLEASE CHECK YES or NO.")))</f>
        <v>OK</v>
      </c>
    </row>
    <row r="28" spans="1:10" ht="24" hidden="1" customHeight="1" x14ac:dyDescent="0.2">
      <c r="A28" s="1097"/>
      <c r="B28" s="1134"/>
      <c r="C28" s="1093" t="s">
        <v>896</v>
      </c>
      <c r="D28" s="1098" t="b">
        <f>IF('Aud Quest 2'!B53="X",IF('Aud Quest 2'!F53&gt;"00/00/00 ","Enter Effective Date","ok"))</f>
        <v>0</v>
      </c>
    </row>
    <row r="29" spans="1:10" x14ac:dyDescent="0.2">
      <c r="A29" s="1091"/>
      <c r="B29" s="1134"/>
      <c r="C29" s="1095" t="s">
        <v>1439</v>
      </c>
      <c r="D29" s="109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89"/>
      <c r="B30" s="1131">
        <f>B22+1</f>
        <v>3</v>
      </c>
      <c r="C30" s="1099" t="s">
        <v>878</v>
      </c>
      <c r="D30" s="1100"/>
    </row>
    <row r="31" spans="1:10" x14ac:dyDescent="0.2">
      <c r="A31" s="1091"/>
      <c r="B31" s="1101"/>
      <c r="C31" s="1135" t="s">
        <v>271</v>
      </c>
      <c r="D31" s="1102" t="str">
        <f>IF(SUM('FP Info 3'!J10:L10)&lt;=0.0999999,"OK","CORRECT THE TAX RATES BY MOVING THE DECIMAL TWO PLACES TO THE LEFT.")</f>
        <v>OK</v>
      </c>
      <c r="E31" s="359"/>
      <c r="F31" s="359"/>
      <c r="G31" s="359"/>
      <c r="H31" s="359"/>
      <c r="I31" s="359"/>
      <c r="J31" s="359"/>
    </row>
    <row r="32" spans="1:10" x14ac:dyDescent="0.2">
      <c r="A32" s="1091"/>
      <c r="B32" s="1136"/>
      <c r="C32" s="1103" t="s">
        <v>1034</v>
      </c>
      <c r="D32" s="1094" t="str">
        <f>IF(OR(COVER!B6="x",'FP Info 3'!B31="X",'FP Info 3'!B32="X"),"OK","ENTRY IS REQUIRED!")</f>
        <v>OK</v>
      </c>
    </row>
    <row r="33" spans="1:12" s="1107" customFormat="1" ht="12.75" customHeight="1" x14ac:dyDescent="0.2">
      <c r="A33" s="1104"/>
      <c r="B33" s="1131">
        <f>B30+1</f>
        <v>4</v>
      </c>
      <c r="C33" s="1105" t="s">
        <v>812</v>
      </c>
      <c r="D33" s="1106"/>
    </row>
    <row r="34" spans="1:12" s="1107" customFormat="1" x14ac:dyDescent="0.2">
      <c r="A34" s="1108"/>
      <c r="B34" s="1131"/>
      <c r="C34" s="1109" t="s">
        <v>879</v>
      </c>
      <c r="D34" s="1094" t="str">
        <f>IF('Assets-Liab 5-6'!C4&lt;-0.49, "ERROR!","OK")</f>
        <v>OK</v>
      </c>
    </row>
    <row r="35" spans="1:12" x14ac:dyDescent="0.2">
      <c r="A35" s="1108"/>
      <c r="B35" s="1131"/>
      <c r="C35" s="1109" t="s">
        <v>323</v>
      </c>
      <c r="D35" s="1094" t="str">
        <f>IF('Assets-Liab 5-6'!D4&lt;-0.49, "ERROR!","OK")</f>
        <v>OK</v>
      </c>
      <c r="L35" s="1163"/>
    </row>
    <row r="36" spans="1:12" x14ac:dyDescent="0.2">
      <c r="A36" s="1108"/>
      <c r="B36" s="1131"/>
      <c r="C36" s="1109" t="s">
        <v>813</v>
      </c>
      <c r="D36" s="1094" t="str">
        <f>IF('Assets-Liab 5-6'!E4&lt;-0.49, "ERROR!","OK")</f>
        <v>OK</v>
      </c>
    </row>
    <row r="37" spans="1:12" x14ac:dyDescent="0.2">
      <c r="A37" s="1108"/>
      <c r="B37" s="1131"/>
      <c r="C37" s="1109" t="s">
        <v>324</v>
      </c>
      <c r="D37" s="1094" t="str">
        <f>IF('Assets-Liab 5-6'!F4&lt;-0.49, "ERROR!","OK")</f>
        <v>OK</v>
      </c>
    </row>
    <row r="38" spans="1:12" x14ac:dyDescent="0.2">
      <c r="A38" s="1108"/>
      <c r="B38" s="1131"/>
      <c r="C38" s="1109" t="s">
        <v>325</v>
      </c>
      <c r="D38" s="1094" t="str">
        <f>IF('Assets-Liab 5-6'!G4&lt;-0.49, "ERROR!","OK")</f>
        <v>OK</v>
      </c>
    </row>
    <row r="39" spans="1:12" x14ac:dyDescent="0.2">
      <c r="A39" s="1108"/>
      <c r="B39" s="1131"/>
      <c r="C39" s="1109" t="s">
        <v>814</v>
      </c>
      <c r="D39" s="1094" t="str">
        <f>IF('Assets-Liab 5-6'!H4&lt;-0.49, "ERROR!","OK")</f>
        <v>OK</v>
      </c>
    </row>
    <row r="40" spans="1:12" x14ac:dyDescent="0.2">
      <c r="A40" s="1108"/>
      <c r="B40" s="1131"/>
      <c r="C40" s="1109" t="s">
        <v>326</v>
      </c>
      <c r="D40" s="1094" t="str">
        <f>IF('Assets-Liab 5-6'!I4&lt;-0.49, "ERROR!","OK")</f>
        <v>OK</v>
      </c>
    </row>
    <row r="41" spans="1:12" x14ac:dyDescent="0.2">
      <c r="A41" s="1108"/>
      <c r="B41" s="1131"/>
      <c r="C41" s="1109" t="s">
        <v>815</v>
      </c>
      <c r="D41" s="1094" t="str">
        <f>IF('Assets-Liab 5-6'!J4&lt;-0.49, "ERROR!","OK")</f>
        <v>OK</v>
      </c>
    </row>
    <row r="42" spans="1:12" x14ac:dyDescent="0.2">
      <c r="A42" s="1108"/>
      <c r="B42" s="1131"/>
      <c r="C42" s="1109" t="s">
        <v>327</v>
      </c>
      <c r="D42" s="1094" t="str">
        <f>IF('Assets-Liab 5-6'!K4&lt;-0.49, "ERROR!","OK")</f>
        <v>OK</v>
      </c>
    </row>
    <row r="43" spans="1:12" x14ac:dyDescent="0.2">
      <c r="A43" s="1110"/>
      <c r="B43" s="1111">
        <f>B33+1</f>
        <v>5</v>
      </c>
      <c r="C43" s="2410" t="s">
        <v>556</v>
      </c>
      <c r="D43" s="2411"/>
    </row>
    <row r="44" spans="1:12" x14ac:dyDescent="0.2">
      <c r="A44" s="1110"/>
      <c r="B44" s="1112"/>
      <c r="C44" s="1113" t="s">
        <v>1401</v>
      </c>
      <c r="D44" s="1114" t="str">
        <f>IF(SUM('Assets-Liab 5-6'!C13)&lt;&gt;SUM('Assets-Liab 5-6'!C41),"ERROR!","OK")</f>
        <v>OK</v>
      </c>
    </row>
    <row r="45" spans="1:12" x14ac:dyDescent="0.2">
      <c r="A45" s="1110"/>
      <c r="B45" s="1112"/>
      <c r="C45" s="1113" t="s">
        <v>1402</v>
      </c>
      <c r="D45" s="1114" t="str">
        <f>IF(SUM('Assets-Liab 5-6'!D13)&lt;&gt;SUM('Assets-Liab 5-6'!D41),"ERROR!","OK")</f>
        <v>OK</v>
      </c>
    </row>
    <row r="46" spans="1:12" x14ac:dyDescent="0.2">
      <c r="A46" s="1110"/>
      <c r="B46" s="1112"/>
      <c r="C46" s="1113" t="s">
        <v>1403</v>
      </c>
      <c r="D46" s="1114" t="str">
        <f>IF(SUM('Assets-Liab 5-6'!E13)&lt;&gt;SUM('Assets-Liab 5-6'!E41),"ERROR!","OK")</f>
        <v>OK</v>
      </c>
    </row>
    <row r="47" spans="1:12" x14ac:dyDescent="0.2">
      <c r="A47" s="1110"/>
      <c r="B47" s="1112"/>
      <c r="C47" s="1113" t="s">
        <v>1404</v>
      </c>
      <c r="D47" s="1114" t="str">
        <f>IF(SUM('Assets-Liab 5-6'!F13)&lt;&gt;SUM('Assets-Liab 5-6'!F41),"ERROR!","OK")</f>
        <v>OK</v>
      </c>
    </row>
    <row r="48" spans="1:12" x14ac:dyDescent="0.2">
      <c r="A48" s="1110"/>
      <c r="B48" s="1112"/>
      <c r="C48" s="1113" t="s">
        <v>1405</v>
      </c>
      <c r="D48" s="1114" t="str">
        <f>IF(SUM('Assets-Liab 5-6'!G13)&lt;&gt;SUM('Assets-Liab 5-6'!G41),"ERROR!","OK")</f>
        <v>OK</v>
      </c>
    </row>
    <row r="49" spans="1:4" x14ac:dyDescent="0.2">
      <c r="A49" s="1110"/>
      <c r="B49" s="1112"/>
      <c r="C49" s="1113" t="s">
        <v>1406</v>
      </c>
      <c r="D49" s="1114" t="str">
        <f>IF(SUM('Assets-Liab 5-6'!H13)&lt;&gt;SUM('Assets-Liab 5-6'!H41),"ERROR!","OK")</f>
        <v>OK</v>
      </c>
    </row>
    <row r="50" spans="1:4" x14ac:dyDescent="0.2">
      <c r="A50" s="1110"/>
      <c r="B50" s="1112"/>
      <c r="C50" s="1113" t="s">
        <v>1407</v>
      </c>
      <c r="D50" s="1114" t="str">
        <f>IF(SUM('Assets-Liab 5-6'!I13)&lt;&gt;SUM('Assets-Liab 5-6'!I41),"ERROR!","OK")</f>
        <v>OK</v>
      </c>
    </row>
    <row r="51" spans="1:4" x14ac:dyDescent="0.2">
      <c r="A51" s="1110"/>
      <c r="B51" s="1112"/>
      <c r="C51" s="1113" t="s">
        <v>1408</v>
      </c>
      <c r="D51" s="1114" t="str">
        <f>IF(SUM('Assets-Liab 5-6'!J13)&lt;&gt;SUM('Assets-Liab 5-6'!J41),"ERROR!","OK")</f>
        <v>OK</v>
      </c>
    </row>
    <row r="52" spans="1:4" x14ac:dyDescent="0.2">
      <c r="A52" s="1110"/>
      <c r="B52" s="1112"/>
      <c r="C52" s="1113" t="s">
        <v>1409</v>
      </c>
      <c r="D52" s="1114" t="str">
        <f>IF(SUM('Assets-Liab 5-6'!K13)&lt;&gt;SUM('Assets-Liab 5-6'!K41),"ERROR!","OK")</f>
        <v>OK</v>
      </c>
    </row>
    <row r="53" spans="1:4" x14ac:dyDescent="0.2">
      <c r="A53" s="1110"/>
      <c r="B53" s="1112"/>
      <c r="C53" s="1113" t="s">
        <v>1410</v>
      </c>
      <c r="D53" s="1114" t="str">
        <f>IF(SUM('Assets-Liab 5-6'!L13)&lt;&gt;('Assets-Liab 5-6'!L41),"ERROR!","OK")</f>
        <v>OK</v>
      </c>
    </row>
    <row r="54" spans="1:4" x14ac:dyDescent="0.2">
      <c r="A54" s="1110"/>
      <c r="B54" s="1112"/>
      <c r="C54" s="1113" t="s">
        <v>1411</v>
      </c>
      <c r="D54" s="1114" t="str">
        <f>IF(SUM('Assets-Liab 5-6'!M23)&lt;&gt;('Assets-Liab 5-6'!M41),"ERROR!","OK")</f>
        <v>OK</v>
      </c>
    </row>
    <row r="55" spans="1:4" x14ac:dyDescent="0.2">
      <c r="A55" s="1110"/>
      <c r="B55" s="1112"/>
      <c r="C55" s="1113" t="s">
        <v>1412</v>
      </c>
      <c r="D55" s="1114" t="str">
        <f>IF(SUM('Assets-Liab 5-6'!N23)&lt;&gt;('Assets-Liab 5-6'!N41),"ERROR!","OK")</f>
        <v>OK</v>
      </c>
    </row>
    <row r="56" spans="1:4" x14ac:dyDescent="0.2">
      <c r="A56" s="1091"/>
      <c r="B56" s="1111">
        <f>B43+1</f>
        <v>6</v>
      </c>
      <c r="C56" s="2402" t="s">
        <v>816</v>
      </c>
      <c r="D56" s="2403"/>
    </row>
    <row r="57" spans="1:4" s="1107" customFormat="1" x14ac:dyDescent="0.2">
      <c r="A57" s="1091"/>
      <c r="B57" s="1101"/>
      <c r="C57" s="1109" t="s">
        <v>1413</v>
      </c>
      <c r="D57" s="1115" t="str">
        <f>IF('Assets-Liab 5-6'!C38+'Assets-Liab 5-6'!C39='Acct Summary 7-8'!C81,"OK","ERROR!")</f>
        <v>OK</v>
      </c>
    </row>
    <row r="58" spans="1:4" x14ac:dyDescent="0.2">
      <c r="A58" s="1091"/>
      <c r="B58" s="1101"/>
      <c r="C58" s="1109" t="s">
        <v>1414</v>
      </c>
      <c r="D58" s="1115" t="str">
        <f>IF((('Assets-Liab 5-6'!D38+'Assets-Liab 5-6'!D39) ='Acct Summary 7-8'!D81), "OK", "ERROR!" )</f>
        <v>OK</v>
      </c>
    </row>
    <row r="59" spans="1:4" s="1107" customFormat="1" x14ac:dyDescent="0.2">
      <c r="A59" s="1091"/>
      <c r="B59" s="1101"/>
      <c r="C59" s="1109" t="s">
        <v>1415</v>
      </c>
      <c r="D59" s="1115" t="str">
        <f>IF((('Assets-Liab 5-6'!E38 + 'Assets-Liab 5-6'!E39) ='Acct Summary 7-8'!E81), "OK", "ERROR!" )</f>
        <v>OK</v>
      </c>
    </row>
    <row r="60" spans="1:4" x14ac:dyDescent="0.2">
      <c r="A60" s="1091"/>
      <c r="B60" s="1101"/>
      <c r="C60" s="1109" t="s">
        <v>1416</v>
      </c>
      <c r="D60" s="1115" t="str">
        <f>IF((('Assets-Liab 5-6'!F38 + 'Assets-Liab 5-6'!F39) ='Acct Summary 7-8'!F81), "OK", "ERROR!" )</f>
        <v>OK</v>
      </c>
    </row>
    <row r="61" spans="1:4" ht="12.75" customHeight="1" x14ac:dyDescent="0.2">
      <c r="A61" s="1091"/>
      <c r="B61" s="1101"/>
      <c r="C61" s="1109" t="s">
        <v>1429</v>
      </c>
      <c r="D61" s="1115" t="str">
        <f>IF((('Assets-Liab 5-6'!G38 + 'Assets-Liab 5-6'!G39) ='Acct Summary 7-8'!G81), "OK", "ERROR!" )</f>
        <v>OK</v>
      </c>
    </row>
    <row r="62" spans="1:4" x14ac:dyDescent="0.2">
      <c r="A62" s="1091"/>
      <c r="B62" s="1101"/>
      <c r="C62" s="1109" t="s">
        <v>1417</v>
      </c>
      <c r="D62" s="1115" t="str">
        <f>IF((('Assets-Liab 5-6'!H38 + 'Assets-Liab 5-6'!H39) ='Acct Summary 7-8'!H81), "OK", "ERROR!" )</f>
        <v>OK</v>
      </c>
    </row>
    <row r="63" spans="1:4" ht="12.75" customHeight="1" x14ac:dyDescent="0.2">
      <c r="A63" s="1091"/>
      <c r="B63" s="1101"/>
      <c r="C63" s="1109" t="s">
        <v>1418</v>
      </c>
      <c r="D63" s="1115" t="str">
        <f>IF((('Assets-Liab 5-6'!I38 + 'Assets-Liab 5-6'!I39) ='Acct Summary 7-8'!I81), "OK", "ERROR!" )</f>
        <v>OK</v>
      </c>
    </row>
    <row r="64" spans="1:4" x14ac:dyDescent="0.2">
      <c r="A64" s="1091"/>
      <c r="B64" s="1101"/>
      <c r="C64" s="1109" t="s">
        <v>1419</v>
      </c>
      <c r="D64" s="1115" t="str">
        <f>IF((('Assets-Liab 5-6'!J38 + 'Assets-Liab 5-6'!J39) ='Acct Summary 7-8'!J81), "OK", "ERROR!" )</f>
        <v>OK</v>
      </c>
    </row>
    <row r="65" spans="1:4" x14ac:dyDescent="0.2">
      <c r="A65" s="1108"/>
      <c r="B65" s="1101"/>
      <c r="C65" s="1109" t="s">
        <v>1430</v>
      </c>
      <c r="D65" s="1115" t="str">
        <f>IF((('Assets-Liab 5-6'!K38 + 'Assets-Liab 5-6'!K39) ='Acct Summary 7-8'!K81), "OK", "ERROR!" )</f>
        <v>OK</v>
      </c>
    </row>
    <row r="66" spans="1:4" x14ac:dyDescent="0.2">
      <c r="A66" s="1089"/>
      <c r="B66" s="1131">
        <f>B56+1+1</f>
        <v>8</v>
      </c>
      <c r="C66" s="1137" t="s">
        <v>2049</v>
      </c>
      <c r="D66" s="1116"/>
    </row>
    <row r="67" spans="1:4" x14ac:dyDescent="0.2">
      <c r="A67" s="1110"/>
      <c r="B67" s="1131"/>
      <c r="C67" s="1138" t="s">
        <v>1078</v>
      </c>
      <c r="D67" s="1116"/>
    </row>
    <row r="68" spans="1:4" x14ac:dyDescent="0.2">
      <c r="A68" s="1091"/>
      <c r="B68" s="1101"/>
      <c r="C68" s="1093" t="s">
        <v>2050</v>
      </c>
      <c r="D68" s="1115" t="str">
        <f>IF('Short-Term Long-Term Debt 24'!F49=SUM(,'Acct Summary 7-8'!C33:K33),"OK","ERROR!")</f>
        <v>OK</v>
      </c>
    </row>
    <row r="69" spans="1:4" x14ac:dyDescent="0.2">
      <c r="A69" s="1091"/>
      <c r="B69" s="1101"/>
      <c r="C69" s="1093" t="s">
        <v>2051</v>
      </c>
      <c r="D69" s="1115" t="str">
        <f>IF('Expenditures 15-22'!H170&lt;&gt;'Short-Term Long-Term Debt 24'!H49,"ERROR!","OK")</f>
        <v>OK</v>
      </c>
    </row>
    <row r="70" spans="1:4" x14ac:dyDescent="0.2">
      <c r="A70" s="1089"/>
      <c r="B70" s="1111">
        <f>B66+1</f>
        <v>9</v>
      </c>
      <c r="C70" s="2402" t="s">
        <v>1796</v>
      </c>
      <c r="D70" s="2403"/>
    </row>
    <row r="71" spans="1:4" x14ac:dyDescent="0.2">
      <c r="A71" s="1089"/>
      <c r="B71" s="1111"/>
      <c r="C71" s="1093" t="s">
        <v>1420</v>
      </c>
      <c r="D71" s="1117" t="str">
        <f>IF(SUM('Acct Summary 7-8'!C27:K27) =SUM( 'Acct Summary 7-8'!C49:K49),"OK", "ERROR")</f>
        <v>OK</v>
      </c>
    </row>
    <row r="72" spans="1:4" x14ac:dyDescent="0.2">
      <c r="A72" s="1091"/>
      <c r="B72" s="1101"/>
      <c r="C72" s="1109" t="s">
        <v>1421</v>
      </c>
      <c r="D72" s="1115" t="str">
        <f>IF(SUM('Acct Summary 7-8'!C28:K28)=SUM('Acct Summary 7-8'!C50:K50),"OK","ERROR!")</f>
        <v>OK</v>
      </c>
    </row>
    <row r="73" spans="1:4" ht="24" x14ac:dyDescent="0.2">
      <c r="A73" s="1118"/>
      <c r="B73" s="1101"/>
      <c r="C73" s="1109" t="s">
        <v>1797</v>
      </c>
      <c r="D73" s="1117" t="str">
        <f>IF(SUM('Acct Summary 7-8'!C42:K42)&gt;=SUM( 'Acct Summary 7-8'!C74:K74),"OK", "ERROR")</f>
        <v>OK</v>
      </c>
    </row>
    <row r="74" spans="1:4" x14ac:dyDescent="0.2">
      <c r="A74" s="1089"/>
      <c r="B74" s="1111">
        <f>B70+1</f>
        <v>10</v>
      </c>
      <c r="C74" s="1105" t="s">
        <v>2052</v>
      </c>
      <c r="D74" s="1119"/>
    </row>
    <row r="75" spans="1:4" x14ac:dyDescent="0.2">
      <c r="A75" s="1091"/>
      <c r="B75" s="1101"/>
      <c r="C75" s="1109" t="s">
        <v>1443</v>
      </c>
      <c r="D75" s="1115" t="str">
        <f>IF(SUM('Assets-Liab 5-6'!C38:H38)&gt;=SUM('Rest Tax Levies-Tort Im 25'!G25:K25),"OK","ERROR")</f>
        <v>OK</v>
      </c>
    </row>
    <row r="76" spans="1:4" x14ac:dyDescent="0.2">
      <c r="A76" s="1091"/>
      <c r="B76" s="1101"/>
      <c r="C76" s="1109" t="s">
        <v>1489</v>
      </c>
      <c r="D76" s="1115" t="str">
        <f>IF(SUM('Assets-Liab 5-6'!C39:K39)&gt;0,"OK","ENTRY IS REQUIRED!")</f>
        <v>OK</v>
      </c>
    </row>
    <row r="77" spans="1:4" x14ac:dyDescent="0.2">
      <c r="A77" s="1091"/>
      <c r="B77" s="1120">
        <f>B74+1</f>
        <v>11</v>
      </c>
      <c r="C77" s="1165" t="s">
        <v>1444</v>
      </c>
      <c r="D77" s="1115"/>
    </row>
    <row r="78" spans="1:4" x14ac:dyDescent="0.2">
      <c r="A78" s="1091"/>
      <c r="B78" s="1101"/>
      <c r="C78" s="1109" t="s">
        <v>2053</v>
      </c>
      <c r="D78" s="1115" t="str">
        <f>IF(ISNUMBER('Acct Summary 7-8'!C9),"OK","ENTRY IS REQUIRED!")</f>
        <v>OK</v>
      </c>
    </row>
    <row r="79" spans="1:4" x14ac:dyDescent="0.2">
      <c r="A79" s="1110"/>
      <c r="B79" s="1111">
        <f>B74+1+1</f>
        <v>12</v>
      </c>
      <c r="C79" s="1121" t="s">
        <v>2018</v>
      </c>
      <c r="D79" s="1122" t="str">
        <f>IF(OR(COVER!$B$6="X",'PCTC-OEPP 27-28'!F78&gt;0),"OK","PLEASE ENTER 9 MO ADA.")</f>
        <v>OK</v>
      </c>
    </row>
    <row r="80" spans="1:4" x14ac:dyDescent="0.2">
      <c r="A80" s="1089"/>
      <c r="B80" s="1111">
        <v>13</v>
      </c>
      <c r="C80" s="1121" t="s">
        <v>2054</v>
      </c>
      <c r="D80" s="1122" t="str">
        <f>IF('Contracts Paid in CY 29'!D141&gt;0,"OK","PLEASE ENTER CONTRACTS PAID IN CURRENT YEAR.")</f>
        <v>OK</v>
      </c>
    </row>
    <row r="81" spans="1:4" x14ac:dyDescent="0.2">
      <c r="A81" s="1089"/>
      <c r="B81" s="1111">
        <v>14</v>
      </c>
      <c r="C81" s="1121" t="s">
        <v>1495</v>
      </c>
      <c r="D81" s="1114" t="str">
        <f>IF('Shared Outsourced Services 31'!B8="X","OK",IF('Shared Outsourced Services 31'!K34&gt;0,"OK","ENTRY REQUIRED!"))</f>
        <v>OK</v>
      </c>
    </row>
    <row r="82" spans="1:4" x14ac:dyDescent="0.2">
      <c r="A82" s="1110"/>
      <c r="B82" s="1111">
        <v>15</v>
      </c>
      <c r="C82" s="1121" t="s">
        <v>1494</v>
      </c>
      <c r="D82" s="112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8" t="s">
        <v>279</v>
      </c>
    </row>
    <row r="2" spans="1:2" x14ac:dyDescent="0.2">
      <c r="A2" t="s">
        <v>280</v>
      </c>
      <c r="B2" s="138">
        <f>COVER!A13</f>
        <v>35050140017</v>
      </c>
    </row>
    <row r="3" spans="1:2" x14ac:dyDescent="0.2">
      <c r="A3" t="s">
        <v>1012</v>
      </c>
      <c r="B3" s="138" t="str">
        <f>COVER!A15</f>
        <v>LaSalle</v>
      </c>
    </row>
    <row r="4" spans="1:2" x14ac:dyDescent="0.2">
      <c r="A4" t="s">
        <v>1063</v>
      </c>
      <c r="B4" s="138" t="str">
        <f>COVER!A17</f>
        <v>Ottawa Township High School</v>
      </c>
    </row>
    <row r="5" spans="1:2" x14ac:dyDescent="0.2">
      <c r="A5" t="s">
        <v>727</v>
      </c>
      <c r="B5" s="138" t="str">
        <f>COVER!A38</f>
        <v>Michael Cushing</v>
      </c>
    </row>
    <row r="6" spans="1:2" x14ac:dyDescent="0.2">
      <c r="A6" t="s">
        <v>732</v>
      </c>
      <c r="B6" s="138">
        <f>COVER!P35</f>
        <v>0</v>
      </c>
    </row>
    <row r="7" spans="1:2" x14ac:dyDescent="0.2">
      <c r="A7" t="s">
        <v>728</v>
      </c>
      <c r="B7" s="138">
        <f>COVER!I38</f>
        <v>0</v>
      </c>
    </row>
    <row r="8" spans="1:2" x14ac:dyDescent="0.2">
      <c r="A8" t="s">
        <v>729</v>
      </c>
      <c r="B8" s="138">
        <f>COVER!T38</f>
        <v>0</v>
      </c>
    </row>
    <row r="9" spans="1:2" x14ac:dyDescent="0.2">
      <c r="A9" s="3" t="s">
        <v>1013</v>
      </c>
      <c r="B9" s="158" t="str">
        <f>AUDITCHECK!D23</f>
        <v>CASH</v>
      </c>
    </row>
    <row r="10" spans="1:2" x14ac:dyDescent="0.2">
      <c r="A10" t="s">
        <v>1032</v>
      </c>
      <c r="B10" s="138" t="str">
        <f>COVER!B5</f>
        <v>x</v>
      </c>
    </row>
    <row r="11" spans="1:2" x14ac:dyDescent="0.2">
      <c r="A11" t="s">
        <v>1033</v>
      </c>
      <c r="B11" s="138">
        <f>COVER!B6</f>
        <v>0</v>
      </c>
    </row>
    <row r="12" spans="1:2" x14ac:dyDescent="0.2">
      <c r="A12" s="1" t="s">
        <v>1623</v>
      </c>
      <c r="B12" s="138" t="str">
        <f>IF(COVER!J29="x","Yes",IF(COVER!L29="X","No",0))</f>
        <v>No</v>
      </c>
    </row>
    <row r="13" spans="1:2" x14ac:dyDescent="0.2">
      <c r="A13" s="1" t="s">
        <v>1624</v>
      </c>
      <c r="B13" s="138" t="str">
        <f>IF(COVER!J30="x","Yes",IF(COVER!L30="x","No",0))</f>
        <v>No</v>
      </c>
    </row>
    <row r="14" spans="1:2" x14ac:dyDescent="0.2">
      <c r="A14" t="s">
        <v>496</v>
      </c>
      <c r="B14" s="138">
        <f>IF(COVER!J31="x","Yes",IF(COVER!L31="x","No",0))</f>
        <v>0</v>
      </c>
    </row>
    <row r="15" spans="1:2" x14ac:dyDescent="0.2">
      <c r="A15" t="s">
        <v>597</v>
      </c>
      <c r="B15" s="138" t="str">
        <f>COVER!T23</f>
        <v>060-003995</v>
      </c>
    </row>
    <row r="16" spans="1:2" x14ac:dyDescent="0.2">
      <c r="A16" t="s">
        <v>441</v>
      </c>
      <c r="B16" s="138" t="str">
        <f>COVER!T13</f>
        <v>Roenfeldt &amp; Lockas, P.C.</v>
      </c>
    </row>
    <row r="17" spans="1:2" x14ac:dyDescent="0.2">
      <c r="A17" t="s">
        <v>938</v>
      </c>
      <c r="B17" s="138" t="str">
        <f>COVER!T15</f>
        <v>Duane K. Lockas, C.P.A.</v>
      </c>
    </row>
    <row r="18" spans="1:2" x14ac:dyDescent="0.2">
      <c r="A18" t="s">
        <v>1211</v>
      </c>
      <c r="B18" s="138" t="str">
        <f>COVER!T17</f>
        <v>1100 Columbus Street</v>
      </c>
    </row>
    <row r="19" spans="1:2" x14ac:dyDescent="0.2">
      <c r="A19" t="s">
        <v>940</v>
      </c>
      <c r="B19" s="138" t="str">
        <f>COVER!T25</f>
        <v>admin@roenfeldtlockas.com</v>
      </c>
    </row>
    <row r="20" spans="1:2" x14ac:dyDescent="0.2">
      <c r="A20" t="s">
        <v>941</v>
      </c>
      <c r="B20" s="138" t="str">
        <f>COVER!T19</f>
        <v>Ottawa</v>
      </c>
    </row>
    <row r="21" spans="1:2" x14ac:dyDescent="0.2">
      <c r="A21" t="s">
        <v>499</v>
      </c>
      <c r="B21" s="138" t="str">
        <f>COVER!X19</f>
        <v>Illinois</v>
      </c>
    </row>
    <row r="22" spans="1:2" x14ac:dyDescent="0.2">
      <c r="A22" t="s">
        <v>942</v>
      </c>
      <c r="B22" s="138">
        <f>COVER!Z19</f>
        <v>61350</v>
      </c>
    </row>
    <row r="23" spans="1:2" x14ac:dyDescent="0.2">
      <c r="A23" t="s">
        <v>1213</v>
      </c>
      <c r="B23" s="138" t="str">
        <f>COVER!T21</f>
        <v>815-433-0464</v>
      </c>
    </row>
    <row r="24" spans="1:2" x14ac:dyDescent="0.2">
      <c r="A24" t="s">
        <v>1212</v>
      </c>
      <c r="B24" s="138">
        <f>COVER!Y21</f>
        <v>0</v>
      </c>
    </row>
    <row r="25" spans="1:2" x14ac:dyDescent="0.2">
      <c r="A25" t="s">
        <v>784</v>
      </c>
      <c r="B25" s="138">
        <f>COVER!B34</f>
        <v>0</v>
      </c>
    </row>
    <row r="26" spans="1:2" x14ac:dyDescent="0.2">
      <c r="A26" t="s">
        <v>1214</v>
      </c>
      <c r="B26" s="138">
        <f>COVER!L34</f>
        <v>0</v>
      </c>
    </row>
    <row r="27" spans="1:2" x14ac:dyDescent="0.2">
      <c r="A27" t="s">
        <v>285</v>
      </c>
      <c r="B27" s="138">
        <f>COVER!U34</f>
        <v>0</v>
      </c>
    </row>
    <row r="28" spans="1:2" x14ac:dyDescent="0.2">
      <c r="A28" t="s">
        <v>333</v>
      </c>
      <c r="B28" s="138" t="str">
        <f>IF('Aud Quest 2'!B9="x","Yes",IF('Aud Quest 2'!B9&lt;&gt;"x","0"))</f>
        <v>0</v>
      </c>
    </row>
    <row r="29" spans="1:2" x14ac:dyDescent="0.2">
      <c r="A29" t="s">
        <v>334</v>
      </c>
      <c r="B29" s="138" t="str">
        <f>IF('Aud Quest 2'!B11="x","Yes",IF('Aud Quest 2'!B11&lt;&gt;"x","0"))</f>
        <v>0</v>
      </c>
    </row>
    <row r="30" spans="1:2" x14ac:dyDescent="0.2">
      <c r="A30" t="s">
        <v>335</v>
      </c>
      <c r="B30" s="138" t="str">
        <f>IF('Aud Quest 2'!B13="x","Yes",IF('Aud Quest 2'!B13&lt;&gt;"x","0"))</f>
        <v>0</v>
      </c>
    </row>
    <row r="31" spans="1:2" x14ac:dyDescent="0.2">
      <c r="A31" t="s">
        <v>679</v>
      </c>
      <c r="B31" s="138" t="str">
        <f>IF('Aud Quest 2'!B14="x","Yes",IF('Aud Quest 2'!B14&lt;&gt;"x","0"))</f>
        <v>0</v>
      </c>
    </row>
    <row r="32" spans="1:2" x14ac:dyDescent="0.2">
      <c r="A32" t="s">
        <v>678</v>
      </c>
      <c r="B32" s="138" t="str">
        <f>IF('Aud Quest 2'!B15="x","Yes",IF('Aud Quest 2'!B15&lt;&gt;"x","0"))</f>
        <v>0</v>
      </c>
    </row>
    <row r="33" spans="1:2" x14ac:dyDescent="0.2">
      <c r="A33" t="s">
        <v>680</v>
      </c>
      <c r="B33" s="138" t="str">
        <f>IF('Aud Quest 2'!B16="x","Yes",IF('Aud Quest 2'!B16&lt;&gt;"x","0"))</f>
        <v>0</v>
      </c>
    </row>
    <row r="34" spans="1:2" x14ac:dyDescent="0.2">
      <c r="A34" t="s">
        <v>681</v>
      </c>
      <c r="B34" s="138" t="str">
        <f>IF('Aud Quest 2'!B18="x","Yes",IF('Aud Quest 2'!B18&lt;&gt;"x","0"))</f>
        <v>0</v>
      </c>
    </row>
    <row r="35" spans="1:2" x14ac:dyDescent="0.2">
      <c r="A35" t="s">
        <v>682</v>
      </c>
      <c r="B35" s="138" t="str">
        <f>IF('Aud Quest 2'!B20="x","Yes",IF('Aud Quest 2'!B20&lt;&gt;"x","0"))</f>
        <v>0</v>
      </c>
    </row>
    <row r="36" spans="1:2" x14ac:dyDescent="0.2">
      <c r="A36" t="s">
        <v>676</v>
      </c>
      <c r="B36" s="138" t="str">
        <f>IF('Aud Quest 2'!B22="x","Yes",IF('Aud Quest 2'!B22&lt;&gt;"x","0"))</f>
        <v>0</v>
      </c>
    </row>
    <row r="37" spans="1:2" x14ac:dyDescent="0.2">
      <c r="A37" t="s">
        <v>783</v>
      </c>
      <c r="B37" s="138" t="str">
        <f>IF('Aud Quest 2'!B24="x","Yes",IF('Aud Quest 2'!B24&lt;&gt;"x","0"))</f>
        <v>0</v>
      </c>
    </row>
    <row r="38" spans="1:2" x14ac:dyDescent="0.2">
      <c r="A38" t="s">
        <v>344</v>
      </c>
      <c r="B38" s="138" t="str">
        <f>IF('Aud Quest 2'!B25="x","Yes",IF('Aud Quest 2'!B25&lt;&gt;"x","0"))</f>
        <v>0</v>
      </c>
    </row>
    <row r="39" spans="1:2" x14ac:dyDescent="0.2">
      <c r="A39" t="s">
        <v>345</v>
      </c>
      <c r="B39" s="138" t="str">
        <f>IF('Aud Quest 2'!B27="x","Yes",IF('Aud Quest 2'!B27&lt;&gt;"x","0"))</f>
        <v>0</v>
      </c>
    </row>
    <row r="40" spans="1:2" x14ac:dyDescent="0.2">
      <c r="A40" t="s">
        <v>336</v>
      </c>
      <c r="B40" s="138" t="str">
        <f>IF('Aud Quest 2'!B29="x","Yes",IF('Aud Quest 2'!B29&lt;&gt;"x","0"))</f>
        <v>0</v>
      </c>
    </row>
    <row r="41" spans="1:2" x14ac:dyDescent="0.2">
      <c r="A41" t="s">
        <v>337</v>
      </c>
      <c r="B41" s="138" t="str">
        <f>IF('Aud Quest 2'!B31="x","Yes",IF('Aud Quest 2'!B31&lt;&gt;"x","0"))</f>
        <v>0</v>
      </c>
    </row>
    <row r="42" spans="1:2" x14ac:dyDescent="0.2">
      <c r="A42" t="s">
        <v>338</v>
      </c>
      <c r="B42" s="138" t="str">
        <f>IF('Aud Quest 2'!B37="x","Yes",IF('Aud Quest 2'!B37&lt;&gt;"x","0"))</f>
        <v>0</v>
      </c>
    </row>
    <row r="43" spans="1:2" x14ac:dyDescent="0.2">
      <c r="A43" t="s">
        <v>339</v>
      </c>
      <c r="B43" s="138" t="str">
        <f>IF('Aud Quest 2'!B40="x","Yes",IF('Aud Quest 2'!B40&lt;&gt;"x","0"))</f>
        <v>0</v>
      </c>
    </row>
    <row r="44" spans="1:2" x14ac:dyDescent="0.2">
      <c r="A44" s="1" t="s">
        <v>340</v>
      </c>
      <c r="B44" s="138" t="str">
        <f>IF('Aud Quest 2'!B42="x","Yes",IF('Aud Quest 2'!B42&lt;&gt;"x","0"))</f>
        <v>0</v>
      </c>
    </row>
    <row r="45" spans="1:2" x14ac:dyDescent="0.2">
      <c r="A45" t="s">
        <v>341</v>
      </c>
      <c r="B45" s="138" t="str">
        <f>IF('Aud Quest 2'!B44="x","Yes",IF('Aud Quest 2'!B44&lt;&gt;"x","0"))</f>
        <v>0</v>
      </c>
    </row>
    <row r="46" spans="1:2" x14ac:dyDescent="0.2">
      <c r="A46" t="s">
        <v>342</v>
      </c>
      <c r="B46" s="138" t="str">
        <f>IF('Aud Quest 2'!B49="x","Yes",IF('Aud Quest 2'!B49&lt;&gt;"x","0"))</f>
        <v>0</v>
      </c>
    </row>
    <row r="47" spans="1:2" x14ac:dyDescent="0.2">
      <c r="A47" t="s">
        <v>343</v>
      </c>
      <c r="B47" s="138" t="str">
        <f>IF('Aud Quest 2'!B50="x","Yes",IF('Aud Quest 2'!B50&lt;&gt;"x","0"))</f>
        <v>0</v>
      </c>
    </row>
    <row r="48" spans="1:2" x14ac:dyDescent="0.2">
      <c r="A48" t="s">
        <v>503</v>
      </c>
      <c r="B48" s="138" t="str">
        <f>IF('Aud Quest 2'!B51="x","Yes",IF('Aud Quest 2'!B51&lt;&gt;"x","0"))</f>
        <v>0</v>
      </c>
    </row>
    <row r="49" spans="1:4" x14ac:dyDescent="0.2">
      <c r="A49" s="1" t="s">
        <v>1559</v>
      </c>
      <c r="B49" s="138" t="str">
        <f>IF('Aud Quest 2'!B53="x","Yes",IF('Aud Quest 2'!B53&lt;&gt;"x","0"))</f>
        <v>0</v>
      </c>
    </row>
    <row r="50" spans="1:4" x14ac:dyDescent="0.2">
      <c r="A50" s="1" t="s">
        <v>1558</v>
      </c>
      <c r="B50" s="150">
        <f>'Aud Quest 2'!H53</f>
        <v>0</v>
      </c>
    </row>
    <row r="51" spans="1:4" x14ac:dyDescent="0.2">
      <c r="A51" s="1" t="s">
        <v>1560</v>
      </c>
      <c r="B51" s="138" t="str">
        <f>IF('Aud Quest 2'!B54="x","Yes",IF('Aud Quest 2'!B54&lt;&gt;"x","0"))</f>
        <v>0</v>
      </c>
    </row>
    <row r="52" spans="1:4" x14ac:dyDescent="0.2">
      <c r="A52" t="s">
        <v>346</v>
      </c>
      <c r="B52" s="138">
        <f>('Aud Quest 2'!D56)</f>
        <v>0</v>
      </c>
    </row>
    <row r="53" spans="1:4" x14ac:dyDescent="0.2">
      <c r="A53" s="1" t="s">
        <v>347</v>
      </c>
      <c r="B53" s="138">
        <f>IF('FP Info 3'!B44="X","Yes",0)</f>
        <v>0</v>
      </c>
    </row>
    <row r="54" spans="1:4" x14ac:dyDescent="0.2">
      <c r="A54" t="s">
        <v>348</v>
      </c>
      <c r="B54" s="138">
        <f>IF('FP Info 3'!B45="X","Yes",0)</f>
        <v>0</v>
      </c>
    </row>
    <row r="55" spans="1:4" x14ac:dyDescent="0.2">
      <c r="A55" t="s">
        <v>349</v>
      </c>
      <c r="B55" s="138">
        <f>IF('FP Info 3'!B46="X","Yes",0)</f>
        <v>0</v>
      </c>
    </row>
    <row r="56" spans="1:4" x14ac:dyDescent="0.2">
      <c r="A56" t="s">
        <v>350</v>
      </c>
      <c r="B56" s="138">
        <f>IF('FP Info 3'!B47="X","Yes",0)</f>
        <v>0</v>
      </c>
    </row>
    <row r="57" spans="1:4" x14ac:dyDescent="0.2">
      <c r="A57" t="s">
        <v>351</v>
      </c>
      <c r="B57" s="138">
        <f>IF('FP Info 3'!B48="X","Yes",0)</f>
        <v>0</v>
      </c>
    </row>
    <row r="58" spans="1:4" x14ac:dyDescent="0.2">
      <c r="A58" t="s">
        <v>352</v>
      </c>
      <c r="B58" s="138">
        <f>IF('FP Info 3'!B49="X","Yes",0)</f>
        <v>0</v>
      </c>
    </row>
    <row r="59" spans="1:4" x14ac:dyDescent="0.2">
      <c r="A59" t="s">
        <v>353</v>
      </c>
      <c r="B59" s="138">
        <f>IF('FP Info 3'!B50="X","Yes",0)</f>
        <v>0</v>
      </c>
    </row>
    <row r="60" spans="1:4" x14ac:dyDescent="0.2">
      <c r="A60" t="s">
        <v>354</v>
      </c>
      <c r="B60" s="138">
        <f>IF('FP Info 3'!B51="X","Yes",0)</f>
        <v>0</v>
      </c>
    </row>
    <row r="61" spans="1:4" x14ac:dyDescent="0.2">
      <c r="A61" t="s">
        <v>355</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5931559</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9145000</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752</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-9536</v>
      </c>
      <c r="C91" s="2" t="s">
        <v>593</v>
      </c>
      <c r="D91" s="2" t="str">
        <f t="shared" si="0"/>
        <v>Error?</v>
      </c>
    </row>
    <row r="92" spans="1:4" x14ac:dyDescent="0.2">
      <c r="A92" s="5">
        <v>31</v>
      </c>
      <c r="B92" s="138">
        <f>'Assets-Liab 5-6'!C39</f>
        <v>8618156</v>
      </c>
      <c r="D92" s="2" t="str">
        <f t="shared" si="0"/>
        <v>Error?</v>
      </c>
    </row>
    <row r="93" spans="1:4" x14ac:dyDescent="0.2">
      <c r="A93" s="5">
        <v>32</v>
      </c>
      <c r="B93" s="138">
        <f>'Assets-Liab 5-6'!C41</f>
        <v>9145000</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463528</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573218</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-1518</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-1294</v>
      </c>
      <c r="C122" s="2" t="s">
        <v>593</v>
      </c>
      <c r="D122" s="2" t="str">
        <f t="shared" si="0"/>
        <v>Error?</v>
      </c>
    </row>
    <row r="123" spans="1:4" x14ac:dyDescent="0.2">
      <c r="A123" s="5">
        <v>62</v>
      </c>
      <c r="B123" s="138">
        <f>'Assets-Liab 5-6'!D39</f>
        <v>557171</v>
      </c>
      <c r="D123" s="2" t="str">
        <f t="shared" si="0"/>
        <v>Error?</v>
      </c>
    </row>
    <row r="124" spans="1:4" x14ac:dyDescent="0.2">
      <c r="A124" s="5">
        <v>63</v>
      </c>
      <c r="B124" s="138">
        <f>'Assets-Liab 5-6'!D41</f>
        <v>573218</v>
      </c>
      <c r="C124" s="2" t="s">
        <v>593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880</v>
      </c>
      <c r="D129" s="2" t="str">
        <f t="shared" si="1"/>
        <v>Error?</v>
      </c>
    </row>
    <row r="130" spans="1:4" x14ac:dyDescent="0.2">
      <c r="A130" s="5">
        <v>69</v>
      </c>
      <c r="B130" s="138">
        <f>'Assets-Liab 5-6'!E12</f>
        <v>0</v>
      </c>
      <c r="D130" s="2" t="str">
        <f t="shared" si="1"/>
        <v>Error?</v>
      </c>
    </row>
    <row r="131" spans="1:4" x14ac:dyDescent="0.2">
      <c r="A131" s="5">
        <v>70</v>
      </c>
      <c r="B131" s="138">
        <f>'Assets-Liab 5-6'!E13</f>
        <v>6042</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593</v>
      </c>
      <c r="D139" s="2" t="str">
        <f t="shared" si="1"/>
        <v>Error?</v>
      </c>
    </row>
    <row r="140" spans="1:4" x14ac:dyDescent="0.2">
      <c r="A140" s="5">
        <v>79</v>
      </c>
      <c r="B140" s="138">
        <f>'Assets-Liab 5-6'!E39</f>
        <v>6042</v>
      </c>
      <c r="D140" s="2" t="str">
        <f t="shared" si="1"/>
        <v>Error?</v>
      </c>
    </row>
    <row r="141" spans="1:4" x14ac:dyDescent="0.2">
      <c r="A141" s="5">
        <v>80</v>
      </c>
      <c r="B141" s="138">
        <f>'Assets-Liab 5-6'!E41</f>
        <v>6042</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724697</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1010207</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655</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655</v>
      </c>
      <c r="C169" s="2" t="s">
        <v>593</v>
      </c>
      <c r="D169" s="2" t="str">
        <f t="shared" si="1"/>
        <v>Error?</v>
      </c>
    </row>
    <row r="170" spans="1:4" x14ac:dyDescent="0.2">
      <c r="A170" s="5">
        <v>109</v>
      </c>
      <c r="B170" s="138">
        <f>'Assets-Liab 5-6'!F39</f>
        <v>869391</v>
      </c>
      <c r="D170" s="2" t="str">
        <f t="shared" si="1"/>
        <v>Error?</v>
      </c>
    </row>
    <row r="171" spans="1:4" x14ac:dyDescent="0.2">
      <c r="A171" s="5">
        <v>110</v>
      </c>
      <c r="B171" s="138">
        <f>'Assets-Liab 5-6'!F41</f>
        <v>1010207</v>
      </c>
      <c r="C171" s="2" t="s">
        <v>593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816092</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997291</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1882</v>
      </c>
      <c r="C188" s="2" t="s">
        <v>593</v>
      </c>
      <c r="D188" s="2" t="str">
        <f t="shared" si="1"/>
        <v>Error?</v>
      </c>
    </row>
    <row r="189" spans="1:4" x14ac:dyDescent="0.2">
      <c r="A189" s="5">
        <v>128</v>
      </c>
      <c r="B189" s="138">
        <f>'Assets-Liab 5-6'!G39</f>
        <v>995409</v>
      </c>
      <c r="D189" s="2" t="str">
        <f t="shared" si="1"/>
        <v>Error?</v>
      </c>
    </row>
    <row r="190" spans="1:4" x14ac:dyDescent="0.2">
      <c r="A190" s="5">
        <v>129</v>
      </c>
      <c r="B190" s="138">
        <f>'Assets-Liab 5-6'!G41</f>
        <v>997291</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2654052</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3379684</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593</v>
      </c>
      <c r="D211" s="2" t="str">
        <f t="shared" si="2"/>
        <v>Error?</v>
      </c>
    </row>
    <row r="212" spans="1:4" x14ac:dyDescent="0.2">
      <c r="A212" s="5">
        <v>151</v>
      </c>
      <c r="B212" s="138">
        <f>'Assets-Liab 5-6'!H39</f>
        <v>3379684</v>
      </c>
      <c r="D212" s="2" t="str">
        <f t="shared" si="2"/>
        <v>Error?</v>
      </c>
    </row>
    <row r="213" spans="1:4" x14ac:dyDescent="0.2">
      <c r="A213" s="12">
        <v>152</v>
      </c>
      <c r="B213" s="138">
        <f>'Assets-Liab 5-6'!H41</f>
        <v>3379684</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1126202</v>
      </c>
      <c r="D273" s="2" t="str">
        <f t="shared" si="3"/>
        <v>Error?</v>
      </c>
    </row>
    <row r="274" spans="1:4" x14ac:dyDescent="0.2">
      <c r="A274" s="5">
        <v>213</v>
      </c>
      <c r="B274" s="138">
        <f>'Assets-Liab 5-6'!M17</f>
        <v>28660921</v>
      </c>
      <c r="D274" s="2" t="str">
        <f t="shared" si="3"/>
        <v>Error?</v>
      </c>
    </row>
    <row r="275" spans="1:4" x14ac:dyDescent="0.2">
      <c r="A275" s="5">
        <v>214</v>
      </c>
      <c r="B275" s="138">
        <f>'Assets-Liab 5-6'!M18</f>
        <v>426731</v>
      </c>
      <c r="D275" s="2" t="str">
        <f t="shared" si="3"/>
        <v>Error?</v>
      </c>
    </row>
    <row r="276" spans="1:4" x14ac:dyDescent="0.2">
      <c r="A276" s="5">
        <v>215</v>
      </c>
      <c r="B276" s="138">
        <f>'Assets-Liab 5-6'!M19</f>
        <v>1130096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31372185</v>
      </c>
      <c r="C279" s="2" t="s">
        <v>593</v>
      </c>
      <c r="D279" s="2" t="str">
        <f t="shared" si="3"/>
        <v>Error?</v>
      </c>
    </row>
    <row r="280" spans="1:4" x14ac:dyDescent="0.2">
      <c r="A280" s="5">
        <v>219</v>
      </c>
      <c r="B280" s="138">
        <f>'Assets-Liab 5-6'!M40</f>
        <v>31372185</v>
      </c>
      <c r="D280" s="2" t="str">
        <f t="shared" si="3"/>
        <v>Error?</v>
      </c>
    </row>
    <row r="281" spans="1:4" x14ac:dyDescent="0.2">
      <c r="A281" s="5">
        <v>220</v>
      </c>
      <c r="B281" s="138">
        <f>'Assets-Liab 5-6'!M41</f>
        <v>31372185</v>
      </c>
      <c r="C281" s="2" t="s">
        <v>593</v>
      </c>
      <c r="D281" s="2" t="str">
        <f t="shared" si="3"/>
        <v>Error?</v>
      </c>
    </row>
    <row r="282" spans="1:4" x14ac:dyDescent="0.2">
      <c r="A282" s="5">
        <v>221</v>
      </c>
      <c r="B282" s="138">
        <f>'Assets-Liab 5-6'!N21</f>
        <v>6042</v>
      </c>
      <c r="D282" s="2" t="str">
        <f t="shared" si="3"/>
        <v>Error?</v>
      </c>
    </row>
    <row r="283" spans="1:4" x14ac:dyDescent="0.2">
      <c r="A283" s="5">
        <v>222</v>
      </c>
      <c r="B283" s="138">
        <f>'Assets-Liab 5-6'!N22</f>
        <v>13137800</v>
      </c>
      <c r="D283" s="2" t="str">
        <f t="shared" si="3"/>
        <v>Error?</v>
      </c>
    </row>
    <row r="284" spans="1:4" x14ac:dyDescent="0.2">
      <c r="A284" s="5">
        <v>223</v>
      </c>
      <c r="B284" s="138">
        <f>'Assets-Liab 5-6'!N23</f>
        <v>13143842</v>
      </c>
      <c r="C284" s="2" t="s">
        <v>593</v>
      </c>
      <c r="D284" s="2" t="str">
        <f t="shared" si="3"/>
        <v>Error?</v>
      </c>
    </row>
    <row r="285" spans="1:4" x14ac:dyDescent="0.2">
      <c r="A285" s="5">
        <v>224</v>
      </c>
      <c r="B285" s="138">
        <f>'Assets-Liab 5-6'!N36</f>
        <v>13143842</v>
      </c>
      <c r="D285" s="2" t="str">
        <f t="shared" si="3"/>
        <v>Error?</v>
      </c>
    </row>
    <row r="286" spans="1:4" x14ac:dyDescent="0.2">
      <c r="A286" s="10">
        <v>225</v>
      </c>
      <c r="D286" s="2" t="str">
        <f t="shared" si="3"/>
        <v>OK</v>
      </c>
    </row>
    <row r="287" spans="1:4" x14ac:dyDescent="0.2">
      <c r="A287" s="5">
        <v>226</v>
      </c>
      <c r="B287" s="138">
        <f>'Assets-Liab 5-6'!N37</f>
        <v>13143842</v>
      </c>
      <c r="C287" s="2" t="s">
        <v>593</v>
      </c>
      <c r="D287" s="2" t="str">
        <f t="shared" si="3"/>
        <v>Error?</v>
      </c>
    </row>
    <row r="288" spans="1:4" x14ac:dyDescent="0.2">
      <c r="A288" s="5">
        <v>227</v>
      </c>
      <c r="B288" s="138">
        <f>'Assets-Liab 5-6'!N41</f>
        <v>13143842</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1500000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3668901</v>
      </c>
      <c r="D705" s="2" t="str">
        <f t="shared" si="10"/>
        <v>Error?</v>
      </c>
    </row>
    <row r="706" spans="1:4" x14ac:dyDescent="0.2">
      <c r="A706" s="5">
        <v>645</v>
      </c>
      <c r="B706" s="138">
        <f>'Expenditures 15-22'!C16</f>
        <v>1900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5501</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628422</v>
      </c>
      <c r="D717" s="2" t="str">
        <f t="shared" si="10"/>
        <v>Error?</v>
      </c>
    </row>
    <row r="718" spans="1:4" x14ac:dyDescent="0.2">
      <c r="A718" s="5">
        <v>657</v>
      </c>
      <c r="B718" s="138">
        <f>'Expenditures 15-22'!C14</f>
        <v>546856</v>
      </c>
      <c r="D718" s="2" t="str">
        <f t="shared" si="10"/>
        <v>Error?</v>
      </c>
    </row>
    <row r="719" spans="1:4" x14ac:dyDescent="0.2">
      <c r="A719" s="5">
        <v>658</v>
      </c>
      <c r="B719" s="138">
        <f>'Expenditures 15-22'!C15</f>
        <v>900</v>
      </c>
      <c r="D719" s="2" t="str">
        <f t="shared" si="10"/>
        <v>Error?</v>
      </c>
    </row>
    <row r="720" spans="1:4" x14ac:dyDescent="0.2">
      <c r="A720" s="5">
        <v>659</v>
      </c>
      <c r="B720" s="138">
        <f>'Expenditures 15-22'!C33</f>
        <v>6336892</v>
      </c>
      <c r="C720" s="2" t="s">
        <v>593</v>
      </c>
      <c r="D720" s="2" t="str">
        <f t="shared" si="10"/>
        <v>Error?</v>
      </c>
    </row>
    <row r="721" spans="1:4" x14ac:dyDescent="0.2">
      <c r="A721" s="5">
        <v>660</v>
      </c>
      <c r="B721" s="138">
        <f>'Expenditures 15-22'!C36</f>
        <v>226728</v>
      </c>
      <c r="D721" s="2" t="str">
        <f t="shared" si="10"/>
        <v>Error?</v>
      </c>
    </row>
    <row r="722" spans="1:4" x14ac:dyDescent="0.2">
      <c r="A722" s="5">
        <v>661</v>
      </c>
      <c r="B722" s="138">
        <f>'Expenditures 15-22'!C37</f>
        <v>395378</v>
      </c>
      <c r="D722" s="2" t="str">
        <f t="shared" si="10"/>
        <v>Error?</v>
      </c>
    </row>
    <row r="723" spans="1:4" x14ac:dyDescent="0.2">
      <c r="A723" s="5">
        <v>662</v>
      </c>
      <c r="B723" s="138">
        <f>'Expenditures 15-22'!C38</f>
        <v>46220</v>
      </c>
      <c r="D723" s="2" t="str">
        <f t="shared" si="10"/>
        <v>Error?</v>
      </c>
    </row>
    <row r="724" spans="1:4" x14ac:dyDescent="0.2">
      <c r="A724" s="5">
        <v>663</v>
      </c>
      <c r="B724" s="138">
        <f>'Expenditures 15-22'!C39</f>
        <v>73448</v>
      </c>
      <c r="D724" s="2" t="str">
        <f t="shared" si="10"/>
        <v>Error?</v>
      </c>
    </row>
    <row r="725" spans="1:4" x14ac:dyDescent="0.2">
      <c r="A725" s="5">
        <v>664</v>
      </c>
      <c r="B725" s="138">
        <f>'Expenditures 15-22'!C40</f>
        <v>47383</v>
      </c>
      <c r="D725" s="2" t="str">
        <f t="shared" si="10"/>
        <v>Error?</v>
      </c>
    </row>
    <row r="726" spans="1:4" x14ac:dyDescent="0.2">
      <c r="A726" s="5">
        <v>665</v>
      </c>
      <c r="B726" s="138">
        <f>'Expenditures 15-22'!C41</f>
        <v>115148</v>
      </c>
      <c r="D726" s="2" t="str">
        <f t="shared" si="10"/>
        <v>Error?</v>
      </c>
    </row>
    <row r="727" spans="1:4" x14ac:dyDescent="0.2">
      <c r="A727" s="5">
        <v>666</v>
      </c>
      <c r="B727" s="138">
        <f>'Expenditures 15-22'!C42</f>
        <v>904305</v>
      </c>
      <c r="C727" s="2" t="s">
        <v>593</v>
      </c>
      <c r="D727" s="2" t="str">
        <f t="shared" si="10"/>
        <v>Error?</v>
      </c>
    </row>
    <row r="728" spans="1:4" x14ac:dyDescent="0.2">
      <c r="A728" s="5">
        <v>667</v>
      </c>
      <c r="B728" s="138">
        <f>'Expenditures 15-22'!C44</f>
        <v>73550</v>
      </c>
      <c r="D728" s="2" t="str">
        <f t="shared" si="10"/>
        <v>Error?</v>
      </c>
    </row>
    <row r="729" spans="1:4" x14ac:dyDescent="0.2">
      <c r="A729" s="5">
        <v>668</v>
      </c>
      <c r="B729" s="138">
        <f>'Expenditures 15-22'!C45</f>
        <v>43188</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116738</v>
      </c>
      <c r="C731" s="2" t="s">
        <v>593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174683</v>
      </c>
      <c r="D733" s="2" t="str">
        <f t="shared" si="10"/>
        <v>Error?</v>
      </c>
    </row>
    <row r="734" spans="1:4" x14ac:dyDescent="0.2">
      <c r="A734" s="5">
        <v>673</v>
      </c>
      <c r="B734" s="138">
        <f>'Expenditures 15-22'!C53</f>
        <v>174683</v>
      </c>
      <c r="C734" s="2" t="s">
        <v>593</v>
      </c>
      <c r="D734" s="2" t="str">
        <f t="shared" si="10"/>
        <v>Error?</v>
      </c>
    </row>
    <row r="735" spans="1:4" x14ac:dyDescent="0.2">
      <c r="A735" s="5">
        <v>674</v>
      </c>
      <c r="B735" s="138">
        <f>'Expenditures 15-22'!C55</f>
        <v>264216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264216</v>
      </c>
      <c r="C737" s="2" t="s">
        <v>593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139700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139700</v>
      </c>
      <c r="C745" s="2" t="s">
        <v>593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131977</v>
      </c>
      <c r="D751" s="2" t="str">
        <f t="shared" si="10"/>
        <v>Error?</v>
      </c>
    </row>
    <row r="752" spans="1:4" x14ac:dyDescent="0.2">
      <c r="A752" s="10">
        <v>691</v>
      </c>
      <c r="D752" s="2" t="str">
        <f t="shared" si="10"/>
        <v>OK</v>
      </c>
    </row>
    <row r="753" spans="1:4" x14ac:dyDescent="0.2">
      <c r="A753" s="5">
        <v>692</v>
      </c>
      <c r="B753" s="138">
        <f>'Expenditures 15-22'!C72</f>
        <v>131977</v>
      </c>
      <c r="C753" s="2" t="s">
        <v>593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1731619</v>
      </c>
      <c r="C755" s="2" t="s">
        <v>593</v>
      </c>
      <c r="D755" s="2" t="str">
        <f t="shared" si="10"/>
        <v>Error?</v>
      </c>
    </row>
    <row r="756" spans="1:4" x14ac:dyDescent="0.2">
      <c r="A756" s="5">
        <v>695</v>
      </c>
      <c r="B756" s="138">
        <f>'Expenditures 15-22'!C75</f>
        <v>10877</v>
      </c>
      <c r="D756" s="2" t="str">
        <f t="shared" si="10"/>
        <v>Error?</v>
      </c>
    </row>
    <row r="757" spans="1:4" x14ac:dyDescent="0.2">
      <c r="A757" s="5">
        <v>696</v>
      </c>
      <c r="B757" s="138">
        <f>'Expenditures 15-22'!C114</f>
        <v>8079388</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1293164</v>
      </c>
      <c r="D763" s="2" t="str">
        <f t="shared" si="10"/>
        <v>Error?</v>
      </c>
    </row>
    <row r="764" spans="1:4" x14ac:dyDescent="0.2">
      <c r="A764" s="5">
        <v>703</v>
      </c>
      <c r="B764" s="138">
        <f>'Expenditures 15-22'!D16</f>
        <v>236</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784</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218951</v>
      </c>
      <c r="D775" s="2" t="str">
        <f t="shared" si="11"/>
        <v>Error?</v>
      </c>
    </row>
    <row r="776" spans="1:4" x14ac:dyDescent="0.2">
      <c r="A776" s="5">
        <v>715</v>
      </c>
      <c r="B776" s="138">
        <f>'Expenditures 15-22'!D14</f>
        <v>88921</v>
      </c>
      <c r="D776" s="2" t="str">
        <f t="shared" si="11"/>
        <v>Error?</v>
      </c>
    </row>
    <row r="777" spans="1:4" x14ac:dyDescent="0.2">
      <c r="A777" s="5">
        <v>716</v>
      </c>
      <c r="B777" s="138">
        <f>'Expenditures 15-22'!D15</f>
        <v>112</v>
      </c>
      <c r="D777" s="2" t="str">
        <f t="shared" si="11"/>
        <v>Error?</v>
      </c>
    </row>
    <row r="778" spans="1:4" x14ac:dyDescent="0.2">
      <c r="A778" s="5">
        <v>717</v>
      </c>
      <c r="B778" s="138">
        <f>'Expenditures 15-22'!D33</f>
        <v>2110753</v>
      </c>
      <c r="C778" s="2" t="s">
        <v>593</v>
      </c>
      <c r="D778" s="2" t="str">
        <f t="shared" si="11"/>
        <v>Error?</v>
      </c>
    </row>
    <row r="779" spans="1:4" x14ac:dyDescent="0.2">
      <c r="A779" s="5">
        <v>718</v>
      </c>
      <c r="B779" s="138">
        <f>'Expenditures 15-22'!D36</f>
        <v>54359</v>
      </c>
      <c r="D779" s="2" t="str">
        <f t="shared" si="11"/>
        <v>Error?</v>
      </c>
    </row>
    <row r="780" spans="1:4" x14ac:dyDescent="0.2">
      <c r="A780" s="5">
        <v>719</v>
      </c>
      <c r="B780" s="138">
        <f>'Expenditures 15-22'!D37</f>
        <v>130213</v>
      </c>
      <c r="D780" s="2" t="str">
        <f t="shared" si="11"/>
        <v>Error?</v>
      </c>
    </row>
    <row r="781" spans="1:4" x14ac:dyDescent="0.2">
      <c r="A781" s="5">
        <v>720</v>
      </c>
      <c r="B781" s="138">
        <f>'Expenditures 15-22'!D38</f>
        <v>17275</v>
      </c>
      <c r="D781" s="2" t="str">
        <f t="shared" si="11"/>
        <v>Error?</v>
      </c>
    </row>
    <row r="782" spans="1:4" x14ac:dyDescent="0.2">
      <c r="A782" s="5">
        <v>721</v>
      </c>
      <c r="B782" s="138">
        <f>'Expenditures 15-22'!D39</f>
        <v>26215</v>
      </c>
      <c r="D782" s="2" t="str">
        <f t="shared" si="11"/>
        <v>Error?</v>
      </c>
    </row>
    <row r="783" spans="1:4" x14ac:dyDescent="0.2">
      <c r="A783" s="5">
        <v>722</v>
      </c>
      <c r="B783" s="138">
        <f>'Expenditures 15-22'!D40</f>
        <v>17087</v>
      </c>
      <c r="D783" s="2" t="str">
        <f t="shared" si="11"/>
        <v>Error?</v>
      </c>
    </row>
    <row r="784" spans="1:4" x14ac:dyDescent="0.2">
      <c r="A784" s="5">
        <v>723</v>
      </c>
      <c r="B784" s="138">
        <f>'Expenditures 15-22'!D41</f>
        <v>15804</v>
      </c>
      <c r="D784" s="2" t="str">
        <f t="shared" si="11"/>
        <v>Error?</v>
      </c>
    </row>
    <row r="785" spans="1:4" x14ac:dyDescent="0.2">
      <c r="A785" s="5">
        <v>724</v>
      </c>
      <c r="B785" s="138">
        <f>'Expenditures 15-22'!D42</f>
        <v>260953</v>
      </c>
      <c r="C785" s="2" t="s">
        <v>593</v>
      </c>
      <c r="D785" s="2" t="str">
        <f t="shared" si="11"/>
        <v>Error?</v>
      </c>
    </row>
    <row r="786" spans="1:4" x14ac:dyDescent="0.2">
      <c r="A786" s="5">
        <v>725</v>
      </c>
      <c r="B786" s="138">
        <f>'Expenditures 15-22'!D44</f>
        <v>26202</v>
      </c>
      <c r="D786" s="2" t="str">
        <f t="shared" si="11"/>
        <v>Error?</v>
      </c>
    </row>
    <row r="787" spans="1:4" x14ac:dyDescent="0.2">
      <c r="A787" s="5">
        <v>726</v>
      </c>
      <c r="B787" s="138">
        <f>'Expenditures 15-22'!D45</f>
        <v>18395</v>
      </c>
      <c r="D787" s="2" t="str">
        <f t="shared" si="11"/>
        <v>Error?</v>
      </c>
    </row>
    <row r="788" spans="1:4" x14ac:dyDescent="0.2">
      <c r="A788" s="5">
        <v>727</v>
      </c>
      <c r="B788" s="138">
        <f>'Expenditures 15-22'!D46</f>
        <v>0</v>
      </c>
      <c r="D788" s="2" t="str">
        <f t="shared" si="11"/>
        <v>Error?</v>
      </c>
    </row>
    <row r="789" spans="1:4" x14ac:dyDescent="0.2">
      <c r="A789" s="5">
        <v>728</v>
      </c>
      <c r="B789" s="138">
        <f>'Expenditures 15-22'!D47</f>
        <v>44597</v>
      </c>
      <c r="C789" s="2" t="s">
        <v>593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42082</v>
      </c>
      <c r="D791" s="2" t="str">
        <f t="shared" si="11"/>
        <v>Error?</v>
      </c>
    </row>
    <row r="792" spans="1:4" x14ac:dyDescent="0.2">
      <c r="A792" s="5">
        <v>731</v>
      </c>
      <c r="B792" s="138">
        <f>'Expenditures 15-22'!D53</f>
        <v>42082</v>
      </c>
      <c r="C792" s="2" t="s">
        <v>593</v>
      </c>
      <c r="D792" s="2" t="str">
        <f t="shared" si="11"/>
        <v>Error?</v>
      </c>
    </row>
    <row r="793" spans="1:4" x14ac:dyDescent="0.2">
      <c r="A793" s="5">
        <v>732</v>
      </c>
      <c r="B793" s="138">
        <f>'Expenditures 15-22'!D55</f>
        <v>64621</v>
      </c>
      <c r="D793" s="2" t="str">
        <f t="shared" si="11"/>
        <v>Error?</v>
      </c>
    </row>
    <row r="794" spans="1:4" x14ac:dyDescent="0.2">
      <c r="A794" s="5">
        <v>733</v>
      </c>
      <c r="B794" s="138">
        <f>'Expenditures 15-22'!D56</f>
        <v>0</v>
      </c>
      <c r="D794" s="2" t="str">
        <f t="shared" si="11"/>
        <v>Error?</v>
      </c>
    </row>
    <row r="795" spans="1:4" x14ac:dyDescent="0.2">
      <c r="A795" s="5">
        <v>734</v>
      </c>
      <c r="B795" s="138">
        <f>'Expenditures 15-22'!D57</f>
        <v>64621</v>
      </c>
      <c r="C795" s="2" t="s">
        <v>593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32815</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32815</v>
      </c>
      <c r="C803" s="2" t="s">
        <v>593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34653</v>
      </c>
      <c r="D809" s="2" t="str">
        <f t="shared" si="11"/>
        <v>Error?</v>
      </c>
    </row>
    <row r="810" spans="1:4" x14ac:dyDescent="0.2">
      <c r="A810" s="10">
        <v>749</v>
      </c>
      <c r="D810" s="2" t="str">
        <f t="shared" si="11"/>
        <v>OK</v>
      </c>
    </row>
    <row r="811" spans="1:4" x14ac:dyDescent="0.2">
      <c r="A811" s="5">
        <v>750</v>
      </c>
      <c r="B811" s="138">
        <f>'Expenditures 15-22'!D72</f>
        <v>34653</v>
      </c>
      <c r="C811" s="2" t="s">
        <v>593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479721</v>
      </c>
      <c r="C813" s="2" t="s">
        <v>593</v>
      </c>
      <c r="D813" s="2" t="str">
        <f t="shared" si="11"/>
        <v>Error?</v>
      </c>
    </row>
    <row r="814" spans="1:4" x14ac:dyDescent="0.2">
      <c r="A814" s="5">
        <v>753</v>
      </c>
      <c r="B814" s="138">
        <f>'Expenditures 15-22'!D75</f>
        <v>1383</v>
      </c>
      <c r="D814" s="2" t="str">
        <f t="shared" si="11"/>
        <v>Error?</v>
      </c>
    </row>
    <row r="815" spans="1:4" x14ac:dyDescent="0.2">
      <c r="A815" s="5">
        <v>754</v>
      </c>
      <c r="B815" s="138">
        <f>'Expenditures 15-22'!D114</f>
        <v>2591857</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115678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16</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373</v>
      </c>
      <c r="D833" s="2" t="str">
        <f t="shared" si="12"/>
        <v>Error?</v>
      </c>
    </row>
    <row r="834" spans="1:4" x14ac:dyDescent="0.2">
      <c r="A834" s="5">
        <v>773</v>
      </c>
      <c r="B834" s="138">
        <f>'Expenditures 15-22'!E14</f>
        <v>44237</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278946</v>
      </c>
      <c r="C836" s="2" t="s">
        <v>593</v>
      </c>
      <c r="D836" s="2" t="str">
        <f t="shared" si="12"/>
        <v>Error?</v>
      </c>
    </row>
    <row r="837" spans="1:4" x14ac:dyDescent="0.2">
      <c r="A837" s="5">
        <v>776</v>
      </c>
      <c r="B837" s="138">
        <f>'Expenditures 15-22'!E36</f>
        <v>1151</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105</v>
      </c>
      <c r="D839" s="2" t="str">
        <f t="shared" si="12"/>
        <v>Error?</v>
      </c>
    </row>
    <row r="840" spans="1:4" x14ac:dyDescent="0.2">
      <c r="A840" s="5">
        <v>779</v>
      </c>
      <c r="B840" s="138">
        <f>'Expenditures 15-22'!E39</f>
        <v>789</v>
      </c>
      <c r="D840" s="2" t="str">
        <f t="shared" si="12"/>
        <v>Error?</v>
      </c>
    </row>
    <row r="841" spans="1:4" x14ac:dyDescent="0.2">
      <c r="A841" s="5">
        <v>780</v>
      </c>
      <c r="B841" s="138">
        <f>'Expenditures 15-22'!E40</f>
        <v>0</v>
      </c>
      <c r="D841" s="2" t="str">
        <f t="shared" si="12"/>
        <v>Error?</v>
      </c>
    </row>
    <row r="842" spans="1:4" x14ac:dyDescent="0.2">
      <c r="A842" s="5">
        <v>781</v>
      </c>
      <c r="B842" s="138">
        <f>'Expenditures 15-22'!E41</f>
        <v>356</v>
      </c>
      <c r="D842" s="2" t="str">
        <f t="shared" si="12"/>
        <v>Error?</v>
      </c>
    </row>
    <row r="843" spans="1:4" x14ac:dyDescent="0.2">
      <c r="A843" s="5">
        <v>782</v>
      </c>
      <c r="B843" s="138">
        <f>'Expenditures 15-22'!E42</f>
        <v>2401</v>
      </c>
      <c r="C843" s="2" t="s">
        <v>593</v>
      </c>
      <c r="D843" s="2" t="str">
        <f t="shared" si="12"/>
        <v>Error?</v>
      </c>
    </row>
    <row r="844" spans="1:4" x14ac:dyDescent="0.2">
      <c r="A844" s="5">
        <v>783</v>
      </c>
      <c r="B844" s="138">
        <f>'Expenditures 15-22'!E44</f>
        <v>43122</v>
      </c>
      <c r="D844" s="2" t="str">
        <f t="shared" si="12"/>
        <v>Error?</v>
      </c>
    </row>
    <row r="845" spans="1:4" x14ac:dyDescent="0.2">
      <c r="A845" s="5">
        <v>784</v>
      </c>
      <c r="B845" s="138">
        <f>'Expenditures 15-22'!E45</f>
        <v>5881</v>
      </c>
      <c r="D845" s="2" t="str">
        <f t="shared" si="12"/>
        <v>Error?</v>
      </c>
    </row>
    <row r="846" spans="1:4" x14ac:dyDescent="0.2">
      <c r="A846" s="5">
        <v>785</v>
      </c>
      <c r="B846" s="138">
        <f>'Expenditures 15-22'!E46</f>
        <v>0</v>
      </c>
      <c r="D846" s="2" t="str">
        <f t="shared" si="12"/>
        <v>Error?</v>
      </c>
    </row>
    <row r="847" spans="1:4" x14ac:dyDescent="0.2">
      <c r="A847" s="5">
        <v>786</v>
      </c>
      <c r="B847" s="138">
        <f>'Expenditures 15-22'!E47</f>
        <v>49003</v>
      </c>
      <c r="C847" s="2" t="s">
        <v>593</v>
      </c>
      <c r="D847" s="2" t="str">
        <f t="shared" si="12"/>
        <v>Error?</v>
      </c>
    </row>
    <row r="848" spans="1:4" x14ac:dyDescent="0.2">
      <c r="A848" s="5">
        <v>787</v>
      </c>
      <c r="B848" s="138">
        <f>'Expenditures 15-22'!E49</f>
        <v>124313</v>
      </c>
      <c r="D848" s="2" t="str">
        <f t="shared" si="12"/>
        <v>Error?</v>
      </c>
    </row>
    <row r="849" spans="1:4" x14ac:dyDescent="0.2">
      <c r="A849" s="5">
        <v>788</v>
      </c>
      <c r="B849" s="138">
        <f>'Expenditures 15-22'!E50</f>
        <v>1373</v>
      </c>
      <c r="D849" s="2" t="str">
        <f t="shared" si="12"/>
        <v>Error?</v>
      </c>
    </row>
    <row r="850" spans="1:4" x14ac:dyDescent="0.2">
      <c r="A850" s="5">
        <v>789</v>
      </c>
      <c r="B850" s="138">
        <f>'Expenditures 15-22'!E53</f>
        <v>125686</v>
      </c>
      <c r="C850" s="2" t="s">
        <v>593</v>
      </c>
      <c r="D850" s="2" t="str">
        <f t="shared" si="12"/>
        <v>Error?</v>
      </c>
    </row>
    <row r="851" spans="1:4" x14ac:dyDescent="0.2">
      <c r="A851" s="5">
        <v>790</v>
      </c>
      <c r="B851" s="138">
        <f>'Expenditures 15-22'!E55</f>
        <v>2538</v>
      </c>
      <c r="D851" s="2" t="str">
        <f t="shared" si="12"/>
        <v>Error?</v>
      </c>
    </row>
    <row r="852" spans="1:4" x14ac:dyDescent="0.2">
      <c r="A852" s="5">
        <v>791</v>
      </c>
      <c r="B852" s="138">
        <f>'Expenditures 15-22'!E56</f>
        <v>0</v>
      </c>
      <c r="D852" s="2" t="str">
        <f t="shared" si="12"/>
        <v>Error?</v>
      </c>
    </row>
    <row r="853" spans="1:4" x14ac:dyDescent="0.2">
      <c r="A853" s="5">
        <v>792</v>
      </c>
      <c r="B853" s="138">
        <f>'Expenditures 15-22'!E57</f>
        <v>2538</v>
      </c>
      <c r="C853" s="2" t="s">
        <v>593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809</v>
      </c>
      <c r="D855" s="2" t="str">
        <f t="shared" si="12"/>
        <v>Error?</v>
      </c>
    </row>
    <row r="856" spans="1:4" x14ac:dyDescent="0.2">
      <c r="A856" s="5">
        <v>795</v>
      </c>
      <c r="B856" s="138">
        <f>'Expenditures 15-22'!E61</f>
        <v>7350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493901</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502060</v>
      </c>
      <c r="C861" s="2" t="s">
        <v>593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2500</v>
      </c>
      <c r="D865" s="2" t="str">
        <f t="shared" si="12"/>
        <v>Error?</v>
      </c>
    </row>
    <row r="866" spans="1:4" x14ac:dyDescent="0.2">
      <c r="A866" s="10">
        <v>805</v>
      </c>
      <c r="D866" s="2" t="str">
        <f t="shared" si="12"/>
        <v>OK</v>
      </c>
    </row>
    <row r="867" spans="1:4" x14ac:dyDescent="0.2">
      <c r="A867" s="5">
        <v>806</v>
      </c>
      <c r="B867" s="138">
        <f>'Expenditures 15-22'!E71</f>
        <v>27872</v>
      </c>
      <c r="D867" s="2" t="str">
        <f t="shared" si="12"/>
        <v>Error?</v>
      </c>
    </row>
    <row r="868" spans="1:4" x14ac:dyDescent="0.2">
      <c r="A868" s="10">
        <v>807</v>
      </c>
      <c r="D868" s="2" t="str">
        <f t="shared" si="12"/>
        <v>OK</v>
      </c>
    </row>
    <row r="869" spans="1:4" x14ac:dyDescent="0.2">
      <c r="A869" s="5">
        <v>808</v>
      </c>
      <c r="B869" s="138">
        <f>'Expenditures 15-22'!E72</f>
        <v>30372</v>
      </c>
      <c r="C869" s="2" t="s">
        <v>593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712060</v>
      </c>
      <c r="C871" s="2" t="s">
        <v>593</v>
      </c>
      <c r="D871" s="2" t="str">
        <f t="shared" si="12"/>
        <v>Error?</v>
      </c>
    </row>
    <row r="872" spans="1:4" x14ac:dyDescent="0.2">
      <c r="A872" s="5">
        <v>811</v>
      </c>
      <c r="B872" s="138">
        <f>'Expenditures 15-22'!E75</f>
        <v>3323</v>
      </c>
      <c r="D872" s="2" t="str">
        <f t="shared" si="12"/>
        <v>Error?</v>
      </c>
    </row>
    <row r="873" spans="1:4" x14ac:dyDescent="0.2">
      <c r="A873" s="5">
        <v>812</v>
      </c>
      <c r="B873" s="138">
        <f>'Expenditures 15-22'!E114</f>
        <v>1020078</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61659</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12644</v>
      </c>
      <c r="D891" s="2" t="str">
        <f t="shared" si="12"/>
        <v>Error?</v>
      </c>
    </row>
    <row r="892" spans="1:4" x14ac:dyDescent="0.2">
      <c r="A892" s="5">
        <v>831</v>
      </c>
      <c r="B892" s="138">
        <f>'Expenditures 15-22'!F14</f>
        <v>30877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129185</v>
      </c>
      <c r="C894" s="2" t="s">
        <v>593</v>
      </c>
      <c r="D894" s="2" t="str">
        <f t="shared" si="12"/>
        <v>Error?</v>
      </c>
    </row>
    <row r="895" spans="1:4" x14ac:dyDescent="0.2">
      <c r="A895" s="5">
        <v>834</v>
      </c>
      <c r="B895" s="138">
        <f>'Expenditures 15-22'!F36</f>
        <v>863</v>
      </c>
      <c r="D895" s="2" t="str">
        <f t="shared" ref="D895:D958" si="13">IF(ISBLANK(B895),"OK",IF(A895-B895=0,"OK","Error?"))</f>
        <v>Error?</v>
      </c>
    </row>
    <row r="896" spans="1:4" x14ac:dyDescent="0.2">
      <c r="A896" s="5">
        <v>835</v>
      </c>
      <c r="B896" s="138">
        <f>'Expenditures 15-22'!F37</f>
        <v>3986</v>
      </c>
      <c r="D896" s="2" t="str">
        <f t="shared" si="13"/>
        <v>Error?</v>
      </c>
    </row>
    <row r="897" spans="1:4" x14ac:dyDescent="0.2">
      <c r="A897" s="5">
        <v>836</v>
      </c>
      <c r="B897" s="138">
        <f>'Expenditures 15-22'!F38</f>
        <v>484</v>
      </c>
      <c r="D897" s="2" t="str">
        <f t="shared" si="13"/>
        <v>Error?</v>
      </c>
    </row>
    <row r="898" spans="1:4" x14ac:dyDescent="0.2">
      <c r="A898" s="5">
        <v>837</v>
      </c>
      <c r="B898" s="138">
        <f>'Expenditures 15-22'!F39</f>
        <v>1220</v>
      </c>
      <c r="D898" s="2" t="str">
        <f t="shared" si="13"/>
        <v>Error?</v>
      </c>
    </row>
    <row r="899" spans="1:4" x14ac:dyDescent="0.2">
      <c r="A899" s="5">
        <v>838</v>
      </c>
      <c r="B899" s="138">
        <f>'Expenditures 15-22'!F40</f>
        <v>34</v>
      </c>
      <c r="D899" s="2" t="str">
        <f t="shared" si="13"/>
        <v>Error?</v>
      </c>
    </row>
    <row r="900" spans="1:4" x14ac:dyDescent="0.2">
      <c r="A900" s="5">
        <v>839</v>
      </c>
      <c r="B900" s="138">
        <f>'Expenditures 15-22'!F41</f>
        <v>0</v>
      </c>
      <c r="D900" s="2" t="str">
        <f t="shared" si="13"/>
        <v>Error?</v>
      </c>
    </row>
    <row r="901" spans="1:4" x14ac:dyDescent="0.2">
      <c r="A901" s="5">
        <v>840</v>
      </c>
      <c r="B901" s="138">
        <f>'Expenditures 15-22'!F42</f>
        <v>6587</v>
      </c>
      <c r="C901" s="2" t="s">
        <v>593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4684</v>
      </c>
      <c r="D903" s="2" t="str">
        <f t="shared" si="13"/>
        <v>Error?</v>
      </c>
    </row>
    <row r="904" spans="1:4" x14ac:dyDescent="0.2">
      <c r="A904" s="5">
        <v>843</v>
      </c>
      <c r="B904" s="138">
        <f>'Expenditures 15-22'!F46</f>
        <v>7607</v>
      </c>
      <c r="D904" s="2" t="str">
        <f t="shared" si="13"/>
        <v>Error?</v>
      </c>
    </row>
    <row r="905" spans="1:4" x14ac:dyDescent="0.2">
      <c r="A905" s="5">
        <v>844</v>
      </c>
      <c r="B905" s="138">
        <f>'Expenditures 15-22'!F47</f>
        <v>12291</v>
      </c>
      <c r="C905" s="2" t="s">
        <v>593</v>
      </c>
      <c r="D905" s="2" t="str">
        <f t="shared" si="13"/>
        <v>Error?</v>
      </c>
    </row>
    <row r="906" spans="1:4" x14ac:dyDescent="0.2">
      <c r="A906" s="5">
        <v>845</v>
      </c>
      <c r="B906" s="138">
        <f>'Expenditures 15-22'!F49</f>
        <v>225</v>
      </c>
      <c r="D906" s="2" t="str">
        <f t="shared" si="13"/>
        <v>Error?</v>
      </c>
    </row>
    <row r="907" spans="1:4" x14ac:dyDescent="0.2">
      <c r="A907" s="5">
        <v>846</v>
      </c>
      <c r="B907" s="138">
        <f>'Expenditures 15-22'!F50</f>
        <v>367</v>
      </c>
      <c r="D907" s="2" t="str">
        <f t="shared" si="13"/>
        <v>Error?</v>
      </c>
    </row>
    <row r="908" spans="1:4" x14ac:dyDescent="0.2">
      <c r="A908" s="5">
        <v>847</v>
      </c>
      <c r="B908" s="138">
        <f>'Expenditures 15-22'!F53</f>
        <v>592</v>
      </c>
      <c r="C908" s="2" t="s">
        <v>593</v>
      </c>
      <c r="D908" s="2" t="str">
        <f t="shared" si="13"/>
        <v>Error?</v>
      </c>
    </row>
    <row r="909" spans="1:4" x14ac:dyDescent="0.2">
      <c r="A909" s="5">
        <v>848</v>
      </c>
      <c r="B909" s="138">
        <f>'Expenditures 15-22'!F55</f>
        <v>5590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5590</v>
      </c>
      <c r="C911" s="2" t="s">
        <v>593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22766</v>
      </c>
      <c r="D913" s="2" t="str">
        <f t="shared" si="13"/>
        <v>Error?</v>
      </c>
    </row>
    <row r="914" spans="1:4" x14ac:dyDescent="0.2">
      <c r="A914" s="5">
        <v>853</v>
      </c>
      <c r="B914" s="138">
        <f>'Expenditures 15-22'!F61</f>
        <v>708</v>
      </c>
      <c r="D914" s="2" t="str">
        <f t="shared" si="13"/>
        <v>Error?</v>
      </c>
    </row>
    <row r="915" spans="1:4" x14ac:dyDescent="0.2">
      <c r="A915" s="5">
        <v>854</v>
      </c>
      <c r="B915" s="138">
        <f>'Expenditures 15-22'!F62</f>
        <v>0</v>
      </c>
      <c r="D915" s="2" t="str">
        <f t="shared" si="13"/>
        <v>Error?</v>
      </c>
    </row>
    <row r="916" spans="1:4" x14ac:dyDescent="0.2">
      <c r="A916" s="5">
        <v>855</v>
      </c>
      <c r="B916" s="138">
        <f>'Expenditures 15-22'!F63</f>
        <v>3275</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26749</v>
      </c>
      <c r="C919" s="2" t="s">
        <v>593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3321</v>
      </c>
      <c r="D923" s="2" t="str">
        <f t="shared" si="13"/>
        <v>Error?</v>
      </c>
    </row>
    <row r="924" spans="1:4" x14ac:dyDescent="0.2">
      <c r="A924" s="10">
        <v>863</v>
      </c>
      <c r="D924" s="2" t="str">
        <f t="shared" si="13"/>
        <v>OK</v>
      </c>
    </row>
    <row r="925" spans="1:4" x14ac:dyDescent="0.2">
      <c r="A925" s="5">
        <v>864</v>
      </c>
      <c r="B925" s="138">
        <f>'Expenditures 15-22'!F71</f>
        <v>7841</v>
      </c>
      <c r="D925" s="2" t="str">
        <f t="shared" si="13"/>
        <v>Error?</v>
      </c>
    </row>
    <row r="926" spans="1:4" x14ac:dyDescent="0.2">
      <c r="A926" s="10">
        <v>865</v>
      </c>
      <c r="D926" s="2" t="str">
        <f t="shared" si="13"/>
        <v>OK</v>
      </c>
    </row>
    <row r="927" spans="1:4" x14ac:dyDescent="0.2">
      <c r="A927" s="5">
        <v>866</v>
      </c>
      <c r="B927" s="138">
        <f>'Expenditures 15-22'!F72</f>
        <v>11162</v>
      </c>
      <c r="C927" s="2" t="s">
        <v>593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62971</v>
      </c>
      <c r="C929" s="2" t="s">
        <v>593</v>
      </c>
      <c r="D929" s="2" t="str">
        <f t="shared" si="13"/>
        <v>Error?</v>
      </c>
    </row>
    <row r="930" spans="1:4" x14ac:dyDescent="0.2">
      <c r="A930" s="5">
        <v>869</v>
      </c>
      <c r="B930" s="138">
        <f>'Expenditures 15-22'!F75</f>
        <v>1076</v>
      </c>
      <c r="D930" s="2" t="str">
        <f t="shared" si="13"/>
        <v>Error?</v>
      </c>
    </row>
    <row r="931" spans="1:4" x14ac:dyDescent="0.2">
      <c r="A931" s="5">
        <v>870</v>
      </c>
      <c r="B931" s="138">
        <f>'Expenditures 15-22'!F114</f>
        <v>193232</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500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6333</v>
      </c>
      <c r="D950" s="2" t="str">
        <f t="shared" si="13"/>
        <v>Error?</v>
      </c>
    </row>
    <row r="951" spans="1:4" x14ac:dyDescent="0.2">
      <c r="A951" s="5">
        <v>890</v>
      </c>
      <c r="B951" s="138">
        <f>'Expenditures 15-22'!G15</f>
        <v>0</v>
      </c>
      <c r="D951" s="2" t="str">
        <f t="shared" si="13"/>
        <v>Error?</v>
      </c>
    </row>
    <row r="952" spans="1:4" x14ac:dyDescent="0.2">
      <c r="A952" s="5">
        <v>891</v>
      </c>
      <c r="B952" s="138">
        <f>'Expenditures 15-22'!G33</f>
        <v>44325</v>
      </c>
      <c r="C952" s="2" t="s">
        <v>593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146789</v>
      </c>
      <c r="D983" s="2" t="str">
        <f t="shared" si="14"/>
        <v>Error?</v>
      </c>
    </row>
    <row r="984" spans="1:4" x14ac:dyDescent="0.2">
      <c r="A984" s="10">
        <v>923</v>
      </c>
      <c r="D984" s="2" t="str">
        <f t="shared" si="14"/>
        <v>OK</v>
      </c>
    </row>
    <row r="985" spans="1:4" x14ac:dyDescent="0.2">
      <c r="A985" s="5">
        <v>924</v>
      </c>
      <c r="B985" s="138">
        <f>'Expenditures 15-22'!G72</f>
        <v>146789</v>
      </c>
      <c r="C985" s="2" t="s">
        <v>593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146789</v>
      </c>
      <c r="C987" s="2" t="s">
        <v>593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191114</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157</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15978</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701643</v>
      </c>
      <c r="C1010" s="2" t="s">
        <v>593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240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240</v>
      </c>
      <c r="C1017" s="2" t="s">
        <v>593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593</v>
      </c>
      <c r="D1021" s="2" t="str">
        <f t="shared" si="14"/>
        <v>Error?</v>
      </c>
    </row>
    <row r="1022" spans="1:4" x14ac:dyDescent="0.2">
      <c r="A1022" s="5">
        <v>961</v>
      </c>
      <c r="B1022" s="138">
        <f>'Expenditures 15-22'!H49</f>
        <v>495767</v>
      </c>
      <c r="D1022" s="2" t="str">
        <f t="shared" si="14"/>
        <v>Error?</v>
      </c>
    </row>
    <row r="1023" spans="1:4" x14ac:dyDescent="0.2">
      <c r="A1023" s="5">
        <v>962</v>
      </c>
      <c r="B1023" s="138">
        <f>'Expenditures 15-22'!H50</f>
        <v>4059</v>
      </c>
      <c r="D1023" s="2" t="str">
        <f t="shared" ref="D1023:D1086" si="15">IF(ISBLANK(B1023),"OK",IF(A1023-B1023=0,"OK","Error?"))</f>
        <v>Error?</v>
      </c>
    </row>
    <row r="1024" spans="1:4" x14ac:dyDescent="0.2">
      <c r="A1024" s="5">
        <v>963</v>
      </c>
      <c r="B1024" s="138">
        <f>'Expenditures 15-22'!H53</f>
        <v>499826</v>
      </c>
      <c r="C1024" s="2" t="s">
        <v>593</v>
      </c>
      <c r="D1024" s="2" t="str">
        <f t="shared" si="15"/>
        <v>Error?</v>
      </c>
    </row>
    <row r="1025" spans="1:4" x14ac:dyDescent="0.2">
      <c r="A1025" s="5">
        <v>964</v>
      </c>
      <c r="B1025" s="138">
        <f>'Expenditures 15-22'!H55</f>
        <v>7825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7825</v>
      </c>
      <c r="C1027" s="2" t="s">
        <v>593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265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439</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704</v>
      </c>
      <c r="C1035" s="2" t="s">
        <v>593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508595</v>
      </c>
      <c r="C1045" s="2" t="s">
        <v>593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556323</v>
      </c>
      <c r="C1047" s="2" t="s">
        <v>593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593</v>
      </c>
      <c r="D1053" s="2" t="str">
        <f t="shared" si="15"/>
        <v>Error?</v>
      </c>
    </row>
    <row r="1054" spans="1:4" x14ac:dyDescent="0.2">
      <c r="A1054" s="5">
        <v>993</v>
      </c>
      <c r="B1054" s="138">
        <f>'Expenditures 15-22'!H114</f>
        <v>1766561</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5140059</v>
      </c>
      <c r="C1093" s="2" t="s">
        <v>593</v>
      </c>
      <c r="D1093" s="2" t="str">
        <f t="shared" si="16"/>
        <v>Error?</v>
      </c>
    </row>
    <row r="1094" spans="1:4" x14ac:dyDescent="0.2">
      <c r="A1094" s="5">
        <v>1033</v>
      </c>
      <c r="B1094" s="138">
        <f>'Expenditures 15-22'!K16</f>
        <v>2136</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6301</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593</v>
      </c>
      <c r="D1104" s="2" t="str">
        <f t="shared" si="16"/>
        <v>Error?</v>
      </c>
    </row>
    <row r="1105" spans="1:4" x14ac:dyDescent="0.2">
      <c r="A1105" s="5">
        <v>1044</v>
      </c>
      <c r="B1105" s="138">
        <f>'Expenditures 15-22'!K13</f>
        <v>860390</v>
      </c>
      <c r="C1105" s="2" t="s">
        <v>593</v>
      </c>
      <c r="D1105" s="2" t="str">
        <f t="shared" si="16"/>
        <v>Error?</v>
      </c>
    </row>
    <row r="1106" spans="1:4" x14ac:dyDescent="0.2">
      <c r="A1106" s="5">
        <v>1045</v>
      </c>
      <c r="B1106" s="138">
        <f>'Expenditures 15-22'!K14</f>
        <v>733202</v>
      </c>
      <c r="C1106" s="2" t="s">
        <v>593</v>
      </c>
      <c r="D1106" s="2" t="str">
        <f t="shared" si="16"/>
        <v>Error?</v>
      </c>
    </row>
    <row r="1107" spans="1:4" x14ac:dyDescent="0.2">
      <c r="A1107" s="5">
        <v>1046</v>
      </c>
      <c r="B1107" s="138">
        <f>'Expenditures 15-22'!K15</f>
        <v>1012</v>
      </c>
      <c r="C1107" s="2" t="s">
        <v>593</v>
      </c>
      <c r="D1107" s="2" t="str">
        <f t="shared" si="16"/>
        <v>Error?</v>
      </c>
    </row>
    <row r="1108" spans="1:4" x14ac:dyDescent="0.2">
      <c r="A1108" s="5">
        <v>1047</v>
      </c>
      <c r="B1108" s="138">
        <f>'Expenditures 15-22'!K33</f>
        <v>9601744</v>
      </c>
      <c r="C1108" s="2" t="s">
        <v>593</v>
      </c>
      <c r="D1108" s="2" t="str">
        <f t="shared" si="16"/>
        <v>Error?</v>
      </c>
    </row>
    <row r="1109" spans="1:4" x14ac:dyDescent="0.2">
      <c r="A1109" s="5">
        <v>1048</v>
      </c>
      <c r="B1109" s="138">
        <f>'Expenditures 15-22'!K36</f>
        <v>283101</v>
      </c>
      <c r="C1109" s="2" t="s">
        <v>593</v>
      </c>
      <c r="D1109" s="2" t="str">
        <f t="shared" si="16"/>
        <v>Error?</v>
      </c>
    </row>
    <row r="1110" spans="1:4" x14ac:dyDescent="0.2">
      <c r="A1110" s="5">
        <v>1049</v>
      </c>
      <c r="B1110" s="138">
        <f>'Expenditures 15-22'!K37</f>
        <v>529817</v>
      </c>
      <c r="C1110" s="2" t="s">
        <v>593</v>
      </c>
      <c r="D1110" s="2" t="str">
        <f t="shared" si="16"/>
        <v>Error?</v>
      </c>
    </row>
    <row r="1111" spans="1:4" x14ac:dyDescent="0.2">
      <c r="A1111" s="5">
        <v>1050</v>
      </c>
      <c r="B1111" s="138">
        <f>'Expenditures 15-22'!K38</f>
        <v>64084</v>
      </c>
      <c r="C1111" s="2" t="s">
        <v>593</v>
      </c>
      <c r="D1111" s="2" t="str">
        <f t="shared" si="16"/>
        <v>Error?</v>
      </c>
    </row>
    <row r="1112" spans="1:4" x14ac:dyDescent="0.2">
      <c r="A1112" s="5">
        <v>1051</v>
      </c>
      <c r="B1112" s="138">
        <f>'Expenditures 15-22'!K39</f>
        <v>101672</v>
      </c>
      <c r="C1112" s="2" t="s">
        <v>593</v>
      </c>
      <c r="D1112" s="2" t="str">
        <f t="shared" si="16"/>
        <v>Error?</v>
      </c>
    </row>
    <row r="1113" spans="1:4" x14ac:dyDescent="0.2">
      <c r="A1113" s="5">
        <v>1052</v>
      </c>
      <c r="B1113" s="138">
        <f>'Expenditures 15-22'!K40</f>
        <v>64504</v>
      </c>
      <c r="C1113" s="2" t="s">
        <v>593</v>
      </c>
      <c r="D1113" s="2" t="str">
        <f t="shared" si="16"/>
        <v>Error?</v>
      </c>
    </row>
    <row r="1114" spans="1:4" x14ac:dyDescent="0.2">
      <c r="A1114" s="5">
        <v>1053</v>
      </c>
      <c r="B1114" s="138">
        <f>'Expenditures 15-22'!K41</f>
        <v>131308</v>
      </c>
      <c r="C1114" s="2" t="s">
        <v>593</v>
      </c>
      <c r="D1114" s="2" t="str">
        <f t="shared" si="16"/>
        <v>Error?</v>
      </c>
    </row>
    <row r="1115" spans="1:4" x14ac:dyDescent="0.2">
      <c r="A1115" s="5">
        <v>1054</v>
      </c>
      <c r="B1115" s="138">
        <f>'Expenditures 15-22'!K42</f>
        <v>1174486</v>
      </c>
      <c r="C1115" s="2" t="s">
        <v>593</v>
      </c>
      <c r="D1115" s="2" t="str">
        <f t="shared" si="16"/>
        <v>Error?</v>
      </c>
    </row>
    <row r="1116" spans="1:4" x14ac:dyDescent="0.2">
      <c r="A1116" s="5">
        <v>1055</v>
      </c>
      <c r="B1116" s="138">
        <f>'Expenditures 15-22'!K44</f>
        <v>142874</v>
      </c>
      <c r="C1116" s="2" t="s">
        <v>593</v>
      </c>
      <c r="D1116" s="2" t="str">
        <f t="shared" si="16"/>
        <v>Error?</v>
      </c>
    </row>
    <row r="1117" spans="1:4" x14ac:dyDescent="0.2">
      <c r="A1117" s="5">
        <v>1056</v>
      </c>
      <c r="B1117" s="138">
        <f>'Expenditures 15-22'!K45</f>
        <v>72148</v>
      </c>
      <c r="C1117" s="2" t="s">
        <v>593</v>
      </c>
      <c r="D1117" s="2" t="str">
        <f t="shared" si="16"/>
        <v>Error?</v>
      </c>
    </row>
    <row r="1118" spans="1:4" x14ac:dyDescent="0.2">
      <c r="A1118" s="5">
        <v>1057</v>
      </c>
      <c r="B1118" s="138">
        <f>'Expenditures 15-22'!K46</f>
        <v>7607</v>
      </c>
      <c r="C1118" s="2" t="s">
        <v>593</v>
      </c>
      <c r="D1118" s="2" t="str">
        <f t="shared" si="16"/>
        <v>Error?</v>
      </c>
    </row>
    <row r="1119" spans="1:4" x14ac:dyDescent="0.2">
      <c r="A1119" s="5">
        <v>1058</v>
      </c>
      <c r="B1119" s="138">
        <f>'Expenditures 15-22'!K47</f>
        <v>222629</v>
      </c>
      <c r="C1119" s="2" t="s">
        <v>593</v>
      </c>
      <c r="D1119" s="2" t="str">
        <f t="shared" si="16"/>
        <v>Error?</v>
      </c>
    </row>
    <row r="1120" spans="1:4" x14ac:dyDescent="0.2">
      <c r="A1120" s="5">
        <v>1059</v>
      </c>
      <c r="B1120" s="138">
        <f>'Expenditures 15-22'!K49</f>
        <v>620305</v>
      </c>
      <c r="C1120" s="2" t="s">
        <v>593</v>
      </c>
      <c r="D1120" s="2" t="str">
        <f t="shared" si="16"/>
        <v>Error?</v>
      </c>
    </row>
    <row r="1121" spans="1:4" x14ac:dyDescent="0.2">
      <c r="A1121" s="5">
        <v>1060</v>
      </c>
      <c r="B1121" s="138">
        <f>'Expenditures 15-22'!K50</f>
        <v>222564</v>
      </c>
      <c r="C1121" s="2" t="s">
        <v>593</v>
      </c>
      <c r="D1121" s="2" t="str">
        <f t="shared" si="16"/>
        <v>Error?</v>
      </c>
    </row>
    <row r="1122" spans="1:4" x14ac:dyDescent="0.2">
      <c r="A1122" s="5">
        <v>1061</v>
      </c>
      <c r="B1122" s="138">
        <f>'Expenditures 15-22'!K53</f>
        <v>842869</v>
      </c>
      <c r="C1122" s="2" t="s">
        <v>593</v>
      </c>
      <c r="D1122" s="2" t="str">
        <f t="shared" si="16"/>
        <v>Error?</v>
      </c>
    </row>
    <row r="1123" spans="1:4" x14ac:dyDescent="0.2">
      <c r="A1123" s="5">
        <v>1062</v>
      </c>
      <c r="B1123" s="138">
        <f>'Expenditures 15-22'!K55</f>
        <v>344790</v>
      </c>
      <c r="C1123" s="2" t="s">
        <v>593</v>
      </c>
      <c r="D1123" s="2" t="str">
        <f t="shared" si="16"/>
        <v>Error?</v>
      </c>
    </row>
    <row r="1124" spans="1:4" x14ac:dyDescent="0.2">
      <c r="A1124" s="5">
        <v>1063</v>
      </c>
      <c r="B1124" s="138">
        <f>'Expenditures 15-22'!K56</f>
        <v>0</v>
      </c>
      <c r="C1124" s="2" t="s">
        <v>593</v>
      </c>
      <c r="D1124" s="2" t="str">
        <f t="shared" si="16"/>
        <v>Error?</v>
      </c>
    </row>
    <row r="1125" spans="1:4" x14ac:dyDescent="0.2">
      <c r="A1125" s="5">
        <v>1064</v>
      </c>
      <c r="B1125" s="138">
        <f>'Expenditures 15-22'!K57</f>
        <v>344790</v>
      </c>
      <c r="C1125" s="2" t="s">
        <v>593</v>
      </c>
      <c r="D1125" s="2" t="str">
        <f t="shared" si="16"/>
        <v>Error?</v>
      </c>
    </row>
    <row r="1126" spans="1:4" x14ac:dyDescent="0.2">
      <c r="A1126" s="5">
        <v>1065</v>
      </c>
      <c r="B1126" s="138">
        <f>'Expenditures 15-22'!K59</f>
        <v>0</v>
      </c>
      <c r="C1126" s="2" t="s">
        <v>593</v>
      </c>
      <c r="D1126" s="2" t="str">
        <f t="shared" si="16"/>
        <v>Error?</v>
      </c>
    </row>
    <row r="1127" spans="1:4" x14ac:dyDescent="0.2">
      <c r="A1127" s="5">
        <v>1066</v>
      </c>
      <c r="B1127" s="138">
        <f>'Expenditures 15-22'!K60</f>
        <v>196355</v>
      </c>
      <c r="C1127" s="2" t="s">
        <v>593</v>
      </c>
      <c r="D1127" s="2" t="str">
        <f t="shared" si="16"/>
        <v>Error?</v>
      </c>
    </row>
    <row r="1128" spans="1:4" x14ac:dyDescent="0.2">
      <c r="A1128" s="5">
        <v>1067</v>
      </c>
      <c r="B1128" s="138">
        <f>'Expenditures 15-22'!K61</f>
        <v>8058</v>
      </c>
      <c r="C1128" s="2" t="s">
        <v>593</v>
      </c>
      <c r="D1128" s="2" t="str">
        <f t="shared" si="16"/>
        <v>Error?</v>
      </c>
    </row>
    <row r="1129" spans="1:4" x14ac:dyDescent="0.2">
      <c r="A1129" s="5">
        <v>1068</v>
      </c>
      <c r="B1129" s="138">
        <f>'Expenditures 15-22'!K62</f>
        <v>0</v>
      </c>
      <c r="C1129" s="2" t="s">
        <v>593</v>
      </c>
      <c r="D1129" s="2" t="str">
        <f t="shared" si="16"/>
        <v>Error?</v>
      </c>
    </row>
    <row r="1130" spans="1:4" x14ac:dyDescent="0.2">
      <c r="A1130" s="5">
        <v>1069</v>
      </c>
      <c r="B1130" s="138">
        <f>'Expenditures 15-22'!K63</f>
        <v>497615</v>
      </c>
      <c r="C1130" s="2" t="s">
        <v>593</v>
      </c>
      <c r="D1130" s="2" t="str">
        <f t="shared" si="16"/>
        <v>Error?</v>
      </c>
    </row>
    <row r="1131" spans="1:4" x14ac:dyDescent="0.2">
      <c r="A1131" s="5">
        <v>1070</v>
      </c>
      <c r="B1131" s="138">
        <f>'Expenditures 15-22'!K64</f>
        <v>0</v>
      </c>
      <c r="C1131" s="2" t="s">
        <v>593</v>
      </c>
      <c r="D1131" s="2" t="str">
        <f t="shared" si="16"/>
        <v>Error?</v>
      </c>
    </row>
    <row r="1132" spans="1:4" x14ac:dyDescent="0.2">
      <c r="A1132" s="10">
        <v>1071</v>
      </c>
      <c r="D1132" s="2" t="str">
        <f t="shared" si="16"/>
        <v>OK</v>
      </c>
    </row>
    <row r="1133" spans="1:4" x14ac:dyDescent="0.2">
      <c r="A1133" s="5">
        <v>1072</v>
      </c>
      <c r="B1133" s="138">
        <f>'Expenditures 15-22'!K65</f>
        <v>702028</v>
      </c>
      <c r="C1133" s="2" t="s">
        <v>593</v>
      </c>
      <c r="D1133" s="2" t="str">
        <f t="shared" si="16"/>
        <v>Error?</v>
      </c>
    </row>
    <row r="1134" spans="1:4" x14ac:dyDescent="0.2">
      <c r="A1134" s="5">
        <v>1073</v>
      </c>
      <c r="B1134" s="138">
        <f>'Expenditures 15-22'!K67</f>
        <v>0</v>
      </c>
      <c r="C1134" s="2" t="s">
        <v>593</v>
      </c>
      <c r="D1134" s="2" t="str">
        <f t="shared" si="16"/>
        <v>Error?</v>
      </c>
    </row>
    <row r="1135" spans="1:4" x14ac:dyDescent="0.2">
      <c r="A1135" s="5">
        <v>1074</v>
      </c>
      <c r="B1135" s="138">
        <f>'Expenditures 15-22'!K68</f>
        <v>0</v>
      </c>
      <c r="C1135" s="2" t="s">
        <v>593</v>
      </c>
      <c r="D1135" s="2" t="str">
        <f t="shared" si="16"/>
        <v>Error?</v>
      </c>
    </row>
    <row r="1136" spans="1:4" x14ac:dyDescent="0.2">
      <c r="A1136" s="5">
        <v>1075</v>
      </c>
      <c r="B1136" s="138">
        <f>'Expenditures 15-22'!K69</f>
        <v>0</v>
      </c>
      <c r="C1136" s="2" t="s">
        <v>593</v>
      </c>
      <c r="D1136" s="2" t="str">
        <f t="shared" si="16"/>
        <v>Error?</v>
      </c>
    </row>
    <row r="1137" spans="1:4" x14ac:dyDescent="0.2">
      <c r="A1137" s="5">
        <v>1076</v>
      </c>
      <c r="B1137" s="138">
        <f>'Expenditures 15-22'!K70</f>
        <v>5821</v>
      </c>
      <c r="C1137" s="2" t="s">
        <v>593</v>
      </c>
      <c r="D1137" s="2" t="str">
        <f t="shared" si="16"/>
        <v>Error?</v>
      </c>
    </row>
    <row r="1138" spans="1:4" x14ac:dyDescent="0.2">
      <c r="A1138" s="10">
        <v>1077</v>
      </c>
      <c r="D1138" s="2" t="str">
        <f t="shared" si="16"/>
        <v>OK</v>
      </c>
    </row>
    <row r="1139" spans="1:4" x14ac:dyDescent="0.2">
      <c r="A1139" s="5">
        <v>1078</v>
      </c>
      <c r="B1139" s="138">
        <f>'Expenditures 15-22'!K71</f>
        <v>349132</v>
      </c>
      <c r="C1139" s="2" t="s">
        <v>593</v>
      </c>
      <c r="D1139" s="2" t="str">
        <f t="shared" si="16"/>
        <v>Error?</v>
      </c>
    </row>
    <row r="1140" spans="1:4" x14ac:dyDescent="0.2">
      <c r="A1140" s="10">
        <v>1079</v>
      </c>
      <c r="D1140" s="2" t="str">
        <f t="shared" si="16"/>
        <v>OK</v>
      </c>
    </row>
    <row r="1141" spans="1:4" x14ac:dyDescent="0.2">
      <c r="A1141" s="5">
        <v>1080</v>
      </c>
      <c r="B1141" s="138">
        <f>'Expenditures 15-22'!K72</f>
        <v>354953</v>
      </c>
      <c r="C1141" s="2" t="s">
        <v>593</v>
      </c>
      <c r="D1141" s="2" t="str">
        <f t="shared" si="16"/>
        <v>Error?</v>
      </c>
    </row>
    <row r="1142" spans="1:4" x14ac:dyDescent="0.2">
      <c r="A1142" s="5">
        <v>1081</v>
      </c>
      <c r="B1142" s="138">
        <f>'Expenditures 15-22'!K73</f>
        <v>0</v>
      </c>
      <c r="C1142" s="2" t="s">
        <v>593</v>
      </c>
      <c r="D1142" s="2" t="str">
        <f t="shared" si="16"/>
        <v>Error?</v>
      </c>
    </row>
    <row r="1143" spans="1:4" x14ac:dyDescent="0.2">
      <c r="A1143" s="5">
        <v>1082</v>
      </c>
      <c r="B1143" s="138">
        <f>'Expenditures 15-22'!K74</f>
        <v>3641755</v>
      </c>
      <c r="C1143" s="2" t="s">
        <v>593</v>
      </c>
      <c r="D1143" s="2" t="str">
        <f t="shared" si="16"/>
        <v>Error?</v>
      </c>
    </row>
    <row r="1144" spans="1:4" x14ac:dyDescent="0.2">
      <c r="A1144" s="5">
        <v>1083</v>
      </c>
      <c r="B1144" s="138">
        <f>'Expenditures 15-22'!K75</f>
        <v>16659</v>
      </c>
      <c r="C1144" s="2" t="s">
        <v>593</v>
      </c>
      <c r="D1144" s="2" t="str">
        <f t="shared" si="16"/>
        <v>Error?</v>
      </c>
    </row>
    <row r="1145" spans="1:4" x14ac:dyDescent="0.2">
      <c r="A1145" s="5">
        <v>1084</v>
      </c>
      <c r="B1145" s="138">
        <f>'Expenditures 15-22'!K102</f>
        <v>582072</v>
      </c>
      <c r="C1145" s="2" t="s">
        <v>593</v>
      </c>
      <c r="D1145" s="2" t="str">
        <f t="shared" si="16"/>
        <v>Error?</v>
      </c>
    </row>
    <row r="1146" spans="1:4" x14ac:dyDescent="0.2">
      <c r="A1146" s="5">
        <v>1085</v>
      </c>
      <c r="B1146" s="138">
        <f>'Expenditures 15-22'!K105</f>
        <v>0</v>
      </c>
      <c r="C1146" s="2" t="s">
        <v>593</v>
      </c>
      <c r="D1146" s="2" t="str">
        <f t="shared" si="16"/>
        <v>Error?</v>
      </c>
    </row>
    <row r="1147" spans="1:4" x14ac:dyDescent="0.2">
      <c r="A1147" s="5">
        <v>1086</v>
      </c>
      <c r="B1147" s="138">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8">
        <f>'Expenditures 15-22'!K109</f>
        <v>0</v>
      </c>
      <c r="C1149" s="2" t="s">
        <v>593</v>
      </c>
      <c r="D1149" s="2" t="str">
        <f t="shared" si="16"/>
        <v>Error?</v>
      </c>
    </row>
    <row r="1150" spans="1:4" x14ac:dyDescent="0.2">
      <c r="A1150" s="10">
        <v>1089</v>
      </c>
      <c r="D1150" s="2" t="str">
        <f t="shared" si="16"/>
        <v>OK</v>
      </c>
    </row>
    <row r="1151" spans="1:4" x14ac:dyDescent="0.2">
      <c r="A1151" s="5">
        <v>1090</v>
      </c>
      <c r="B1151" s="138">
        <f>'Expenditures 15-22'!K110</f>
        <v>0</v>
      </c>
      <c r="C1151" s="2" t="s">
        <v>593</v>
      </c>
      <c r="D1151" s="2" t="str">
        <f t="shared" ref="D1151:D1214" si="17">IF(ISBLANK(B1151),"OK",IF(A1151-B1151=0,"OK","Error?"))</f>
        <v>Error?</v>
      </c>
    </row>
    <row r="1152" spans="1:4" x14ac:dyDescent="0.2">
      <c r="A1152" s="5">
        <v>1091</v>
      </c>
      <c r="B1152" s="138">
        <f>'Expenditures 15-22'!K114</f>
        <v>13842230</v>
      </c>
      <c r="C1152" s="2" t="s">
        <v>593</v>
      </c>
      <c r="D1152" s="2" t="str">
        <f t="shared" si="17"/>
        <v>Error?</v>
      </c>
    </row>
    <row r="1153" spans="1:4" x14ac:dyDescent="0.2">
      <c r="A1153" s="5">
        <v>1092</v>
      </c>
      <c r="B1153" s="138">
        <f>'Expenditures 15-22'!K115</f>
        <v>-590249</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729166</v>
      </c>
      <c r="D1221" s="2" t="str">
        <f t="shared" si="18"/>
        <v>Error?</v>
      </c>
    </row>
    <row r="1222" spans="1:4" x14ac:dyDescent="0.2">
      <c r="A1222" s="10">
        <v>1161</v>
      </c>
      <c r="D1222" s="2" t="str">
        <f t="shared" si="18"/>
        <v>OK</v>
      </c>
    </row>
    <row r="1223" spans="1:4" x14ac:dyDescent="0.2">
      <c r="A1223" s="5">
        <v>1162</v>
      </c>
      <c r="B1223" s="138">
        <f>'Expenditures 15-22'!C127</f>
        <v>729166</v>
      </c>
      <c r="C1223" s="2" t="s">
        <v>593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729166</v>
      </c>
      <c r="C1225" s="2" t="s">
        <v>593</v>
      </c>
      <c r="D1225" s="2" t="str">
        <f t="shared" si="18"/>
        <v>Error?</v>
      </c>
    </row>
    <row r="1226" spans="1:4" x14ac:dyDescent="0.2">
      <c r="A1226" s="5">
        <v>1165</v>
      </c>
      <c r="B1226" s="138">
        <f>'Expenditures 15-22'!C151</f>
        <v>729166</v>
      </c>
      <c r="C1226" s="2" t="s">
        <v>593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162392</v>
      </c>
      <c r="D1229" s="2" t="str">
        <f t="shared" si="18"/>
        <v>Error?</v>
      </c>
    </row>
    <row r="1230" spans="1:4" x14ac:dyDescent="0.2">
      <c r="A1230" s="10">
        <v>1169</v>
      </c>
      <c r="D1230" s="2" t="str">
        <f t="shared" si="18"/>
        <v>OK</v>
      </c>
    </row>
    <row r="1231" spans="1:4" x14ac:dyDescent="0.2">
      <c r="A1231" s="5">
        <v>1170</v>
      </c>
      <c r="B1231" s="138">
        <f>'Expenditures 15-22'!D127</f>
        <v>162392</v>
      </c>
      <c r="C1231" s="2" t="s">
        <v>593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162392</v>
      </c>
      <c r="C1233" s="2" t="s">
        <v>593</v>
      </c>
      <c r="D1233" s="2" t="str">
        <f t="shared" si="18"/>
        <v>Error?</v>
      </c>
    </row>
    <row r="1234" spans="1:4" x14ac:dyDescent="0.2">
      <c r="A1234" s="5">
        <v>1173</v>
      </c>
      <c r="B1234" s="138">
        <f>'Expenditures 15-22'!D151</f>
        <v>162392</v>
      </c>
      <c r="C1234" s="2" t="s">
        <v>593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156245</v>
      </c>
      <c r="D1237" s="2" t="str">
        <f t="shared" si="18"/>
        <v>Error?</v>
      </c>
    </row>
    <row r="1238" spans="1:4" x14ac:dyDescent="0.2">
      <c r="A1238" s="10">
        <v>1177</v>
      </c>
      <c r="D1238" s="2" t="str">
        <f t="shared" si="18"/>
        <v>OK</v>
      </c>
    </row>
    <row r="1239" spans="1:4" x14ac:dyDescent="0.2">
      <c r="A1239" s="5">
        <v>1178</v>
      </c>
      <c r="B1239" s="138">
        <f>'Expenditures 15-22'!E127</f>
        <v>156245</v>
      </c>
      <c r="C1239" s="2" t="s">
        <v>593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156245</v>
      </c>
      <c r="C1241" s="2" t="s">
        <v>593</v>
      </c>
      <c r="D1241" s="2" t="str">
        <f t="shared" si="18"/>
        <v>Error?</v>
      </c>
    </row>
    <row r="1242" spans="1:4" x14ac:dyDescent="0.2">
      <c r="A1242" s="5">
        <v>1181</v>
      </c>
      <c r="B1242" s="138">
        <f>'Expenditures 15-22'!E151</f>
        <v>156245</v>
      </c>
      <c r="C1242" s="2" t="s">
        <v>593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415927</v>
      </c>
      <c r="D1245" s="2" t="str">
        <f t="shared" si="18"/>
        <v>Error?</v>
      </c>
    </row>
    <row r="1246" spans="1:4" x14ac:dyDescent="0.2">
      <c r="A1246" s="10">
        <v>1185</v>
      </c>
      <c r="D1246" s="2" t="str">
        <f t="shared" si="18"/>
        <v>OK</v>
      </c>
    </row>
    <row r="1247" spans="1:4" x14ac:dyDescent="0.2">
      <c r="A1247" s="5">
        <v>1186</v>
      </c>
      <c r="B1247" s="138">
        <f>'Expenditures 15-22'!F127</f>
        <v>415927</v>
      </c>
      <c r="C1247" s="2" t="s">
        <v>593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415927</v>
      </c>
      <c r="C1249" s="2" t="s">
        <v>593</v>
      </c>
      <c r="D1249" s="2" t="str">
        <f t="shared" si="18"/>
        <v>Error?</v>
      </c>
    </row>
    <row r="1250" spans="1:4" x14ac:dyDescent="0.2">
      <c r="A1250" s="5">
        <v>1189</v>
      </c>
      <c r="B1250" s="138">
        <f>'Expenditures 15-22'!F151</f>
        <v>415927</v>
      </c>
      <c r="C1250" s="2" t="s">
        <v>593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20049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20049</v>
      </c>
      <c r="C1256" s="2" t="s">
        <v>593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20049</v>
      </c>
      <c r="C1258" s="2" t="s">
        <v>593</v>
      </c>
      <c r="D1258" s="2" t="str">
        <f t="shared" si="18"/>
        <v>Error?</v>
      </c>
    </row>
    <row r="1259" spans="1:4" x14ac:dyDescent="0.2">
      <c r="A1259" s="5">
        <v>1198</v>
      </c>
      <c r="B1259" s="138">
        <f>'Expenditures 15-22'!G151</f>
        <v>20049</v>
      </c>
      <c r="C1259" s="2" t="s">
        <v>593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593</v>
      </c>
      <c r="D1266" s="2" t="str">
        <f t="shared" si="18"/>
        <v>Error?</v>
      </c>
    </row>
    <row r="1267" spans="1:4" x14ac:dyDescent="0.2">
      <c r="A1267" s="5">
        <v>1206</v>
      </c>
      <c r="B1267" s="138">
        <f>'Expenditures 15-22'!H139</f>
        <v>0</v>
      </c>
      <c r="C1267" s="2" t="s">
        <v>593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593</v>
      </c>
      <c r="D1272" s="2" t="str">
        <f t="shared" si="18"/>
        <v>Error?</v>
      </c>
    </row>
    <row r="1273" spans="1:4" x14ac:dyDescent="0.2">
      <c r="A1273" s="5">
        <v>1212</v>
      </c>
      <c r="B1273" s="138">
        <f>'Expenditures 15-22'!H151</f>
        <v>0</v>
      </c>
      <c r="C1273" s="2" t="s">
        <v>593</v>
      </c>
      <c r="D1273" s="2" t="str">
        <f t="shared" si="18"/>
        <v>Error?</v>
      </c>
    </row>
    <row r="1274" spans="1:4" x14ac:dyDescent="0.2">
      <c r="A1274" s="5">
        <v>1213</v>
      </c>
      <c r="B1274" s="138">
        <f>'Expenditures 15-22'!K122</f>
        <v>0</v>
      </c>
      <c r="C1274" s="2" t="s">
        <v>593</v>
      </c>
      <c r="D1274" s="2" t="str">
        <f t="shared" si="18"/>
        <v>Error?</v>
      </c>
    </row>
    <row r="1275" spans="1:4" x14ac:dyDescent="0.2">
      <c r="A1275" s="5">
        <v>1214</v>
      </c>
      <c r="B1275" s="138">
        <f>'Expenditures 15-22'!K123</f>
        <v>0</v>
      </c>
      <c r="C1275" s="2" t="s">
        <v>593</v>
      </c>
      <c r="D1275" s="2" t="str">
        <f t="shared" si="18"/>
        <v>Error?</v>
      </c>
    </row>
    <row r="1276" spans="1:4" x14ac:dyDescent="0.2">
      <c r="A1276" s="5">
        <v>1215</v>
      </c>
      <c r="B1276" s="138">
        <f>'Expenditures 15-22'!K124</f>
        <v>1483779</v>
      </c>
      <c r="C1276" s="2" t="s">
        <v>593</v>
      </c>
      <c r="D1276" s="2" t="str">
        <f t="shared" si="18"/>
        <v>Error?</v>
      </c>
    </row>
    <row r="1277" spans="1:4" x14ac:dyDescent="0.2">
      <c r="A1277" s="5">
        <v>1216</v>
      </c>
      <c r="B1277" s="138">
        <f>'Expenditures 15-22'!K126</f>
        <v>0</v>
      </c>
      <c r="C1277" s="2" t="s">
        <v>593</v>
      </c>
      <c r="D1277" s="2" t="str">
        <f t="shared" si="18"/>
        <v>Error?</v>
      </c>
    </row>
    <row r="1278" spans="1:4" x14ac:dyDescent="0.2">
      <c r="A1278" s="10">
        <v>1217</v>
      </c>
      <c r="D1278" s="2" t="str">
        <f t="shared" si="18"/>
        <v>OK</v>
      </c>
    </row>
    <row r="1279" spans="1:4" x14ac:dyDescent="0.2">
      <c r="A1279" s="5">
        <v>1218</v>
      </c>
      <c r="B1279" s="138">
        <f>'Expenditures 15-22'!K127</f>
        <v>1483779</v>
      </c>
      <c r="C1279" s="2" t="s">
        <v>593</v>
      </c>
      <c r="D1279" s="2" t="str">
        <f t="shared" ref="D1279:D1342" si="19">IF(ISBLANK(B1279),"OK",IF(A1279-B1279=0,"OK","Error?"))</f>
        <v>Error?</v>
      </c>
    </row>
    <row r="1280" spans="1:4" x14ac:dyDescent="0.2">
      <c r="A1280" s="5">
        <v>1219</v>
      </c>
      <c r="B1280" s="138">
        <f>'Expenditures 15-22'!K128</f>
        <v>0</v>
      </c>
      <c r="C1280" s="2" t="s">
        <v>593</v>
      </c>
      <c r="D1280" s="2" t="str">
        <f t="shared" si="19"/>
        <v>Error?</v>
      </c>
    </row>
    <row r="1281" spans="1:4" x14ac:dyDescent="0.2">
      <c r="A1281" s="5">
        <v>1220</v>
      </c>
      <c r="B1281" s="138">
        <f>'Expenditures 15-22'!K129</f>
        <v>1483779</v>
      </c>
      <c r="C1281" s="2" t="s">
        <v>593</v>
      </c>
      <c r="D1281" s="2" t="str">
        <f t="shared" si="19"/>
        <v>Error?</v>
      </c>
    </row>
    <row r="1282" spans="1:4" x14ac:dyDescent="0.2">
      <c r="A1282" s="5">
        <v>1221</v>
      </c>
      <c r="B1282" s="138">
        <f>'Expenditures 15-22'!K139</f>
        <v>0</v>
      </c>
      <c r="C1282" s="2" t="s">
        <v>593</v>
      </c>
      <c r="D1282" s="2" t="str">
        <f t="shared" si="19"/>
        <v>Error?</v>
      </c>
    </row>
    <row r="1283" spans="1:4" x14ac:dyDescent="0.2">
      <c r="A1283" s="5">
        <v>1222</v>
      </c>
      <c r="B1283" s="138">
        <f>'Expenditures 15-22'!K142</f>
        <v>0</v>
      </c>
      <c r="C1283" s="2" t="s">
        <v>593</v>
      </c>
      <c r="D1283" s="2" t="str">
        <f t="shared" si="19"/>
        <v>Error?</v>
      </c>
    </row>
    <row r="1284" spans="1:4" x14ac:dyDescent="0.2">
      <c r="A1284" s="5">
        <v>1223</v>
      </c>
      <c r="B1284" s="138">
        <f>'Expenditures 15-22'!K143</f>
        <v>0</v>
      </c>
      <c r="C1284" s="2" t="s">
        <v>593</v>
      </c>
      <c r="D1284" s="2" t="str">
        <f t="shared" si="19"/>
        <v>Error?</v>
      </c>
    </row>
    <row r="1285" spans="1:4" x14ac:dyDescent="0.2">
      <c r="A1285" s="5">
        <v>1224</v>
      </c>
      <c r="B1285" s="138">
        <f>'Expenditures 15-22'!K146</f>
        <v>0</v>
      </c>
      <c r="C1285" s="2" t="s">
        <v>593</v>
      </c>
      <c r="D1285" s="2" t="str">
        <f t="shared" si="19"/>
        <v>Error?</v>
      </c>
    </row>
    <row r="1286" spans="1:4" x14ac:dyDescent="0.2">
      <c r="A1286" s="10">
        <v>1225</v>
      </c>
      <c r="D1286" s="2" t="str">
        <f t="shared" si="19"/>
        <v>OK</v>
      </c>
    </row>
    <row r="1287" spans="1:4" x14ac:dyDescent="0.2">
      <c r="A1287" s="12">
        <v>1226</v>
      </c>
      <c r="B1287" s="138">
        <f>'Expenditures 15-22'!K149</f>
        <v>0</v>
      </c>
      <c r="C1287" s="2" t="s">
        <v>593</v>
      </c>
      <c r="D1287" s="2" t="str">
        <f t="shared" si="19"/>
        <v>Error?</v>
      </c>
    </row>
    <row r="1288" spans="1:4" x14ac:dyDescent="0.2">
      <c r="A1288" s="5">
        <v>1227</v>
      </c>
      <c r="B1288" s="138">
        <f>'Expenditures 15-22'!K151</f>
        <v>1483779</v>
      </c>
      <c r="C1288" s="2" t="s">
        <v>593</v>
      </c>
      <c r="D1288" s="2" t="str">
        <f t="shared" si="19"/>
        <v>Error?</v>
      </c>
    </row>
    <row r="1289" spans="1:4" x14ac:dyDescent="0.2">
      <c r="A1289" s="5">
        <v>1228</v>
      </c>
      <c r="B1289" s="138">
        <f>'Expenditures 15-22'!K152</f>
        <v>268278</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593</v>
      </c>
      <c r="D1308" s="2" t="str">
        <f t="shared" si="19"/>
        <v>Error?</v>
      </c>
    </row>
    <row r="1309" spans="1:4" x14ac:dyDescent="0.2">
      <c r="A1309" s="5">
        <v>1248</v>
      </c>
      <c r="B1309" s="138">
        <f>'Expenditures 15-22'!E174</f>
        <v>0</v>
      </c>
      <c r="C1309" s="2" t="s">
        <v>593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225743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593</v>
      </c>
      <c r="D1314" s="2" t="str">
        <f t="shared" si="19"/>
        <v>Error?</v>
      </c>
    </row>
    <row r="1315" spans="1:4" x14ac:dyDescent="0.2">
      <c r="A1315" s="5">
        <v>1254</v>
      </c>
      <c r="B1315" s="138">
        <f>'Expenditures 15-22'!H170</f>
        <v>2571912</v>
      </c>
      <c r="D1315" s="2" t="str">
        <f t="shared" si="19"/>
        <v>Error?</v>
      </c>
    </row>
    <row r="1316" spans="1:4" x14ac:dyDescent="0.2">
      <c r="A1316" s="5">
        <v>1255</v>
      </c>
      <c r="B1316" s="138">
        <f>'Expenditures 15-22'!H171</f>
        <v>1475</v>
      </c>
      <c r="D1316" s="2" t="str">
        <f t="shared" si="19"/>
        <v>Error?</v>
      </c>
    </row>
    <row r="1317" spans="1:4" x14ac:dyDescent="0.2">
      <c r="A1317" s="5">
        <v>1256</v>
      </c>
      <c r="B1317" s="138">
        <f>'Expenditures 15-22'!H172</f>
        <v>2799130</v>
      </c>
      <c r="C1317" s="2" t="s">
        <v>593</v>
      </c>
      <c r="D1317" s="2" t="str">
        <f t="shared" si="19"/>
        <v>Error?</v>
      </c>
    </row>
    <row r="1318" spans="1:4" x14ac:dyDescent="0.2">
      <c r="A1318" s="5">
        <v>1257</v>
      </c>
      <c r="B1318" s="138">
        <f>'Expenditures 15-22'!H174</f>
        <v>2799130</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8">
        <f>'Expenditures 15-22'!K155</f>
        <v>0</v>
      </c>
      <c r="C1323" s="2" t="s">
        <v>593</v>
      </c>
      <c r="D1323" s="2" t="str">
        <f t="shared" si="19"/>
        <v>Error?</v>
      </c>
    </row>
    <row r="1324" spans="1:4" x14ac:dyDescent="0.2">
      <c r="A1324" s="5">
        <v>1263</v>
      </c>
      <c r="B1324" s="138">
        <f>'Expenditures 15-22'!K163</f>
        <v>0</v>
      </c>
      <c r="C1324" s="2" t="s">
        <v>593</v>
      </c>
      <c r="D1324" s="2" t="str">
        <f t="shared" si="19"/>
        <v>Error?</v>
      </c>
    </row>
    <row r="1325" spans="1:4" x14ac:dyDescent="0.2">
      <c r="A1325" s="5">
        <v>1264</v>
      </c>
      <c r="B1325" s="138">
        <f>'Expenditures 15-22'!K164</f>
        <v>0</v>
      </c>
      <c r="C1325" s="2" t="s">
        <v>593</v>
      </c>
      <c r="D1325" s="2" t="str">
        <f t="shared" si="19"/>
        <v>Error?</v>
      </c>
    </row>
    <row r="1326" spans="1:4" x14ac:dyDescent="0.2">
      <c r="A1326" s="5">
        <v>1265</v>
      </c>
      <c r="B1326" s="138">
        <f>'Expenditures 15-22'!K169</f>
        <v>225743</v>
      </c>
      <c r="C1326" s="2" t="s">
        <v>593</v>
      </c>
      <c r="D1326" s="2" t="str">
        <f t="shared" si="19"/>
        <v>Error?</v>
      </c>
    </row>
    <row r="1327" spans="1:4" x14ac:dyDescent="0.2">
      <c r="A1327" s="5">
        <v>1266</v>
      </c>
      <c r="B1327" s="138">
        <f>'Expenditures 15-22'!K167</f>
        <v>0</v>
      </c>
      <c r="C1327" s="2" t="s">
        <v>593</v>
      </c>
      <c r="D1327" s="2" t="str">
        <f t="shared" si="19"/>
        <v>Error?</v>
      </c>
    </row>
    <row r="1328" spans="1:4" x14ac:dyDescent="0.2">
      <c r="A1328" s="5">
        <v>1267</v>
      </c>
      <c r="B1328" s="138">
        <f>'Expenditures 15-22'!K168</f>
        <v>0</v>
      </c>
      <c r="C1328" s="2" t="s">
        <v>593</v>
      </c>
      <c r="D1328" s="2" t="str">
        <f t="shared" si="19"/>
        <v>Error?</v>
      </c>
    </row>
    <row r="1329" spans="1:4" x14ac:dyDescent="0.2">
      <c r="A1329" s="5">
        <v>1268</v>
      </c>
      <c r="B1329" s="138">
        <f>'Expenditures 15-22'!K170</f>
        <v>2571912</v>
      </c>
      <c r="C1329" s="2" t="s">
        <v>593</v>
      </c>
      <c r="D1329" s="2" t="str">
        <f t="shared" si="19"/>
        <v>Error?</v>
      </c>
    </row>
    <row r="1330" spans="1:4" x14ac:dyDescent="0.2">
      <c r="A1330" s="5">
        <v>1269</v>
      </c>
      <c r="B1330" s="138">
        <f>'Expenditures 15-22'!K171</f>
        <v>1475</v>
      </c>
      <c r="C1330" s="2" t="s">
        <v>593</v>
      </c>
      <c r="D1330" s="2" t="str">
        <f t="shared" si="19"/>
        <v>Error?</v>
      </c>
    </row>
    <row r="1331" spans="1:4" x14ac:dyDescent="0.2">
      <c r="A1331" s="5">
        <v>1270</v>
      </c>
      <c r="B1331" s="138">
        <f>'Expenditures 15-22'!K172</f>
        <v>2799130</v>
      </c>
      <c r="C1331" s="2" t="s">
        <v>593</v>
      </c>
      <c r="D1331" s="2" t="str">
        <f t="shared" si="19"/>
        <v>Error?</v>
      </c>
    </row>
    <row r="1332" spans="1:4" x14ac:dyDescent="0.2">
      <c r="A1332" s="5">
        <v>1271</v>
      </c>
      <c r="B1332" s="138">
        <f>'Expenditures 15-22'!K174</f>
        <v>2799130</v>
      </c>
      <c r="C1332" s="2" t="s">
        <v>593</v>
      </c>
      <c r="D1332" s="2" t="str">
        <f t="shared" si="19"/>
        <v>Error?</v>
      </c>
    </row>
    <row r="1333" spans="1:4" x14ac:dyDescent="0.2">
      <c r="A1333" s="5">
        <v>1272</v>
      </c>
      <c r="B1333" s="138">
        <f>'Expenditures 15-22'!K175</f>
        <v>-70472</v>
      </c>
      <c r="C1333" s="2" t="s">
        <v>593</v>
      </c>
      <c r="D1333" s="2" t="str">
        <f t="shared" si="19"/>
        <v>Error?</v>
      </c>
    </row>
    <row r="1334" spans="1:4" x14ac:dyDescent="0.2">
      <c r="A1334" s="10">
        <v>1273</v>
      </c>
      <c r="D1334" s="2" t="str">
        <f t="shared" si="19"/>
        <v>OK</v>
      </c>
    </row>
    <row r="1335" spans="1:4" x14ac:dyDescent="0.2">
      <c r="A1335" s="5">
        <v>1274</v>
      </c>
      <c r="B1335" s="138">
        <f>'Expenditures 15-22'!C182</f>
        <v>6102</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6102</v>
      </c>
      <c r="C1339" s="2" t="s">
        <v>593</v>
      </c>
      <c r="D1339" s="2" t="str">
        <f t="shared" si="19"/>
        <v>Error?</v>
      </c>
    </row>
    <row r="1340" spans="1:4" x14ac:dyDescent="0.2">
      <c r="A1340" s="5">
        <v>1279</v>
      </c>
      <c r="B1340" s="138">
        <f>'Expenditures 15-22'!C210</f>
        <v>6102</v>
      </c>
      <c r="C1340" s="2" t="s">
        <v>593</v>
      </c>
      <c r="D1340" s="2" t="str">
        <f t="shared" si="19"/>
        <v>Error?</v>
      </c>
    </row>
    <row r="1341" spans="1:4" x14ac:dyDescent="0.2">
      <c r="A1341" s="5">
        <v>1280</v>
      </c>
      <c r="B1341" s="138">
        <f>'Expenditures 15-22'!D182</f>
        <v>757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757</v>
      </c>
      <c r="C1345" s="2" t="s">
        <v>593</v>
      </c>
      <c r="D1345" s="2" t="str">
        <f t="shared" si="20"/>
        <v>Error?</v>
      </c>
    </row>
    <row r="1346" spans="1:4" x14ac:dyDescent="0.2">
      <c r="A1346" s="5">
        <v>1285</v>
      </c>
      <c r="B1346" s="138">
        <f>'Expenditures 15-22'!D210</f>
        <v>757</v>
      </c>
      <c r="C1346" s="2" t="s">
        <v>593</v>
      </c>
      <c r="D1346" s="2" t="str">
        <f t="shared" si="20"/>
        <v>Error?</v>
      </c>
    </row>
    <row r="1347" spans="1:4" x14ac:dyDescent="0.2">
      <c r="A1347" s="5">
        <v>1286</v>
      </c>
      <c r="B1347" s="138">
        <f>'Expenditures 15-22'!E182</f>
        <v>211520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211520</v>
      </c>
      <c r="C1351" s="2" t="s">
        <v>593</v>
      </c>
      <c r="D1351" s="2" t="str">
        <f t="shared" si="20"/>
        <v>Error?</v>
      </c>
    </row>
    <row r="1352" spans="1:4" x14ac:dyDescent="0.2">
      <c r="A1352" s="5">
        <v>1291</v>
      </c>
      <c r="B1352" s="138">
        <f>'Expenditures 15-22'!E196</f>
        <v>857301</v>
      </c>
      <c r="C1352" s="2" t="s">
        <v>593</v>
      </c>
      <c r="D1352" s="2" t="str">
        <f t="shared" si="20"/>
        <v>Error?</v>
      </c>
    </row>
    <row r="1353" spans="1:4" x14ac:dyDescent="0.2">
      <c r="A1353" s="5">
        <v>1292</v>
      </c>
      <c r="B1353" s="138">
        <f>'Expenditures 15-22'!E210</f>
        <v>1068821</v>
      </c>
      <c r="C1353" s="2" t="s">
        <v>593</v>
      </c>
      <c r="D1353" s="2" t="str">
        <f t="shared" si="20"/>
        <v>Error?</v>
      </c>
    </row>
    <row r="1354" spans="1:4" x14ac:dyDescent="0.2">
      <c r="A1354" s="5">
        <v>1293</v>
      </c>
      <c r="B1354" s="138">
        <f>'Expenditures 15-22'!F182</f>
        <v>8523</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8523</v>
      </c>
      <c r="C1358" s="2" t="s">
        <v>593</v>
      </c>
      <c r="D1358" s="2" t="str">
        <f t="shared" si="20"/>
        <v>Error?</v>
      </c>
    </row>
    <row r="1359" spans="1:4" x14ac:dyDescent="0.2">
      <c r="A1359" s="5">
        <v>1298</v>
      </c>
      <c r="B1359" s="138">
        <f>'Expenditures 15-22'!F210</f>
        <v>8523</v>
      </c>
      <c r="C1359" s="2" t="s">
        <v>593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593</v>
      </c>
      <c r="D1364" s="2" t="str">
        <f t="shared" si="20"/>
        <v>Error?</v>
      </c>
    </row>
    <row r="1365" spans="1:4" x14ac:dyDescent="0.2">
      <c r="A1365" s="5">
        <v>1304</v>
      </c>
      <c r="B1365" s="138">
        <f>'Expenditures 15-22'!G210</f>
        <v>0</v>
      </c>
      <c r="C1365" s="2" t="s">
        <v>593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593</v>
      </c>
      <c r="D1375" s="2" t="str">
        <f t="shared" si="20"/>
        <v>Error?</v>
      </c>
    </row>
    <row r="1376" spans="1:4" x14ac:dyDescent="0.2">
      <c r="A1376" s="5">
        <v>1315</v>
      </c>
      <c r="B1376" s="138">
        <f>'Expenditures 15-22'!H210</f>
        <v>0</v>
      </c>
      <c r="C1376" s="2" t="s">
        <v>593</v>
      </c>
      <c r="D1376" s="2" t="str">
        <f t="shared" si="20"/>
        <v>Error?</v>
      </c>
    </row>
    <row r="1377" spans="1:4" x14ac:dyDescent="0.2">
      <c r="A1377" s="5">
        <v>1316</v>
      </c>
      <c r="B1377" s="138">
        <f>'Expenditures 15-22'!K182</f>
        <v>226902</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593</v>
      </c>
      <c r="D1380" s="2" t="str">
        <f t="shared" si="20"/>
        <v>Error?</v>
      </c>
    </row>
    <row r="1381" spans="1:4" x14ac:dyDescent="0.2">
      <c r="A1381" s="5">
        <v>1320</v>
      </c>
      <c r="B1381" s="138">
        <f>'Expenditures 15-22'!K184</f>
        <v>226902</v>
      </c>
      <c r="C1381" s="2" t="s">
        <v>593</v>
      </c>
      <c r="D1381" s="2" t="str">
        <f t="shared" si="20"/>
        <v>Error?</v>
      </c>
    </row>
    <row r="1382" spans="1:4" x14ac:dyDescent="0.2">
      <c r="A1382" s="5">
        <v>1321</v>
      </c>
      <c r="B1382" s="138">
        <f>'Expenditures 15-22'!K196</f>
        <v>857301</v>
      </c>
      <c r="C1382" s="2" t="s">
        <v>593</v>
      </c>
      <c r="D1382" s="2" t="str">
        <f t="shared" si="20"/>
        <v>Error?</v>
      </c>
    </row>
    <row r="1383" spans="1:4" x14ac:dyDescent="0.2">
      <c r="A1383" s="5">
        <v>1322</v>
      </c>
      <c r="B1383" s="138">
        <f>'Expenditures 15-22'!K199</f>
        <v>0</v>
      </c>
      <c r="C1383" s="2" t="s">
        <v>593</v>
      </c>
      <c r="D1383" s="2" t="str">
        <f t="shared" si="20"/>
        <v>Error?</v>
      </c>
    </row>
    <row r="1384" spans="1:4" x14ac:dyDescent="0.2">
      <c r="A1384" s="5">
        <v>1323</v>
      </c>
      <c r="B1384" s="138">
        <f>'Expenditures 15-22'!K200</f>
        <v>0</v>
      </c>
      <c r="C1384" s="2" t="s">
        <v>593</v>
      </c>
      <c r="D1384" s="2" t="str">
        <f t="shared" si="20"/>
        <v>Error?</v>
      </c>
    </row>
    <row r="1385" spans="1:4" x14ac:dyDescent="0.2">
      <c r="A1385" s="5">
        <v>1324</v>
      </c>
      <c r="B1385" s="138">
        <f>'Expenditures 15-22'!K203</f>
        <v>0</v>
      </c>
      <c r="C1385" s="2" t="s">
        <v>593</v>
      </c>
      <c r="D1385" s="2" t="str">
        <f t="shared" si="20"/>
        <v>Error?</v>
      </c>
    </row>
    <row r="1386" spans="1:4" x14ac:dyDescent="0.2">
      <c r="A1386" s="10">
        <v>1325</v>
      </c>
      <c r="D1386" s="2" t="str">
        <f t="shared" si="20"/>
        <v>OK</v>
      </c>
    </row>
    <row r="1387" spans="1:4" x14ac:dyDescent="0.2">
      <c r="A1387" s="5">
        <v>1326</v>
      </c>
      <c r="B1387" s="138">
        <f>'Expenditures 15-22'!K208</f>
        <v>0</v>
      </c>
      <c r="C1387" s="2" t="s">
        <v>593</v>
      </c>
      <c r="D1387" s="2" t="str">
        <f t="shared" si="20"/>
        <v>Error?</v>
      </c>
    </row>
    <row r="1388" spans="1:4" x14ac:dyDescent="0.2">
      <c r="A1388" s="5">
        <v>1327</v>
      </c>
      <c r="B1388" s="138">
        <f>'Expenditures 15-22'!K210</f>
        <v>1084203</v>
      </c>
      <c r="C1388" s="2" t="s">
        <v>593</v>
      </c>
      <c r="D1388" s="2" t="str">
        <f t="shared" si="20"/>
        <v>Error?</v>
      </c>
    </row>
    <row r="1389" spans="1:4" x14ac:dyDescent="0.2">
      <c r="A1389" s="5">
        <v>1328</v>
      </c>
      <c r="B1389" s="138">
        <f>'Expenditures 15-22'!K211</f>
        <v>150001</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28</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70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8648</v>
      </c>
      <c r="D1407" s="2" t="str">
        <f t="shared" ref="D1407:D1470" si="21">IF(ISBLANK(B1407),"OK",IF(A1407-B1407=0,"OK","Error?"))</f>
        <v>Error?</v>
      </c>
    </row>
    <row r="1408" spans="1:4" x14ac:dyDescent="0.2">
      <c r="A1408" s="5">
        <v>1347</v>
      </c>
      <c r="B1408" s="138">
        <f>'Expenditures 15-22'!D223</f>
        <v>16700</v>
      </c>
      <c r="D1408" s="2" t="str">
        <f t="shared" si="21"/>
        <v>Error?</v>
      </c>
    </row>
    <row r="1409" spans="1:4" x14ac:dyDescent="0.2">
      <c r="A1409" s="5">
        <v>1348</v>
      </c>
      <c r="B1409" s="138">
        <f>'Expenditures 15-22'!D224</f>
        <v>12</v>
      </c>
      <c r="D1409" s="2" t="str">
        <f t="shared" si="21"/>
        <v>Error?</v>
      </c>
    </row>
    <row r="1410" spans="1:4" x14ac:dyDescent="0.2">
      <c r="A1410" s="5">
        <v>1349</v>
      </c>
      <c r="B1410" s="138">
        <f>'Expenditures 15-22'!D229</f>
        <v>140907</v>
      </c>
      <c r="C1410" s="2" t="s">
        <v>593</v>
      </c>
      <c r="D1410" s="2" t="str">
        <f t="shared" si="21"/>
        <v>Error?</v>
      </c>
    </row>
    <row r="1411" spans="1:4" x14ac:dyDescent="0.2">
      <c r="A1411" s="5">
        <v>1350</v>
      </c>
      <c r="B1411" s="138">
        <f>'Expenditures 15-22'!D232</f>
        <v>24274</v>
      </c>
      <c r="D1411" s="2" t="str">
        <f t="shared" si="21"/>
        <v>Error?</v>
      </c>
    </row>
    <row r="1412" spans="1:4" x14ac:dyDescent="0.2">
      <c r="A1412" s="5">
        <v>1351</v>
      </c>
      <c r="B1412" s="138">
        <f>'Expenditures 15-22'!D233</f>
        <v>11796</v>
      </c>
      <c r="D1412" s="2" t="str">
        <f t="shared" si="21"/>
        <v>Error?</v>
      </c>
    </row>
    <row r="1413" spans="1:4" x14ac:dyDescent="0.2">
      <c r="A1413" s="5">
        <v>1352</v>
      </c>
      <c r="B1413" s="138">
        <f>'Expenditures 15-22'!D234</f>
        <v>633</v>
      </c>
      <c r="D1413" s="2" t="str">
        <f t="shared" si="21"/>
        <v>Error?</v>
      </c>
    </row>
    <row r="1414" spans="1:4" x14ac:dyDescent="0.2">
      <c r="A1414" s="5">
        <v>1353</v>
      </c>
      <c r="B1414" s="138">
        <f>'Expenditures 15-22'!D235</f>
        <v>5760</v>
      </c>
      <c r="D1414" s="2" t="str">
        <f t="shared" si="21"/>
        <v>Error?</v>
      </c>
    </row>
    <row r="1415" spans="1:4" x14ac:dyDescent="0.2">
      <c r="A1415" s="5">
        <v>1354</v>
      </c>
      <c r="B1415" s="138">
        <f>'Expenditures 15-22'!D236</f>
        <v>651</v>
      </c>
      <c r="D1415" s="2" t="str">
        <f t="shared" si="21"/>
        <v>Error?</v>
      </c>
    </row>
    <row r="1416" spans="1:4" x14ac:dyDescent="0.2">
      <c r="A1416" s="5">
        <v>1355</v>
      </c>
      <c r="B1416" s="138">
        <f>'Expenditures 15-22'!D237</f>
        <v>7298</v>
      </c>
      <c r="D1416" s="2" t="str">
        <f t="shared" si="21"/>
        <v>Error?</v>
      </c>
    </row>
    <row r="1417" spans="1:4" x14ac:dyDescent="0.2">
      <c r="A1417" s="5">
        <v>1356</v>
      </c>
      <c r="B1417" s="138">
        <f>'Expenditures 15-22'!D238</f>
        <v>50412</v>
      </c>
      <c r="C1417" s="2" t="s">
        <v>593</v>
      </c>
      <c r="D1417" s="2" t="str">
        <f t="shared" si="21"/>
        <v>Error?</v>
      </c>
    </row>
    <row r="1418" spans="1:4" x14ac:dyDescent="0.2">
      <c r="A1418" s="5">
        <v>1357</v>
      </c>
      <c r="B1418" s="138">
        <f>'Expenditures 15-22'!D240</f>
        <v>1012</v>
      </c>
      <c r="D1418" s="2" t="str">
        <f t="shared" si="21"/>
        <v>Error?</v>
      </c>
    </row>
    <row r="1419" spans="1:4" x14ac:dyDescent="0.2">
      <c r="A1419" s="5">
        <v>1358</v>
      </c>
      <c r="B1419" s="138">
        <f>'Expenditures 15-22'!D241</f>
        <v>575</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1587</v>
      </c>
      <c r="C1421" s="2" t="s">
        <v>593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10467</v>
      </c>
      <c r="D1423" s="2" t="str">
        <f t="shared" si="21"/>
        <v>Error?</v>
      </c>
    </row>
    <row r="1424" spans="1:4" x14ac:dyDescent="0.2">
      <c r="A1424" s="5">
        <v>1363</v>
      </c>
      <c r="B1424" s="138">
        <f>'Expenditures 15-22'!D257</f>
        <v>32450</v>
      </c>
      <c r="C1424" s="2" t="s">
        <v>593</v>
      </c>
      <c r="D1424" s="2" t="str">
        <f t="shared" si="21"/>
        <v>Error?</v>
      </c>
    </row>
    <row r="1425" spans="1:4" x14ac:dyDescent="0.2">
      <c r="A1425" s="5">
        <v>1364</v>
      </c>
      <c r="B1425" s="138">
        <f>'Expenditures 15-22'!D259</f>
        <v>15255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15255</v>
      </c>
      <c r="C1427" s="2" t="s">
        <v>593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27914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145509</v>
      </c>
      <c r="D1431" s="2" t="str">
        <f t="shared" si="21"/>
        <v>Error?</v>
      </c>
    </row>
    <row r="1432" spans="1:4" x14ac:dyDescent="0.2">
      <c r="A1432" s="5">
        <v>1371</v>
      </c>
      <c r="B1432" s="138">
        <f>'Expenditures 15-22'!D267</f>
        <v>87</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173510</v>
      </c>
      <c r="C1436" s="2" t="s">
        <v>593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26875</v>
      </c>
      <c r="D1442" s="2" t="str">
        <f t="shared" si="21"/>
        <v>Error?</v>
      </c>
    </row>
    <row r="1443" spans="1:4" x14ac:dyDescent="0.2">
      <c r="A1443" s="10">
        <v>1382</v>
      </c>
      <c r="D1443" s="2" t="str">
        <f t="shared" si="21"/>
        <v>OK</v>
      </c>
    </row>
    <row r="1444" spans="1:4" x14ac:dyDescent="0.2">
      <c r="A1444" s="5">
        <v>1383</v>
      </c>
      <c r="B1444" s="138">
        <f>'Expenditures 15-22'!D277</f>
        <v>26875</v>
      </c>
      <c r="C1444" s="2" t="s">
        <v>593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300089</v>
      </c>
      <c r="C1446" s="2" t="s">
        <v>593</v>
      </c>
      <c r="D1446" s="2" t="str">
        <f t="shared" si="21"/>
        <v>Error?</v>
      </c>
    </row>
    <row r="1447" spans="1:4" x14ac:dyDescent="0.2">
      <c r="A1447" s="5">
        <v>1386</v>
      </c>
      <c r="B1447" s="138">
        <f>'Expenditures 15-22'!D280</f>
        <v>152</v>
      </c>
      <c r="D1447" s="2" t="str">
        <f t="shared" si="21"/>
        <v>Error?</v>
      </c>
    </row>
    <row r="1448" spans="1:4" x14ac:dyDescent="0.2">
      <c r="A1448" s="5">
        <v>1387</v>
      </c>
      <c r="B1448" s="138">
        <f>'Expenditures 15-22'!D295</f>
        <v>441148</v>
      </c>
      <c r="C1448" s="2" t="s">
        <v>593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593</v>
      </c>
      <c r="D1452" s="2" t="str">
        <f t="shared" si="21"/>
        <v>Error?</v>
      </c>
    </row>
    <row r="1453" spans="1:4" x14ac:dyDescent="0.2">
      <c r="A1453" s="10">
        <v>1392</v>
      </c>
      <c r="D1453" s="2" t="str">
        <f t="shared" si="21"/>
        <v>OK</v>
      </c>
    </row>
    <row r="1454" spans="1:4" x14ac:dyDescent="0.2">
      <c r="A1454" s="5">
        <v>1393</v>
      </c>
      <c r="B1454" s="138">
        <f>'Expenditures 15-22'!H295</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28</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70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593</v>
      </c>
      <c r="D1470" s="2" t="str">
        <f t="shared" si="21"/>
        <v>Error?</v>
      </c>
    </row>
    <row r="1471" spans="1:4" x14ac:dyDescent="0.2">
      <c r="A1471" s="5">
        <v>1410</v>
      </c>
      <c r="B1471" s="138">
        <f>'Expenditures 15-22'!K222</f>
        <v>8648</v>
      </c>
      <c r="C1471" s="2" t="s">
        <v>593</v>
      </c>
      <c r="D1471" s="2" t="str">
        <f t="shared" ref="D1471:D1534" si="22">IF(ISBLANK(B1471),"OK",IF(A1471-B1471=0,"OK","Error?"))</f>
        <v>Error?</v>
      </c>
    </row>
    <row r="1472" spans="1:4" x14ac:dyDescent="0.2">
      <c r="A1472" s="5">
        <v>1411</v>
      </c>
      <c r="B1472" s="138">
        <f>'Expenditures 15-22'!K223</f>
        <v>16700</v>
      </c>
      <c r="C1472" s="2" t="s">
        <v>593</v>
      </c>
      <c r="D1472" s="2" t="str">
        <f t="shared" si="22"/>
        <v>Error?</v>
      </c>
    </row>
    <row r="1473" spans="1:4" x14ac:dyDescent="0.2">
      <c r="A1473" s="5">
        <v>1412</v>
      </c>
      <c r="B1473" s="138">
        <f>'Expenditures 15-22'!K224</f>
        <v>12</v>
      </c>
      <c r="C1473" s="2" t="s">
        <v>593</v>
      </c>
      <c r="D1473" s="2" t="str">
        <f t="shared" si="22"/>
        <v>Error?</v>
      </c>
    </row>
    <row r="1474" spans="1:4" x14ac:dyDescent="0.2">
      <c r="A1474" s="5">
        <v>1413</v>
      </c>
      <c r="B1474" s="138">
        <f>'Expenditures 15-22'!K229</f>
        <v>140907</v>
      </c>
      <c r="C1474" s="2" t="s">
        <v>593</v>
      </c>
      <c r="D1474" s="2" t="str">
        <f t="shared" si="22"/>
        <v>Error?</v>
      </c>
    </row>
    <row r="1475" spans="1:4" x14ac:dyDescent="0.2">
      <c r="A1475" s="5">
        <v>1414</v>
      </c>
      <c r="B1475" s="138">
        <f>'Expenditures 15-22'!K232</f>
        <v>24274</v>
      </c>
      <c r="C1475" s="2" t="s">
        <v>593</v>
      </c>
      <c r="D1475" s="2" t="str">
        <f t="shared" si="22"/>
        <v>Error?</v>
      </c>
    </row>
    <row r="1476" spans="1:4" x14ac:dyDescent="0.2">
      <c r="A1476" s="5">
        <v>1415</v>
      </c>
      <c r="B1476" s="138">
        <f>'Expenditures 15-22'!K233</f>
        <v>11796</v>
      </c>
      <c r="C1476" s="2" t="s">
        <v>593</v>
      </c>
      <c r="D1476" s="2" t="str">
        <f t="shared" si="22"/>
        <v>Error?</v>
      </c>
    </row>
    <row r="1477" spans="1:4" x14ac:dyDescent="0.2">
      <c r="A1477" s="5">
        <v>1416</v>
      </c>
      <c r="B1477" s="138">
        <f>'Expenditures 15-22'!K234</f>
        <v>633</v>
      </c>
      <c r="C1477" s="2" t="s">
        <v>593</v>
      </c>
      <c r="D1477" s="2" t="str">
        <f t="shared" si="22"/>
        <v>Error?</v>
      </c>
    </row>
    <row r="1478" spans="1:4" x14ac:dyDescent="0.2">
      <c r="A1478" s="5">
        <v>1417</v>
      </c>
      <c r="B1478" s="138">
        <f>'Expenditures 15-22'!K235</f>
        <v>5760</v>
      </c>
      <c r="C1478" s="2" t="s">
        <v>593</v>
      </c>
      <c r="D1478" s="2" t="str">
        <f t="shared" si="22"/>
        <v>Error?</v>
      </c>
    </row>
    <row r="1479" spans="1:4" x14ac:dyDescent="0.2">
      <c r="A1479" s="5">
        <v>1418</v>
      </c>
      <c r="B1479" s="138">
        <f>'Expenditures 15-22'!K236</f>
        <v>651</v>
      </c>
      <c r="C1479" s="2" t="s">
        <v>593</v>
      </c>
      <c r="D1479" s="2" t="str">
        <f t="shared" si="22"/>
        <v>Error?</v>
      </c>
    </row>
    <row r="1480" spans="1:4" x14ac:dyDescent="0.2">
      <c r="A1480" s="5">
        <v>1419</v>
      </c>
      <c r="B1480" s="138">
        <f>'Expenditures 15-22'!K237</f>
        <v>7298</v>
      </c>
      <c r="C1480" s="2" t="s">
        <v>593</v>
      </c>
      <c r="D1480" s="2" t="str">
        <f t="shared" si="22"/>
        <v>Error?</v>
      </c>
    </row>
    <row r="1481" spans="1:4" x14ac:dyDescent="0.2">
      <c r="A1481" s="5">
        <v>1420</v>
      </c>
      <c r="B1481" s="138">
        <f>'Expenditures 15-22'!K238</f>
        <v>50412</v>
      </c>
      <c r="C1481" s="2" t="s">
        <v>593</v>
      </c>
      <c r="D1481" s="2" t="str">
        <f t="shared" si="22"/>
        <v>Error?</v>
      </c>
    </row>
    <row r="1482" spans="1:4" x14ac:dyDescent="0.2">
      <c r="A1482" s="5">
        <v>1421</v>
      </c>
      <c r="B1482" s="138">
        <f>'Expenditures 15-22'!K240</f>
        <v>1012</v>
      </c>
      <c r="C1482" s="2" t="s">
        <v>593</v>
      </c>
      <c r="D1482" s="2" t="str">
        <f t="shared" si="22"/>
        <v>Error?</v>
      </c>
    </row>
    <row r="1483" spans="1:4" x14ac:dyDescent="0.2">
      <c r="A1483" s="5">
        <v>1422</v>
      </c>
      <c r="B1483" s="138">
        <f>'Expenditures 15-22'!K241</f>
        <v>575</v>
      </c>
      <c r="C1483" s="2" t="s">
        <v>593</v>
      </c>
      <c r="D1483" s="2" t="str">
        <f t="shared" si="22"/>
        <v>Error?</v>
      </c>
    </row>
    <row r="1484" spans="1:4" x14ac:dyDescent="0.2">
      <c r="A1484" s="5">
        <v>1423</v>
      </c>
      <c r="B1484" s="138">
        <f>'Expenditures 15-22'!K242</f>
        <v>0</v>
      </c>
      <c r="C1484" s="2" t="s">
        <v>593</v>
      </c>
      <c r="D1484" s="2" t="str">
        <f t="shared" si="22"/>
        <v>Error?</v>
      </c>
    </row>
    <row r="1485" spans="1:4" x14ac:dyDescent="0.2">
      <c r="A1485" s="5">
        <v>1424</v>
      </c>
      <c r="B1485" s="138">
        <f>'Expenditures 15-22'!K243</f>
        <v>1587</v>
      </c>
      <c r="C1485" s="2" t="s">
        <v>593</v>
      </c>
      <c r="D1485" s="2" t="str">
        <f t="shared" si="22"/>
        <v>Error?</v>
      </c>
    </row>
    <row r="1486" spans="1:4" x14ac:dyDescent="0.2">
      <c r="A1486" s="5">
        <v>1425</v>
      </c>
      <c r="B1486" s="138">
        <f>'Expenditures 15-22'!K245</f>
        <v>0</v>
      </c>
      <c r="C1486" s="2" t="s">
        <v>593</v>
      </c>
      <c r="D1486" s="2" t="str">
        <f t="shared" si="22"/>
        <v>Error?</v>
      </c>
    </row>
    <row r="1487" spans="1:4" x14ac:dyDescent="0.2">
      <c r="A1487" s="5">
        <v>1426</v>
      </c>
      <c r="B1487" s="138">
        <f>'Expenditures 15-22'!K246</f>
        <v>10467</v>
      </c>
      <c r="C1487" s="2" t="s">
        <v>593</v>
      </c>
      <c r="D1487" s="2" t="str">
        <f t="shared" si="22"/>
        <v>Error?</v>
      </c>
    </row>
    <row r="1488" spans="1:4" x14ac:dyDescent="0.2">
      <c r="A1488" s="5">
        <v>1427</v>
      </c>
      <c r="B1488" s="138">
        <f>'Expenditures 15-22'!K257</f>
        <v>32450</v>
      </c>
      <c r="C1488" s="2" t="s">
        <v>593</v>
      </c>
      <c r="D1488" s="2" t="str">
        <f t="shared" si="22"/>
        <v>Error?</v>
      </c>
    </row>
    <row r="1489" spans="1:4" x14ac:dyDescent="0.2">
      <c r="A1489" s="5">
        <v>1428</v>
      </c>
      <c r="B1489" s="138">
        <f>'Expenditures 15-22'!K259</f>
        <v>15255</v>
      </c>
      <c r="C1489" s="2" t="s">
        <v>593</v>
      </c>
      <c r="D1489" s="2" t="str">
        <f t="shared" si="22"/>
        <v>Error?</v>
      </c>
    </row>
    <row r="1490" spans="1:4" x14ac:dyDescent="0.2">
      <c r="A1490" s="5">
        <v>1429</v>
      </c>
      <c r="B1490" s="138">
        <f>'Expenditures 15-22'!K260</f>
        <v>0</v>
      </c>
      <c r="C1490" s="2" t="s">
        <v>593</v>
      </c>
      <c r="D1490" s="2" t="str">
        <f t="shared" si="22"/>
        <v>Error?</v>
      </c>
    </row>
    <row r="1491" spans="1:4" x14ac:dyDescent="0.2">
      <c r="A1491" s="5">
        <v>1430</v>
      </c>
      <c r="B1491" s="138">
        <f>'Expenditures 15-22'!K261</f>
        <v>15255</v>
      </c>
      <c r="C1491" s="2" t="s">
        <v>593</v>
      </c>
      <c r="D1491" s="2" t="str">
        <f t="shared" si="22"/>
        <v>Error?</v>
      </c>
    </row>
    <row r="1492" spans="1:4" x14ac:dyDescent="0.2">
      <c r="A1492" s="5">
        <v>1431</v>
      </c>
      <c r="B1492" s="138">
        <f>'Expenditures 15-22'!K263</f>
        <v>0</v>
      </c>
      <c r="C1492" s="2" t="s">
        <v>593</v>
      </c>
      <c r="D1492" s="2" t="str">
        <f t="shared" si="22"/>
        <v>Error?</v>
      </c>
    </row>
    <row r="1493" spans="1:4" x14ac:dyDescent="0.2">
      <c r="A1493" s="5">
        <v>1432</v>
      </c>
      <c r="B1493" s="138">
        <f>'Expenditures 15-22'!K264</f>
        <v>27914</v>
      </c>
      <c r="C1493" s="2" t="s">
        <v>593</v>
      </c>
      <c r="D1493" s="2" t="str">
        <f t="shared" si="22"/>
        <v>Error?</v>
      </c>
    </row>
    <row r="1494" spans="1:4" x14ac:dyDescent="0.2">
      <c r="A1494" s="5">
        <v>1433</v>
      </c>
      <c r="B1494" s="138">
        <f>'Expenditures 15-22'!K265</f>
        <v>0</v>
      </c>
      <c r="C1494" s="2" t="s">
        <v>593</v>
      </c>
      <c r="D1494" s="2" t="str">
        <f t="shared" si="22"/>
        <v>Error?</v>
      </c>
    </row>
    <row r="1495" spans="1:4" x14ac:dyDescent="0.2">
      <c r="A1495" s="5">
        <v>1434</v>
      </c>
      <c r="B1495" s="138">
        <f>'Expenditures 15-22'!K266</f>
        <v>145509</v>
      </c>
      <c r="C1495" s="2" t="s">
        <v>593</v>
      </c>
      <c r="D1495" s="2" t="str">
        <f t="shared" si="22"/>
        <v>Error?</v>
      </c>
    </row>
    <row r="1496" spans="1:4" x14ac:dyDescent="0.2">
      <c r="A1496" s="5">
        <v>1435</v>
      </c>
      <c r="B1496" s="138">
        <f>'Expenditures 15-22'!K267</f>
        <v>87</v>
      </c>
      <c r="C1496" s="2" t="s">
        <v>593</v>
      </c>
      <c r="D1496" s="2" t="str">
        <f t="shared" si="22"/>
        <v>Error?</v>
      </c>
    </row>
    <row r="1497" spans="1:4" x14ac:dyDescent="0.2">
      <c r="A1497" s="5">
        <v>1436</v>
      </c>
      <c r="B1497" s="138">
        <f>'Expenditures 15-22'!K268</f>
        <v>0</v>
      </c>
      <c r="C1497" s="2" t="s">
        <v>593</v>
      </c>
      <c r="D1497" s="2" t="str">
        <f t="shared" si="22"/>
        <v>Error?</v>
      </c>
    </row>
    <row r="1498" spans="1:4" x14ac:dyDescent="0.2">
      <c r="A1498" s="5">
        <v>1437</v>
      </c>
      <c r="B1498" s="138">
        <f>'Expenditures 15-22'!K269</f>
        <v>0</v>
      </c>
      <c r="C1498" s="2" t="s">
        <v>593</v>
      </c>
      <c r="D1498" s="2" t="str">
        <f t="shared" si="22"/>
        <v>Error?</v>
      </c>
    </row>
    <row r="1499" spans="1:4" x14ac:dyDescent="0.2">
      <c r="A1499" s="10">
        <v>1438</v>
      </c>
      <c r="D1499" s="2" t="str">
        <f t="shared" si="22"/>
        <v>OK</v>
      </c>
    </row>
    <row r="1500" spans="1:4" x14ac:dyDescent="0.2">
      <c r="A1500" s="5">
        <v>1439</v>
      </c>
      <c r="B1500" s="138">
        <f>'Expenditures 15-22'!K270</f>
        <v>173510</v>
      </c>
      <c r="C1500" s="2" t="s">
        <v>593</v>
      </c>
      <c r="D1500" s="2" t="str">
        <f t="shared" si="22"/>
        <v>Error?</v>
      </c>
    </row>
    <row r="1501" spans="1:4" x14ac:dyDescent="0.2">
      <c r="A1501" s="5">
        <v>1440</v>
      </c>
      <c r="B1501" s="138">
        <f>'Expenditures 15-22'!K272</f>
        <v>0</v>
      </c>
      <c r="C1501" s="2" t="s">
        <v>593</v>
      </c>
      <c r="D1501" s="2" t="str">
        <f t="shared" si="22"/>
        <v>Error?</v>
      </c>
    </row>
    <row r="1502" spans="1:4" x14ac:dyDescent="0.2">
      <c r="A1502" s="5">
        <v>1441</v>
      </c>
      <c r="B1502" s="138">
        <f>'Expenditures 15-22'!K273</f>
        <v>0</v>
      </c>
      <c r="C1502" s="2" t="s">
        <v>593</v>
      </c>
      <c r="D1502" s="2" t="str">
        <f t="shared" si="22"/>
        <v>Error?</v>
      </c>
    </row>
    <row r="1503" spans="1:4" x14ac:dyDescent="0.2">
      <c r="A1503" s="5">
        <v>1442</v>
      </c>
      <c r="B1503" s="138">
        <f>'Expenditures 15-22'!K274</f>
        <v>0</v>
      </c>
      <c r="C1503" s="2" t="s">
        <v>593</v>
      </c>
      <c r="D1503" s="2" t="str">
        <f t="shared" si="22"/>
        <v>Error?</v>
      </c>
    </row>
    <row r="1504" spans="1:4" x14ac:dyDescent="0.2">
      <c r="A1504" s="5">
        <v>1443</v>
      </c>
      <c r="B1504" s="138">
        <f>'Expenditures 15-22'!K275</f>
        <v>0</v>
      </c>
      <c r="C1504" s="2" t="s">
        <v>593</v>
      </c>
      <c r="D1504" s="2" t="str">
        <f t="shared" si="22"/>
        <v>Error?</v>
      </c>
    </row>
    <row r="1505" spans="1:4" x14ac:dyDescent="0.2">
      <c r="A1505" s="10">
        <v>1444</v>
      </c>
      <c r="D1505" s="2" t="str">
        <f t="shared" si="22"/>
        <v>OK</v>
      </c>
    </row>
    <row r="1506" spans="1:4" x14ac:dyDescent="0.2">
      <c r="A1506" s="5">
        <v>1445</v>
      </c>
      <c r="B1506" s="138">
        <f>'Expenditures 15-22'!K276</f>
        <v>26875</v>
      </c>
      <c r="C1506" s="2" t="s">
        <v>593</v>
      </c>
      <c r="D1506" s="2" t="str">
        <f t="shared" si="22"/>
        <v>Error?</v>
      </c>
    </row>
    <row r="1507" spans="1:4" x14ac:dyDescent="0.2">
      <c r="A1507" s="10">
        <v>1446</v>
      </c>
      <c r="D1507" s="2" t="str">
        <f t="shared" si="22"/>
        <v>OK</v>
      </c>
    </row>
    <row r="1508" spans="1:4" x14ac:dyDescent="0.2">
      <c r="A1508" s="5">
        <v>1447</v>
      </c>
      <c r="B1508" s="138">
        <f>'Expenditures 15-22'!K277</f>
        <v>26875</v>
      </c>
      <c r="C1508" s="2" t="s">
        <v>593</v>
      </c>
      <c r="D1508" s="2" t="str">
        <f t="shared" si="22"/>
        <v>Error?</v>
      </c>
    </row>
    <row r="1509" spans="1:4" x14ac:dyDescent="0.2">
      <c r="A1509" s="5">
        <v>1448</v>
      </c>
      <c r="B1509" s="138">
        <f>'Expenditures 15-22'!K278</f>
        <v>0</v>
      </c>
      <c r="C1509" s="2" t="s">
        <v>593</v>
      </c>
      <c r="D1509" s="2" t="str">
        <f t="shared" si="22"/>
        <v>Error?</v>
      </c>
    </row>
    <row r="1510" spans="1:4" x14ac:dyDescent="0.2">
      <c r="A1510" s="5">
        <v>1449</v>
      </c>
      <c r="B1510" s="138">
        <f>'Expenditures 15-22'!K279</f>
        <v>300089</v>
      </c>
      <c r="C1510" s="2" t="s">
        <v>593</v>
      </c>
      <c r="D1510" s="2" t="str">
        <f t="shared" si="22"/>
        <v>Error?</v>
      </c>
    </row>
    <row r="1511" spans="1:4" x14ac:dyDescent="0.2">
      <c r="A1511" s="5">
        <v>1450</v>
      </c>
      <c r="B1511" s="138">
        <f>'Expenditures 15-22'!K280</f>
        <v>152</v>
      </c>
      <c r="C1511" s="2" t="s">
        <v>593</v>
      </c>
      <c r="D1511" s="2" t="str">
        <f t="shared" si="22"/>
        <v>Error?</v>
      </c>
    </row>
    <row r="1512" spans="1:4" x14ac:dyDescent="0.2">
      <c r="A1512" s="5">
        <v>1451</v>
      </c>
      <c r="B1512" s="138">
        <f>'Expenditures 15-22'!K288</f>
        <v>0</v>
      </c>
      <c r="C1512" s="2" t="s">
        <v>593</v>
      </c>
      <c r="D1512" s="2" t="str">
        <f t="shared" si="22"/>
        <v>Error?</v>
      </c>
    </row>
    <row r="1513" spans="1:4" x14ac:dyDescent="0.2">
      <c r="A1513" s="5">
        <v>1452</v>
      </c>
      <c r="B1513" s="138">
        <f>'Expenditures 15-22'!K289</f>
        <v>0</v>
      </c>
      <c r="C1513" s="2" t="s">
        <v>593</v>
      </c>
      <c r="D1513" s="2" t="str">
        <f t="shared" si="22"/>
        <v>Error?</v>
      </c>
    </row>
    <row r="1514" spans="1:4" x14ac:dyDescent="0.2">
      <c r="A1514" s="5">
        <v>1453</v>
      </c>
      <c r="B1514" s="138">
        <f>'Expenditures 15-22'!K292</f>
        <v>0</v>
      </c>
      <c r="C1514" s="2" t="s">
        <v>593</v>
      </c>
      <c r="D1514" s="2" t="str">
        <f t="shared" si="22"/>
        <v>Error?</v>
      </c>
    </row>
    <row r="1515" spans="1:4" x14ac:dyDescent="0.2">
      <c r="A1515" s="5">
        <v>1454</v>
      </c>
      <c r="B1515" s="138">
        <f>'Expenditures 15-22'!K293</f>
        <v>0</v>
      </c>
      <c r="C1515" s="2" t="s">
        <v>593</v>
      </c>
      <c r="D1515" s="2" t="str">
        <f t="shared" si="22"/>
        <v>Error?</v>
      </c>
    </row>
    <row r="1516" spans="1:4" x14ac:dyDescent="0.2">
      <c r="A1516" s="10">
        <v>1455</v>
      </c>
      <c r="D1516" s="2" t="str">
        <f t="shared" si="22"/>
        <v>OK</v>
      </c>
    </row>
    <row r="1517" spans="1:4" x14ac:dyDescent="0.2">
      <c r="A1517" s="5">
        <v>1456</v>
      </c>
      <c r="B1517" s="138">
        <f>'Expenditures 15-22'!K295</f>
        <v>441148</v>
      </c>
      <c r="C1517" s="2" t="s">
        <v>593</v>
      </c>
      <c r="D1517" s="2" t="str">
        <f t="shared" si="22"/>
        <v>Error?</v>
      </c>
    </row>
    <row r="1518" spans="1:4" x14ac:dyDescent="0.2">
      <c r="A1518" s="5">
        <v>1457</v>
      </c>
      <c r="B1518" s="138">
        <f>'Expenditures 15-22'!K296</f>
        <v>172809</v>
      </c>
      <c r="C1518" s="2" t="s">
        <v>593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593</v>
      </c>
      <c r="D1523" s="2" t="str">
        <f t="shared" si="22"/>
        <v>Error?</v>
      </c>
    </row>
    <row r="1524" spans="1:4" x14ac:dyDescent="0.2">
      <c r="A1524" s="5">
        <v>1463</v>
      </c>
      <c r="B1524" s="138">
        <f>'Expenditures 15-22'!C312</f>
        <v>0</v>
      </c>
      <c r="C1524" s="2" t="s">
        <v>593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593</v>
      </c>
      <c r="D1529" s="2" t="str">
        <f t="shared" si="22"/>
        <v>Error?</v>
      </c>
    </row>
    <row r="1530" spans="1:4" x14ac:dyDescent="0.2">
      <c r="A1530" s="5">
        <v>1469</v>
      </c>
      <c r="B1530" s="138">
        <f>'Expenditures 15-22'!D312</f>
        <v>0</v>
      </c>
      <c r="C1530" s="2" t="s">
        <v>593</v>
      </c>
      <c r="D1530" s="2" t="str">
        <f t="shared" si="22"/>
        <v>Error?</v>
      </c>
    </row>
    <row r="1531" spans="1:4" x14ac:dyDescent="0.2">
      <c r="A1531" s="5">
        <v>1470</v>
      </c>
      <c r="B1531" s="138">
        <f>'Expenditures 15-22'!E301</f>
        <v>24118</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24118</v>
      </c>
      <c r="C1535" s="2" t="s">
        <v>593</v>
      </c>
      <c r="D1535" s="2" t="str">
        <f t="shared" ref="D1535:D1598" si="23">IF(ISBLANK(B1535),"OK",IF(A1535-B1535=0,"OK","Error?"))</f>
        <v>Error?</v>
      </c>
    </row>
    <row r="1536" spans="1:4" x14ac:dyDescent="0.2">
      <c r="A1536" s="5">
        <v>1475</v>
      </c>
      <c r="B1536" s="138">
        <f>'Expenditures 15-22'!E312</f>
        <v>24118</v>
      </c>
      <c r="C1536" s="2" t="s">
        <v>593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593</v>
      </c>
      <c r="D1541" s="2" t="str">
        <f t="shared" si="23"/>
        <v>Error?</v>
      </c>
    </row>
    <row r="1542" spans="1:4" x14ac:dyDescent="0.2">
      <c r="A1542" s="5">
        <v>1481</v>
      </c>
      <c r="B1542" s="138">
        <f>'Expenditures 15-22'!F312</f>
        <v>0</v>
      </c>
      <c r="C1542" s="2" t="s">
        <v>593</v>
      </c>
      <c r="D1542" s="2" t="str">
        <f t="shared" si="23"/>
        <v>Error?</v>
      </c>
    </row>
    <row r="1543" spans="1:4" x14ac:dyDescent="0.2">
      <c r="A1543" s="5">
        <v>1482</v>
      </c>
      <c r="B1543" s="138">
        <f>'Expenditures 15-22'!G301</f>
        <v>91454</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91454</v>
      </c>
      <c r="C1547" s="2" t="s">
        <v>593</v>
      </c>
      <c r="D1547" s="2" t="str">
        <f t="shared" si="23"/>
        <v>Error?</v>
      </c>
    </row>
    <row r="1548" spans="1:4" x14ac:dyDescent="0.2">
      <c r="A1548" s="5">
        <v>1487</v>
      </c>
      <c r="B1548" s="138">
        <f>'Expenditures 15-22'!G312</f>
        <v>91454</v>
      </c>
      <c r="C1548" s="2" t="s">
        <v>593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593</v>
      </c>
      <c r="D1553" s="2" t="str">
        <f t="shared" si="23"/>
        <v>Error?</v>
      </c>
    </row>
    <row r="1554" spans="1:4" x14ac:dyDescent="0.2">
      <c r="A1554" s="5">
        <v>1493</v>
      </c>
      <c r="B1554" s="138">
        <f>'Expenditures 15-22'!H312</f>
        <v>0</v>
      </c>
      <c r="C1554" s="2" t="s">
        <v>593</v>
      </c>
      <c r="D1554" s="2" t="str">
        <f t="shared" si="23"/>
        <v>Error?</v>
      </c>
    </row>
    <row r="1555" spans="1:4" x14ac:dyDescent="0.2">
      <c r="A1555" s="5">
        <v>1494</v>
      </c>
      <c r="B1555" s="138">
        <f>'Expenditures 15-22'!K301</f>
        <v>115572</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593</v>
      </c>
      <c r="D1558" s="2" t="str">
        <f t="shared" si="23"/>
        <v>Error?</v>
      </c>
    </row>
    <row r="1559" spans="1:4" x14ac:dyDescent="0.2">
      <c r="A1559" s="5">
        <v>1498</v>
      </c>
      <c r="B1559" s="138">
        <f>'Expenditures 15-22'!K303</f>
        <v>115572</v>
      </c>
      <c r="C1559" s="2" t="s">
        <v>593</v>
      </c>
      <c r="D1559" s="2" t="str">
        <f t="shared" si="23"/>
        <v>Error?</v>
      </c>
    </row>
    <row r="1560" spans="1:4" x14ac:dyDescent="0.2">
      <c r="A1560" s="5">
        <v>1499</v>
      </c>
      <c r="B1560" s="138">
        <f>'Expenditures 15-22'!K312</f>
        <v>115572</v>
      </c>
      <c r="C1560" s="2" t="s">
        <v>593</v>
      </c>
      <c r="D1560" s="2" t="str">
        <f t="shared" si="23"/>
        <v>Error?</v>
      </c>
    </row>
    <row r="1561" spans="1:4" x14ac:dyDescent="0.2">
      <c r="A1561" s="5">
        <v>1500</v>
      </c>
      <c r="B1561" s="138">
        <f>'Expenditures 15-22'!K313</f>
        <v>507472</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8250444</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9154536</v>
      </c>
      <c r="C1630" s="2" t="s">
        <v>593</v>
      </c>
      <c r="D1630" s="2" t="str">
        <f t="shared" si="24"/>
        <v>Error?</v>
      </c>
    </row>
    <row r="1631" spans="1:4" x14ac:dyDescent="0.2">
      <c r="A1631" s="5">
        <v>1570</v>
      </c>
      <c r="B1631" s="138">
        <f>'Acct Summary 7-8'!D79</f>
        <v>306234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574512</v>
      </c>
      <c r="C1644" s="2" t="s">
        <v>593</v>
      </c>
      <c r="D1644" s="2" t="str">
        <f t="shared" si="24"/>
        <v>Error?</v>
      </c>
    </row>
    <row r="1645" spans="1:4" x14ac:dyDescent="0.2">
      <c r="A1645" s="5">
        <v>1584</v>
      </c>
      <c r="B1645" s="138">
        <f>'Acct Summary 7-8'!E79</f>
        <v>-47780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6042</v>
      </c>
      <c r="C1658" s="2" t="s">
        <v>593</v>
      </c>
      <c r="D1658" s="2" t="str">
        <f t="shared" si="24"/>
        <v>Error?</v>
      </c>
    </row>
    <row r="1659" spans="1:4" x14ac:dyDescent="0.2">
      <c r="A1659" s="5">
        <v>1598</v>
      </c>
      <c r="B1659" s="138">
        <f>'Acct Summary 7-8'!F79</f>
        <v>859551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1009552</v>
      </c>
      <c r="C1672" s="2" t="s">
        <v>593</v>
      </c>
      <c r="D1672" s="2" t="str">
        <f t="shared" si="25"/>
        <v>Error?</v>
      </c>
    </row>
    <row r="1673" spans="1:4" x14ac:dyDescent="0.2">
      <c r="A1673" s="5">
        <v>1612</v>
      </c>
      <c r="B1673" s="138">
        <f>'Acct Summary 7-8'!G79</f>
        <v>822600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995409</v>
      </c>
      <c r="C1686" s="2" t="s">
        <v>593</v>
      </c>
      <c r="D1686" s="2" t="str">
        <f t="shared" si="25"/>
        <v>Error?</v>
      </c>
    </row>
    <row r="1687" spans="1:4" x14ac:dyDescent="0.2">
      <c r="A1687" s="5">
        <v>1626</v>
      </c>
      <c r="B1687" s="138">
        <f>'Acct Summary 7-8'!H79</f>
        <v>2872212</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3379684</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7084481</v>
      </c>
      <c r="C1744" s="2" t="s">
        <v>593</v>
      </c>
      <c r="D1744" s="2" t="str">
        <f t="shared" si="26"/>
        <v>Error?</v>
      </c>
    </row>
    <row r="1745" spans="1:5" x14ac:dyDescent="0.2">
      <c r="A1745" s="5">
        <v>1684</v>
      </c>
      <c r="B1745" s="138">
        <f>'Tax Sched 23'!B5</f>
        <v>1394306</v>
      </c>
      <c r="C1745" s="2" t="s">
        <v>593</v>
      </c>
      <c r="D1745" s="2" t="str">
        <f t="shared" si="26"/>
        <v>Error?</v>
      </c>
    </row>
    <row r="1746" spans="1:5" x14ac:dyDescent="0.2">
      <c r="A1746" s="5">
        <v>1685</v>
      </c>
      <c r="B1746" s="138">
        <f>'Tax Sched 23'!B6</f>
        <v>2724253</v>
      </c>
      <c r="C1746" s="2" t="s">
        <v>593</v>
      </c>
      <c r="D1746" s="2" t="str">
        <f t="shared" si="26"/>
        <v>Error?</v>
      </c>
    </row>
    <row r="1747" spans="1:5" x14ac:dyDescent="0.2">
      <c r="A1747" s="5">
        <v>1686</v>
      </c>
      <c r="B1747" s="138">
        <f>'Tax Sched 23'!B7</f>
        <v>669268</v>
      </c>
      <c r="C1747" s="2" t="s">
        <v>593</v>
      </c>
      <c r="D1747" s="2" t="str">
        <f t="shared" si="26"/>
        <v>Error?</v>
      </c>
    </row>
    <row r="1748" spans="1:5" x14ac:dyDescent="0.2">
      <c r="A1748" s="5">
        <v>1687</v>
      </c>
      <c r="B1748" s="138">
        <f>'Tax Sched 23'!B8</f>
        <v>261852</v>
      </c>
      <c r="C1748" s="2" t="s">
        <v>593</v>
      </c>
      <c r="D1748" s="2" t="str">
        <f t="shared" si="26"/>
        <v>Error?</v>
      </c>
    </row>
    <row r="1749" spans="1:5" x14ac:dyDescent="0.2">
      <c r="A1749" s="5">
        <v>1688</v>
      </c>
      <c r="B1749" s="138">
        <f>'Tax Sched 23'!B10</f>
        <v>278859</v>
      </c>
      <c r="C1749" s="2" t="s">
        <v>593</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593</v>
      </c>
      <c r="D1751" s="2" t="str">
        <f t="shared" si="26"/>
        <v>Error?</v>
      </c>
    </row>
    <row r="1752" spans="1:5" x14ac:dyDescent="0.2">
      <c r="A1752" s="5">
        <v>1691</v>
      </c>
      <c r="B1752" s="138">
        <f>'Tax Sched 23'!B11</f>
        <v>624316</v>
      </c>
      <c r="C1752" s="2" t="s">
        <v>593</v>
      </c>
      <c r="D1752" s="2" t="str">
        <f t="shared" si="26"/>
        <v>Error?</v>
      </c>
    </row>
    <row r="1753" spans="1:5" x14ac:dyDescent="0.2">
      <c r="A1753" s="5">
        <v>1692</v>
      </c>
      <c r="B1753" s="138">
        <f>'Tax Sched 23'!B12</f>
        <v>278859</v>
      </c>
      <c r="C1753" s="2" t="s">
        <v>593</v>
      </c>
      <c r="D1753" s="2" t="str">
        <f t="shared" si="26"/>
        <v>Error?</v>
      </c>
    </row>
    <row r="1754" spans="1:5" x14ac:dyDescent="0.2">
      <c r="A1754" s="5">
        <v>1693</v>
      </c>
      <c r="B1754" s="138">
        <f>'Tax Sched 23'!B14</f>
        <v>111544</v>
      </c>
      <c r="C1754" s="2" t="s">
        <v>593</v>
      </c>
      <c r="D1754" s="2" t="str">
        <f t="shared" si="26"/>
        <v>Error?</v>
      </c>
    </row>
    <row r="1755" spans="1:5" x14ac:dyDescent="0.2">
      <c r="A1755" s="10">
        <v>1694</v>
      </c>
      <c r="D1755" s="2" t="str">
        <f t="shared" si="26"/>
        <v>OK</v>
      </c>
    </row>
    <row r="1756" spans="1:5" x14ac:dyDescent="0.2">
      <c r="A1756" s="5">
        <v>1695</v>
      </c>
      <c r="B1756" s="138">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8">
        <f>'Tax Sched 23'!B19</f>
        <v>13968449</v>
      </c>
      <c r="C1759" s="2" t="s">
        <v>593</v>
      </c>
      <c r="D1759" s="2" t="str">
        <f t="shared" si="26"/>
        <v>Error?</v>
      </c>
    </row>
    <row r="1760" spans="1:5" x14ac:dyDescent="0.2">
      <c r="A1760" s="5">
        <v>1699</v>
      </c>
      <c r="B1760" s="138">
        <f>'Tax Sched 23'!D4</f>
        <v>7084481</v>
      </c>
      <c r="C1760" s="2" t="s">
        <v>593</v>
      </c>
      <c r="D1760" s="2" t="str">
        <f t="shared" si="26"/>
        <v>Error?</v>
      </c>
    </row>
    <row r="1761" spans="1:5" x14ac:dyDescent="0.2">
      <c r="A1761" s="5">
        <v>1700</v>
      </c>
      <c r="B1761" s="138">
        <f>'Tax Sched 23'!D5</f>
        <v>1394306</v>
      </c>
      <c r="C1761" s="2" t="s">
        <v>593</v>
      </c>
      <c r="D1761" s="2" t="str">
        <f t="shared" si="26"/>
        <v>Error?</v>
      </c>
    </row>
    <row r="1762" spans="1:5" s="8" customFormat="1" x14ac:dyDescent="0.2">
      <c r="A1762" s="5">
        <v>1701</v>
      </c>
      <c r="B1762" s="138">
        <f>'Tax Sched 23'!D6</f>
        <v>2724253</v>
      </c>
      <c r="C1762" s="2" t="s">
        <v>593</v>
      </c>
      <c r="D1762" s="2" t="str">
        <f t="shared" si="26"/>
        <v>Error?</v>
      </c>
      <c r="E1762" s="9"/>
    </row>
    <row r="1763" spans="1:5" x14ac:dyDescent="0.2">
      <c r="A1763" s="5">
        <v>1702</v>
      </c>
      <c r="B1763" s="138">
        <f>'Tax Sched 23'!D7</f>
        <v>669268</v>
      </c>
      <c r="C1763" s="2" t="s">
        <v>593</v>
      </c>
      <c r="D1763" s="2" t="str">
        <f t="shared" si="26"/>
        <v>Error?</v>
      </c>
    </row>
    <row r="1764" spans="1:5" x14ac:dyDescent="0.2">
      <c r="A1764" s="5">
        <v>1703</v>
      </c>
      <c r="B1764" s="138">
        <f>'Tax Sched 23'!D8</f>
        <v>261852</v>
      </c>
      <c r="C1764" s="2" t="s">
        <v>593</v>
      </c>
      <c r="D1764" s="2" t="str">
        <f t="shared" si="26"/>
        <v>Error?</v>
      </c>
    </row>
    <row r="1765" spans="1:5" x14ac:dyDescent="0.2">
      <c r="A1765" s="5">
        <v>1704</v>
      </c>
      <c r="B1765" s="138">
        <f>'Tax Sched 23'!D10</f>
        <v>278859</v>
      </c>
      <c r="C1765" s="2" t="s">
        <v>593</v>
      </c>
      <c r="D1765" s="2" t="str">
        <f t="shared" si="26"/>
        <v>Error?</v>
      </c>
    </row>
    <row r="1766" spans="1:5" x14ac:dyDescent="0.2">
      <c r="A1766" s="10">
        <v>1705</v>
      </c>
      <c r="C1766" s="2" t="s">
        <v>593</v>
      </c>
      <c r="D1766" s="2" t="str">
        <f t="shared" si="26"/>
        <v>OK</v>
      </c>
    </row>
    <row r="1767" spans="1:5" x14ac:dyDescent="0.2">
      <c r="A1767" s="5">
        <v>1706</v>
      </c>
      <c r="B1767" s="138">
        <f>'Tax Sched 23'!D9</f>
        <v>0</v>
      </c>
      <c r="C1767" s="2" t="s">
        <v>593</v>
      </c>
      <c r="D1767" s="2" t="str">
        <f t="shared" si="26"/>
        <v>Error?</v>
      </c>
    </row>
    <row r="1768" spans="1:5" x14ac:dyDescent="0.2">
      <c r="A1768" s="5">
        <v>1707</v>
      </c>
      <c r="B1768" s="138">
        <f>'Tax Sched 23'!D11</f>
        <v>624316</v>
      </c>
      <c r="C1768" s="2" t="s">
        <v>593</v>
      </c>
      <c r="D1768" s="2" t="str">
        <f t="shared" si="26"/>
        <v>Error?</v>
      </c>
    </row>
    <row r="1769" spans="1:5" x14ac:dyDescent="0.2">
      <c r="A1769" s="5">
        <v>1708</v>
      </c>
      <c r="B1769" s="138">
        <f>'Tax Sched 23'!D12</f>
        <v>278859</v>
      </c>
      <c r="C1769" s="2" t="s">
        <v>593</v>
      </c>
      <c r="D1769" s="2" t="str">
        <f t="shared" si="26"/>
        <v>Error?</v>
      </c>
    </row>
    <row r="1770" spans="1:5" x14ac:dyDescent="0.2">
      <c r="A1770" s="5">
        <v>1709</v>
      </c>
      <c r="B1770" s="138">
        <f>'Tax Sched 23'!D14</f>
        <v>111544</v>
      </c>
      <c r="C1770" s="2" t="s">
        <v>593</v>
      </c>
      <c r="D1770" s="2" t="str">
        <f t="shared" si="26"/>
        <v>Error?</v>
      </c>
    </row>
    <row r="1771" spans="1:5" x14ac:dyDescent="0.2">
      <c r="A1771" s="10">
        <v>1710</v>
      </c>
      <c r="D1771" s="2" t="str">
        <f t="shared" si="26"/>
        <v>OK</v>
      </c>
    </row>
    <row r="1772" spans="1:5" x14ac:dyDescent="0.2">
      <c r="A1772" s="5">
        <v>1711</v>
      </c>
      <c r="B1772" s="138">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8">
        <f>'Tax Sched 23'!D19</f>
        <v>13968449</v>
      </c>
      <c r="C1775" s="2" t="s">
        <v>593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593</v>
      </c>
      <c r="D1791" s="2" t="str">
        <f t="shared" ref="D1791:D1854" si="27">IF(ISBLANK(B1791),"OK",IF(A1791-B1791=0,"OK","Error?"))</f>
        <v>Error?</v>
      </c>
    </row>
    <row r="1792" spans="1:4" x14ac:dyDescent="0.2">
      <c r="A1792" s="5">
        <v>1731</v>
      </c>
      <c r="B1792" s="138">
        <f>'Tax Sched 23'!F4</f>
        <v>7284365</v>
      </c>
      <c r="C1792" s="2" t="s">
        <v>593</v>
      </c>
      <c r="D1792" s="2" t="str">
        <f t="shared" si="27"/>
        <v>Error?</v>
      </c>
    </row>
    <row r="1793" spans="1:4" x14ac:dyDescent="0.2">
      <c r="A1793" s="5">
        <v>1732</v>
      </c>
      <c r="B1793" s="138">
        <f>'Tax Sched 23'!F5</f>
        <v>1433930</v>
      </c>
      <c r="C1793" s="2" t="s">
        <v>593</v>
      </c>
      <c r="D1793" s="2" t="str">
        <f t="shared" si="27"/>
        <v>Error?</v>
      </c>
    </row>
    <row r="1794" spans="1:4" x14ac:dyDescent="0.2">
      <c r="A1794" s="5">
        <v>1733</v>
      </c>
      <c r="B1794" s="138">
        <f>'Tax Sched 23'!F6</f>
        <v>2934854</v>
      </c>
      <c r="C1794" s="2" t="s">
        <v>593</v>
      </c>
      <c r="D1794" s="2" t="str">
        <f t="shared" si="27"/>
        <v>Error?</v>
      </c>
    </row>
    <row r="1795" spans="1:4" x14ac:dyDescent="0.2">
      <c r="A1795" s="5">
        <v>1734</v>
      </c>
      <c r="B1795" s="138">
        <f>'Tax Sched 23'!F7</f>
        <v>688286</v>
      </c>
      <c r="C1795" s="2" t="s">
        <v>593</v>
      </c>
      <c r="D1795" s="2" t="str">
        <f t="shared" si="27"/>
        <v>Error?</v>
      </c>
    </row>
    <row r="1796" spans="1:4" x14ac:dyDescent="0.2">
      <c r="A1796" s="5">
        <v>1735</v>
      </c>
      <c r="B1796" s="138">
        <f>'Tax Sched 23'!F8</f>
        <v>249619</v>
      </c>
      <c r="C1796" s="2" t="s">
        <v>593</v>
      </c>
      <c r="D1796" s="2" t="str">
        <f t="shared" si="27"/>
        <v>Error?</v>
      </c>
    </row>
    <row r="1797" spans="1:4" x14ac:dyDescent="0.2">
      <c r="A1797" s="5">
        <v>1736</v>
      </c>
      <c r="B1797" s="138">
        <f>'Tax Sched 23'!F10</f>
        <v>286786</v>
      </c>
      <c r="C1797" s="2" t="s">
        <v>593</v>
      </c>
      <c r="D1797" s="2" t="str">
        <f t="shared" si="27"/>
        <v>Error?</v>
      </c>
    </row>
    <row r="1798" spans="1:4" x14ac:dyDescent="0.2">
      <c r="A1798" s="10">
        <v>1737</v>
      </c>
      <c r="C1798" s="2" t="s">
        <v>593</v>
      </c>
      <c r="D1798" s="2" t="str">
        <f t="shared" si="27"/>
        <v>OK</v>
      </c>
    </row>
    <row r="1799" spans="1:4" x14ac:dyDescent="0.2">
      <c r="A1799" s="5">
        <v>1738</v>
      </c>
      <c r="B1799" s="138">
        <f>'Tax Sched 23'!F9</f>
        <v>0</v>
      </c>
      <c r="C1799" s="2" t="s">
        <v>593</v>
      </c>
      <c r="D1799" s="2" t="str">
        <f t="shared" si="27"/>
        <v>Error?</v>
      </c>
    </row>
    <row r="1800" spans="1:4" x14ac:dyDescent="0.2">
      <c r="A1800" s="5">
        <v>1739</v>
      </c>
      <c r="B1800" s="138">
        <f>'Tax Sched 23'!F11</f>
        <v>688917</v>
      </c>
      <c r="C1800" s="2" t="s">
        <v>593</v>
      </c>
      <c r="D1800" s="2" t="str">
        <f t="shared" si="27"/>
        <v>Error?</v>
      </c>
    </row>
    <row r="1801" spans="1:4" x14ac:dyDescent="0.2">
      <c r="A1801" s="5">
        <v>1740</v>
      </c>
      <c r="B1801" s="138">
        <f>'Tax Sched 23'!F12</f>
        <v>286786</v>
      </c>
      <c r="C1801" s="2" t="s">
        <v>593</v>
      </c>
      <c r="D1801" s="2" t="str">
        <f t="shared" si="27"/>
        <v>Error?</v>
      </c>
    </row>
    <row r="1802" spans="1:4" x14ac:dyDescent="0.2">
      <c r="A1802" s="5">
        <v>1741</v>
      </c>
      <c r="B1802" s="138">
        <f>'Tax Sched 23'!F14</f>
        <v>114714</v>
      </c>
      <c r="C1802" s="2" t="s">
        <v>593</v>
      </c>
      <c r="D1802" s="2" t="str">
        <f t="shared" si="27"/>
        <v>Error?</v>
      </c>
    </row>
    <row r="1803" spans="1:4" x14ac:dyDescent="0.2">
      <c r="A1803" s="10">
        <v>1742</v>
      </c>
      <c r="D1803" s="2" t="str">
        <f t="shared" si="27"/>
        <v>OK</v>
      </c>
    </row>
    <row r="1804" spans="1:4" x14ac:dyDescent="0.2">
      <c r="A1804" s="5">
        <v>1743</v>
      </c>
      <c r="B1804" s="138">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8">
        <f>'Tax Sched 23'!F19</f>
        <v>14504662</v>
      </c>
      <c r="C1807" s="2" t="s">
        <v>593</v>
      </c>
      <c r="D1807" s="2" t="str">
        <f t="shared" si="27"/>
        <v>Error?</v>
      </c>
    </row>
    <row r="1808" spans="1:4" x14ac:dyDescent="0.2">
      <c r="A1808" s="5">
        <v>1747</v>
      </c>
      <c r="B1808" s="138">
        <f>'Tax Sched 23'!E4</f>
        <v>7284365</v>
      </c>
      <c r="D1808" s="2" t="str">
        <f t="shared" si="27"/>
        <v>Error?</v>
      </c>
    </row>
    <row r="1809" spans="1:4" x14ac:dyDescent="0.2">
      <c r="A1809" s="5">
        <v>1748</v>
      </c>
      <c r="B1809" s="138">
        <f>'Tax Sched 23'!E5</f>
        <v>1433930</v>
      </c>
      <c r="D1809" s="2" t="str">
        <f t="shared" si="27"/>
        <v>Error?</v>
      </c>
    </row>
    <row r="1810" spans="1:4" x14ac:dyDescent="0.2">
      <c r="A1810" s="5">
        <v>1749</v>
      </c>
      <c r="B1810" s="138">
        <f>'Tax Sched 23'!E6</f>
        <v>2934854</v>
      </c>
      <c r="D1810" s="2" t="str">
        <f t="shared" si="27"/>
        <v>Error?</v>
      </c>
    </row>
    <row r="1811" spans="1:4" x14ac:dyDescent="0.2">
      <c r="A1811" s="5">
        <v>1750</v>
      </c>
      <c r="B1811" s="138">
        <f>'Tax Sched 23'!E7</f>
        <v>688286</v>
      </c>
      <c r="D1811" s="2" t="str">
        <f t="shared" si="27"/>
        <v>Error?</v>
      </c>
    </row>
    <row r="1812" spans="1:4" x14ac:dyDescent="0.2">
      <c r="A1812" s="5">
        <v>1751</v>
      </c>
      <c r="B1812" s="138">
        <f>'Tax Sched 23'!E8</f>
        <v>249619</v>
      </c>
      <c r="D1812" s="2" t="str">
        <f t="shared" si="27"/>
        <v>Error?</v>
      </c>
    </row>
    <row r="1813" spans="1:4" x14ac:dyDescent="0.2">
      <c r="A1813" s="5">
        <v>1752</v>
      </c>
      <c r="B1813" s="138">
        <f>'Tax Sched 23'!E10</f>
        <v>286786</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688917</v>
      </c>
      <c r="D1816" s="2" t="str">
        <f t="shared" si="27"/>
        <v>Error?</v>
      </c>
    </row>
    <row r="1817" spans="1:4" x14ac:dyDescent="0.2">
      <c r="A1817" s="5">
        <v>1756</v>
      </c>
      <c r="B1817" s="138">
        <f>'Tax Sched 23'!E12</f>
        <v>286786</v>
      </c>
      <c r="D1817" s="2" t="str">
        <f t="shared" si="27"/>
        <v>Error?</v>
      </c>
    </row>
    <row r="1818" spans="1:4" x14ac:dyDescent="0.2">
      <c r="A1818" s="5">
        <v>1757</v>
      </c>
      <c r="B1818" s="138">
        <f>'Tax Sched 23'!E14</f>
        <v>114714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14504662</v>
      </c>
      <c r="C1823" s="2" t="s">
        <v>593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593</v>
      </c>
      <c r="D1867" s="2" t="str">
        <f t="shared" si="28"/>
        <v>Error?</v>
      </c>
    </row>
    <row r="1868" spans="1:4" x14ac:dyDescent="0.2">
      <c r="A1868" s="5">
        <v>1807</v>
      </c>
      <c r="B1868" s="138">
        <f>'Short-Term Long-Term Debt 24'!F7</f>
        <v>0</v>
      </c>
      <c r="C1868" s="2" t="s">
        <v>593</v>
      </c>
      <c r="D1868" s="2" t="str">
        <f t="shared" si="28"/>
        <v>Error?</v>
      </c>
    </row>
    <row r="1869" spans="1:4" x14ac:dyDescent="0.2">
      <c r="A1869" s="5">
        <v>1808</v>
      </c>
      <c r="B1869" s="138">
        <f>'Short-Term Long-Term Debt 24'!F12</f>
        <v>0</v>
      </c>
      <c r="C1869" s="2" t="s">
        <v>593</v>
      </c>
      <c r="D1869" s="2" t="str">
        <f t="shared" si="28"/>
        <v>Error?</v>
      </c>
    </row>
    <row r="1870" spans="1:4" x14ac:dyDescent="0.2">
      <c r="A1870" s="5">
        <v>1809</v>
      </c>
      <c r="B1870" s="138">
        <f>'Short-Term Long-Term Debt 24'!F11</f>
        <v>0</v>
      </c>
      <c r="C1870" s="2" t="s">
        <v>593</v>
      </c>
      <c r="D1870" s="2" t="str">
        <f t="shared" si="28"/>
        <v>Error?</v>
      </c>
    </row>
    <row r="1871" spans="1:4" x14ac:dyDescent="0.2">
      <c r="A1871" s="5">
        <v>1810</v>
      </c>
      <c r="B1871" s="138">
        <f>'Short-Term Long-Term Debt 24'!F8</f>
        <v>0</v>
      </c>
      <c r="C1871" s="2" t="s">
        <v>593</v>
      </c>
      <c r="D1871" s="2" t="str">
        <f t="shared" si="28"/>
        <v>Error?</v>
      </c>
    </row>
    <row r="1872" spans="1:4" x14ac:dyDescent="0.2">
      <c r="A1872" s="5">
        <v>1811</v>
      </c>
      <c r="B1872" s="138">
        <f>'Short-Term Long-Term Debt 24'!F9</f>
        <v>0</v>
      </c>
      <c r="C1872" s="2" t="s">
        <v>593</v>
      </c>
      <c r="D1872" s="2" t="str">
        <f t="shared" si="28"/>
        <v>Error?</v>
      </c>
    </row>
    <row r="1873" spans="1:4" x14ac:dyDescent="0.2">
      <c r="A1873" s="5">
        <v>1812</v>
      </c>
      <c r="B1873" s="138">
        <f>'Short-Term Long-Term Debt 24'!F10</f>
        <v>0</v>
      </c>
      <c r="C1873" s="2" t="s">
        <v>593</v>
      </c>
      <c r="D1873" s="2" t="str">
        <f t="shared" si="28"/>
        <v>Error?</v>
      </c>
    </row>
    <row r="1874" spans="1:4" x14ac:dyDescent="0.2">
      <c r="A1874" s="5">
        <v>1813</v>
      </c>
      <c r="B1874" s="138">
        <f>'Short-Term Long-Term Debt 24'!F14</f>
        <v>0</v>
      </c>
      <c r="C1874" s="2" t="s">
        <v>593</v>
      </c>
      <c r="D1874" s="2" t="str">
        <f t="shared" si="28"/>
        <v>Error?</v>
      </c>
    </row>
    <row r="1875" spans="1:4" x14ac:dyDescent="0.2">
      <c r="A1875" s="5">
        <v>1814</v>
      </c>
      <c r="B1875" s="138">
        <f>'Short-Term Long-Term Debt 24'!F15</f>
        <v>0</v>
      </c>
      <c r="C1875" s="2" t="s">
        <v>593</v>
      </c>
      <c r="D1875" s="2" t="str">
        <f t="shared" si="28"/>
        <v>Error?</v>
      </c>
    </row>
    <row r="1876" spans="1:4" x14ac:dyDescent="0.2">
      <c r="A1876" s="5">
        <v>1815</v>
      </c>
      <c r="B1876" s="138">
        <f>'Short-Term Long-Term Debt 24'!F17</f>
        <v>0</v>
      </c>
      <c r="C1876" s="2" t="s">
        <v>593</v>
      </c>
      <c r="D1876" s="2" t="str">
        <f t="shared" si="28"/>
        <v>Error?</v>
      </c>
    </row>
    <row r="1877" spans="1:4" x14ac:dyDescent="0.2">
      <c r="A1877" s="5">
        <v>1816</v>
      </c>
      <c r="B1877" s="138">
        <f>'Short-Term Long-Term Debt 24'!F18</f>
        <v>0</v>
      </c>
      <c r="C1877" s="2" t="s">
        <v>593</v>
      </c>
      <c r="D1877" s="2" t="str">
        <f t="shared" si="28"/>
        <v>Error?</v>
      </c>
    </row>
    <row r="1878" spans="1:4" x14ac:dyDescent="0.2">
      <c r="A1878" s="5">
        <v>1817</v>
      </c>
      <c r="B1878" s="138">
        <f>'Short-Term Long-Term Debt 24'!F20</f>
        <v>0</v>
      </c>
      <c r="C1878" s="2" t="s">
        <v>593</v>
      </c>
      <c r="D1878" s="2" t="str">
        <f t="shared" si="28"/>
        <v>Error?</v>
      </c>
    </row>
    <row r="1879" spans="1:4" x14ac:dyDescent="0.2">
      <c r="A1879" s="5">
        <v>1818</v>
      </c>
      <c r="B1879" s="138">
        <f>'Short-Term Long-Term Debt 24'!F21</f>
        <v>0</v>
      </c>
      <c r="C1879" s="2" t="s">
        <v>593</v>
      </c>
      <c r="D1879" s="2" t="str">
        <f t="shared" si="28"/>
        <v>Error?</v>
      </c>
    </row>
    <row r="1880" spans="1:4" x14ac:dyDescent="0.2">
      <c r="A1880" s="5">
        <v>1819</v>
      </c>
      <c r="B1880" s="138">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12497894</v>
      </c>
      <c r="C1939" s="2" t="s">
        <v>593</v>
      </c>
      <c r="D1939" s="2" t="str">
        <f t="shared" si="29"/>
        <v>Error?</v>
      </c>
    </row>
    <row r="1940" spans="1:5" x14ac:dyDescent="0.2">
      <c r="A1940" s="5">
        <v>1879</v>
      </c>
      <c r="B1940" s="138">
        <f>'Short-Term Long-Term Debt 24'!F49</f>
        <v>3100000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593</v>
      </c>
      <c r="D1957" s="2" t="str">
        <f t="shared" si="29"/>
        <v>Error?</v>
      </c>
    </row>
    <row r="1958" spans="1:5" x14ac:dyDescent="0.2">
      <c r="A1958" s="5">
        <v>1897</v>
      </c>
      <c r="B1958" s="138">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111544</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111544</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111544</v>
      </c>
      <c r="C1982" s="2" t="s">
        <v>593</v>
      </c>
      <c r="D1982" s="2" t="str">
        <f t="shared" si="29"/>
        <v>Error?</v>
      </c>
    </row>
    <row r="1983" spans="1:5" x14ac:dyDescent="0.2">
      <c r="A1983" s="5">
        <v>1922</v>
      </c>
      <c r="B1983" s="138">
        <f>'Rest Tax Levies-Tort Im 25'!H24</f>
        <v>0</v>
      </c>
      <c r="C1983" s="2" t="s">
        <v>593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593</v>
      </c>
      <c r="D1995" s="2" t="str">
        <f t="shared" si="30"/>
        <v>Error?</v>
      </c>
    </row>
    <row r="1996" spans="1:5" x14ac:dyDescent="0.2">
      <c r="A1996" s="5">
        <v>1935</v>
      </c>
      <c r="B1996" s="138">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1126202</v>
      </c>
      <c r="D2008" s="2" t="str">
        <f t="shared" si="30"/>
        <v>Error?</v>
      </c>
    </row>
    <row r="2009" spans="1:4" x14ac:dyDescent="0.2">
      <c r="A2009" s="5">
        <v>1948</v>
      </c>
      <c r="B2009" s="138">
        <f>'Cap Outlay Deprec 26'!C8</f>
        <v>42227281</v>
      </c>
      <c r="D2009" s="2" t="str">
        <f t="shared" si="30"/>
        <v>Error?</v>
      </c>
    </row>
    <row r="2010" spans="1:4" x14ac:dyDescent="0.2">
      <c r="A2010" s="5">
        <v>1949</v>
      </c>
      <c r="B2010" s="138">
        <f>'Cap Outlay Deprec 26'!C10</f>
        <v>2529471</v>
      </c>
      <c r="D2010" s="2" t="str">
        <f t="shared" si="30"/>
        <v>Error?</v>
      </c>
    </row>
    <row r="2011" spans="1:4" x14ac:dyDescent="0.2">
      <c r="A2011" s="5">
        <v>1950</v>
      </c>
      <c r="B2011" s="138">
        <f>'Cap Outlay Deprec 26'!C12</f>
        <v>2818617</v>
      </c>
      <c r="D2011" s="2" t="str">
        <f t="shared" si="30"/>
        <v>Error?</v>
      </c>
    </row>
    <row r="2012" spans="1:4" x14ac:dyDescent="0.2">
      <c r="A2012" s="5">
        <v>1951</v>
      </c>
      <c r="B2012" s="138">
        <f>'Cap Outlay Deprec 26'!C13</f>
        <v>281329</v>
      </c>
      <c r="D2012" s="2" t="str">
        <f t="shared" si="30"/>
        <v>Error?</v>
      </c>
    </row>
    <row r="2013" spans="1:4" x14ac:dyDescent="0.2">
      <c r="A2013" s="5">
        <v>1952</v>
      </c>
      <c r="B2013" s="138">
        <f>'Cap Outlay Deprec 26'!C16</f>
        <v>48982900</v>
      </c>
      <c r="C2013" s="2" t="s">
        <v>593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96756</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242093</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338849</v>
      </c>
      <c r="C2019" s="2" t="s">
        <v>593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249306</v>
      </c>
      <c r="D2023" s="2" t="str">
        <f t="shared" si="30"/>
        <v>Error?</v>
      </c>
    </row>
    <row r="2024" spans="1:4" x14ac:dyDescent="0.2">
      <c r="A2024" s="5">
        <v>1963</v>
      </c>
      <c r="B2024" s="138">
        <f>'Cap Outlay Deprec 26'!E13</f>
        <v>101549</v>
      </c>
      <c r="D2024" s="2" t="str">
        <f t="shared" si="30"/>
        <v>Error?</v>
      </c>
    </row>
    <row r="2025" spans="1:4" x14ac:dyDescent="0.2">
      <c r="A2025" s="5">
        <v>1964</v>
      </c>
      <c r="B2025" s="138">
        <f>'Cap Outlay Deprec 26'!E16</f>
        <v>350855</v>
      </c>
      <c r="C2025" s="2" t="s">
        <v>593</v>
      </c>
      <c r="D2025" s="2" t="str">
        <f t="shared" si="30"/>
        <v>Error?</v>
      </c>
    </row>
    <row r="2026" spans="1:4" x14ac:dyDescent="0.2">
      <c r="A2026" s="5">
        <v>1965</v>
      </c>
      <c r="B2026" s="138">
        <f>'Cap Outlay Deprec 26'!F5</f>
        <v>1126202</v>
      </c>
      <c r="C2026" s="2" t="s">
        <v>593</v>
      </c>
      <c r="D2026" s="2" t="str">
        <f t="shared" si="30"/>
        <v>Error?</v>
      </c>
    </row>
    <row r="2027" spans="1:4" x14ac:dyDescent="0.2">
      <c r="A2027" s="5">
        <v>1966</v>
      </c>
      <c r="B2027" s="138">
        <f>'Cap Outlay Deprec 26'!F8</f>
        <v>42324037</v>
      </c>
      <c r="C2027" s="2" t="s">
        <v>593</v>
      </c>
      <c r="D2027" s="2" t="str">
        <f t="shared" si="30"/>
        <v>Error?</v>
      </c>
    </row>
    <row r="2028" spans="1:4" x14ac:dyDescent="0.2">
      <c r="A2028" s="5">
        <v>1967</v>
      </c>
      <c r="B2028" s="138">
        <f>'Cap Outlay Deprec 26'!F10</f>
        <v>2529471</v>
      </c>
      <c r="C2028" s="2" t="s">
        <v>593</v>
      </c>
      <c r="D2028" s="2" t="str">
        <f t="shared" si="30"/>
        <v>Error?</v>
      </c>
    </row>
    <row r="2029" spans="1:4" x14ac:dyDescent="0.2">
      <c r="A2029" s="5">
        <v>1968</v>
      </c>
      <c r="B2029" s="138">
        <f>'Cap Outlay Deprec 26'!F12</f>
        <v>2811404</v>
      </c>
      <c r="C2029" s="2" t="s">
        <v>593</v>
      </c>
      <c r="D2029" s="2" t="str">
        <f t="shared" si="30"/>
        <v>Error?</v>
      </c>
    </row>
    <row r="2030" spans="1:4" x14ac:dyDescent="0.2">
      <c r="A2030" s="5">
        <v>1969</v>
      </c>
      <c r="B2030" s="138">
        <f>'Cap Outlay Deprec 26'!F13</f>
        <v>179780</v>
      </c>
      <c r="C2030" s="2" t="s">
        <v>593</v>
      </c>
      <c r="D2030" s="2" t="str">
        <f t="shared" si="30"/>
        <v>Error?</v>
      </c>
    </row>
    <row r="2031" spans="1:4" x14ac:dyDescent="0.2">
      <c r="A2031" s="5">
        <v>1970</v>
      </c>
      <c r="B2031" s="138">
        <f>'Cap Outlay Deprec 26'!F16</f>
        <v>48970894</v>
      </c>
      <c r="C2031" s="2" t="s">
        <v>593</v>
      </c>
      <c r="D2031" s="2" t="str">
        <f t="shared" si="30"/>
        <v>Error?</v>
      </c>
    </row>
    <row r="2032" spans="1:4" x14ac:dyDescent="0.2">
      <c r="A2032" s="10">
        <v>1971</v>
      </c>
      <c r="D2032" s="2" t="str">
        <f t="shared" si="30"/>
        <v>OK</v>
      </c>
    </row>
    <row r="2033" spans="1:4" x14ac:dyDescent="0.2">
      <c r="A2033" s="5">
        <v>1972</v>
      </c>
      <c r="B2033" s="138">
        <f>'Cap Outlay Deprec 26'!H8</f>
        <v>12881595</v>
      </c>
      <c r="D2033" s="2" t="str">
        <f t="shared" si="30"/>
        <v>Error?</v>
      </c>
    </row>
    <row r="2034" spans="1:4" x14ac:dyDescent="0.2">
      <c r="A2034" s="5">
        <v>1973</v>
      </c>
      <c r="B2034" s="138">
        <f>'Cap Outlay Deprec 26'!H10</f>
        <v>2025530</v>
      </c>
      <c r="D2034" s="2" t="str">
        <f t="shared" si="30"/>
        <v>Error?</v>
      </c>
    </row>
    <row r="2035" spans="1:4" x14ac:dyDescent="0.2">
      <c r="A2035" s="5">
        <v>1974</v>
      </c>
      <c r="B2035" s="138">
        <f>'Cap Outlay Deprec 26'!H12</f>
        <v>1649474</v>
      </c>
      <c r="D2035" s="2" t="str">
        <f t="shared" si="30"/>
        <v>Error?</v>
      </c>
    </row>
    <row r="2036" spans="1:4" x14ac:dyDescent="0.2">
      <c r="A2036" s="5">
        <v>1975</v>
      </c>
      <c r="B2036" s="138">
        <f>'Cap Outlay Deprec 26'!H13</f>
        <v>229448</v>
      </c>
      <c r="D2036" s="2" t="str">
        <f t="shared" si="30"/>
        <v>Error?</v>
      </c>
    </row>
    <row r="2037" spans="1:4" x14ac:dyDescent="0.2">
      <c r="A2037" s="5">
        <v>1976</v>
      </c>
      <c r="B2037" s="138">
        <f>'Cap Outlay Deprec 26'!H16</f>
        <v>16786047</v>
      </c>
      <c r="C2037" s="2" t="s">
        <v>593</v>
      </c>
      <c r="D2037" s="2" t="str">
        <f t="shared" si="30"/>
        <v>Error?</v>
      </c>
    </row>
    <row r="2038" spans="1:4" x14ac:dyDescent="0.2">
      <c r="A2038" s="10">
        <v>1977</v>
      </c>
      <c r="D2038" s="2" t="str">
        <f t="shared" si="30"/>
        <v>OK</v>
      </c>
    </row>
    <row r="2039" spans="1:4" x14ac:dyDescent="0.2">
      <c r="A2039" s="5">
        <v>1978</v>
      </c>
      <c r="B2039" s="138">
        <f>'Cap Outlay Deprec 26'!I8</f>
        <v>781521</v>
      </c>
      <c r="D2039" s="2" t="str">
        <f t="shared" si="30"/>
        <v>Error?</v>
      </c>
    </row>
    <row r="2040" spans="1:4" x14ac:dyDescent="0.2">
      <c r="A2040" s="5">
        <v>1979</v>
      </c>
      <c r="B2040" s="138">
        <f>'Cap Outlay Deprec 26'!I10</f>
        <v>77210</v>
      </c>
      <c r="D2040" s="2" t="str">
        <f t="shared" si="30"/>
        <v>Error?</v>
      </c>
    </row>
    <row r="2041" spans="1:4" x14ac:dyDescent="0.2">
      <c r="A2041" s="5">
        <v>1980</v>
      </c>
      <c r="B2041" s="138">
        <f>'Cap Outlay Deprec 26'!I12</f>
        <v>281140</v>
      </c>
      <c r="D2041" s="2" t="str">
        <f t="shared" si="30"/>
        <v>Error?</v>
      </c>
    </row>
    <row r="2042" spans="1:4" x14ac:dyDescent="0.2">
      <c r="A2042" s="5">
        <v>1981</v>
      </c>
      <c r="B2042" s="138">
        <f>'Cap Outlay Deprec 26'!I13</f>
        <v>23646</v>
      </c>
      <c r="D2042" s="2" t="str">
        <f t="shared" si="30"/>
        <v>Error?</v>
      </c>
    </row>
    <row r="2043" spans="1:4" x14ac:dyDescent="0.2">
      <c r="A2043" s="5">
        <v>1982</v>
      </c>
      <c r="B2043" s="138">
        <f>'Cap Outlay Deprec 26'!I16</f>
        <v>1163517</v>
      </c>
      <c r="C2043" s="2" t="s">
        <v>593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249306</v>
      </c>
      <c r="D2047" s="2" t="str">
        <f t="shared" ref="D2047:D2110" si="31">IF(ISBLANK(B2047),"OK",IF(A2047-B2047=0,"OK","Error?"))</f>
        <v>Error?</v>
      </c>
    </row>
    <row r="2048" spans="1:4" x14ac:dyDescent="0.2">
      <c r="A2048" s="5">
        <v>1987</v>
      </c>
      <c r="B2048" s="138">
        <f>'Cap Outlay Deprec 26'!J13</f>
        <v>101549</v>
      </c>
      <c r="D2048" s="2" t="str">
        <f t="shared" si="31"/>
        <v>Error?</v>
      </c>
    </row>
    <row r="2049" spans="1:4" x14ac:dyDescent="0.2">
      <c r="A2049" s="5">
        <v>1988</v>
      </c>
      <c r="B2049" s="138">
        <f>'Cap Outlay Deprec 26'!J16</f>
        <v>350855</v>
      </c>
      <c r="C2049" s="2" t="s">
        <v>593</v>
      </c>
      <c r="D2049" s="2" t="str">
        <f t="shared" si="31"/>
        <v>Error?</v>
      </c>
    </row>
    <row r="2050" spans="1:4" x14ac:dyDescent="0.2">
      <c r="A2050" s="10">
        <v>1989</v>
      </c>
      <c r="D2050" s="2" t="str">
        <f t="shared" si="31"/>
        <v>OK</v>
      </c>
    </row>
    <row r="2051" spans="1:4" x14ac:dyDescent="0.2">
      <c r="A2051" s="5">
        <v>1990</v>
      </c>
      <c r="B2051" s="138">
        <f>'Cap Outlay Deprec 26'!K8</f>
        <v>13663116</v>
      </c>
      <c r="C2051" s="2" t="s">
        <v>593</v>
      </c>
      <c r="D2051" s="2" t="str">
        <f t="shared" si="31"/>
        <v>Error?</v>
      </c>
    </row>
    <row r="2052" spans="1:4" x14ac:dyDescent="0.2">
      <c r="A2052" s="5">
        <v>1991</v>
      </c>
      <c r="B2052" s="138">
        <f>'Cap Outlay Deprec 26'!K10</f>
        <v>2102740</v>
      </c>
      <c r="C2052" s="2" t="s">
        <v>593</v>
      </c>
      <c r="D2052" s="2" t="str">
        <f t="shared" si="31"/>
        <v>Error?</v>
      </c>
    </row>
    <row r="2053" spans="1:4" x14ac:dyDescent="0.2">
      <c r="A2053" s="5">
        <v>1992</v>
      </c>
      <c r="B2053" s="138">
        <f>'Cap Outlay Deprec 26'!K12</f>
        <v>1681308</v>
      </c>
      <c r="C2053" s="2" t="s">
        <v>593</v>
      </c>
      <c r="D2053" s="2" t="str">
        <f t="shared" si="31"/>
        <v>Error?</v>
      </c>
    </row>
    <row r="2054" spans="1:4" x14ac:dyDescent="0.2">
      <c r="A2054" s="5">
        <v>1993</v>
      </c>
      <c r="B2054" s="138">
        <f>'Cap Outlay Deprec 26'!K13</f>
        <v>151545</v>
      </c>
      <c r="C2054" s="2" t="s">
        <v>593</v>
      </c>
      <c r="D2054" s="2" t="str">
        <f t="shared" si="31"/>
        <v>Error?</v>
      </c>
    </row>
    <row r="2055" spans="1:4" x14ac:dyDescent="0.2">
      <c r="A2055" s="5">
        <v>1994</v>
      </c>
      <c r="B2055" s="138">
        <f>'Cap Outlay Deprec 26'!K16</f>
        <v>17598709</v>
      </c>
      <c r="C2055" s="2" t="s">
        <v>593</v>
      </c>
      <c r="D2055" s="2" t="str">
        <f t="shared" si="31"/>
        <v>Error?</v>
      </c>
    </row>
    <row r="2056" spans="1:4" x14ac:dyDescent="0.2">
      <c r="A2056" s="5">
        <v>1995</v>
      </c>
      <c r="B2056" s="138">
        <f>'Cap Outlay Deprec 26'!L5</f>
        <v>1126202</v>
      </c>
      <c r="C2056" s="2" t="s">
        <v>593</v>
      </c>
      <c r="D2056" s="2" t="str">
        <f t="shared" si="31"/>
        <v>Error?</v>
      </c>
    </row>
    <row r="2057" spans="1:4" x14ac:dyDescent="0.2">
      <c r="A2057" s="5">
        <v>1996</v>
      </c>
      <c r="B2057" s="138">
        <f>'Cap Outlay Deprec 26'!L8</f>
        <v>28660921</v>
      </c>
      <c r="C2057" s="2" t="s">
        <v>593</v>
      </c>
      <c r="D2057" s="2" t="str">
        <f t="shared" si="31"/>
        <v>Error?</v>
      </c>
    </row>
    <row r="2058" spans="1:4" x14ac:dyDescent="0.2">
      <c r="A2058" s="5">
        <v>1997</v>
      </c>
      <c r="B2058" s="138">
        <f>'Cap Outlay Deprec 26'!L10</f>
        <v>426731</v>
      </c>
      <c r="C2058" s="2" t="s">
        <v>593</v>
      </c>
      <c r="D2058" s="2" t="str">
        <f t="shared" si="31"/>
        <v>Error?</v>
      </c>
    </row>
    <row r="2059" spans="1:4" x14ac:dyDescent="0.2">
      <c r="A2059" s="5">
        <v>1998</v>
      </c>
      <c r="B2059" s="138">
        <f>'Cap Outlay Deprec 26'!L12</f>
        <v>1130096</v>
      </c>
      <c r="C2059" s="2" t="s">
        <v>593</v>
      </c>
      <c r="D2059" s="2" t="str">
        <f t="shared" si="31"/>
        <v>Error?</v>
      </c>
    </row>
    <row r="2060" spans="1:4" x14ac:dyDescent="0.2">
      <c r="A2060" s="5">
        <v>1999</v>
      </c>
      <c r="B2060" s="138">
        <f>'Cap Outlay Deprec 26'!L13</f>
        <v>28235</v>
      </c>
      <c r="C2060" s="2" t="s">
        <v>593</v>
      </c>
      <c r="D2060" s="2" t="str">
        <f t="shared" si="31"/>
        <v>Error?</v>
      </c>
    </row>
    <row r="2061" spans="1:4" x14ac:dyDescent="0.2">
      <c r="A2061" s="5">
        <v>2000</v>
      </c>
      <c r="B2061" s="138">
        <f>'Cap Outlay Deprec 26'!L16</f>
        <v>31372185</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134766</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160515</v>
      </c>
      <c r="C2088" s="2" t="s">
        <v>593</v>
      </c>
      <c r="D2088" s="2" t="str">
        <f t="shared" si="31"/>
        <v>Error?</v>
      </c>
    </row>
    <row r="2089" spans="1:4" x14ac:dyDescent="0.2">
      <c r="A2089" s="5">
        <v>2028</v>
      </c>
      <c r="B2089" s="138">
        <f>'Expenditures 15-22'!K92</f>
        <v>149679</v>
      </c>
      <c r="C2089" s="2" t="s">
        <v>593</v>
      </c>
      <c r="D2089" s="2" t="str">
        <f t="shared" si="31"/>
        <v>Error?</v>
      </c>
    </row>
    <row r="2090" spans="1:4" x14ac:dyDescent="0.2">
      <c r="A2090" s="10">
        <v>2029</v>
      </c>
      <c r="D2090" s="2" t="str">
        <f t="shared" si="31"/>
        <v>OK</v>
      </c>
    </row>
    <row r="2091" spans="1:4" x14ac:dyDescent="0.2">
      <c r="A2091" s="5">
        <v>2030</v>
      </c>
      <c r="B2091" s="138">
        <f>'Expenditures 15-22'!H137</f>
        <v>0</v>
      </c>
      <c r="C2091" s="2" t="s">
        <v>593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593</v>
      </c>
      <c r="D2093" s="2" t="str">
        <f t="shared" si="31"/>
        <v>Error?</v>
      </c>
    </row>
    <row r="2094" spans="1:4" x14ac:dyDescent="0.2">
      <c r="A2094" s="5">
        <v>2033</v>
      </c>
      <c r="B2094" s="138">
        <f>'Expenditures 15-22'!K138</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8">
        <f>'Expenditures 15-22'!K310</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1500000</v>
      </c>
      <c r="C2105" s="2" t="s">
        <v>593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536380</v>
      </c>
      <c r="D2435" s="2" t="str">
        <f t="shared" si="37"/>
        <v>Error?</v>
      </c>
    </row>
    <row r="2436" spans="1:4" x14ac:dyDescent="0.2">
      <c r="A2436" s="10">
        <v>2375</v>
      </c>
      <c r="D2436" s="2" t="str">
        <f t="shared" si="37"/>
        <v>OK</v>
      </c>
    </row>
    <row r="2437" spans="1:4" x14ac:dyDescent="0.2">
      <c r="A2437" s="5">
        <v>2376</v>
      </c>
      <c r="B2437" s="138">
        <f>'Assets-Liab 5-6'!D38</f>
        <v>17341</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140161</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9463768</v>
      </c>
      <c r="C2551" s="2" t="s">
        <v>593</v>
      </c>
      <c r="D2551" s="2" t="str">
        <f t="shared" si="38"/>
        <v>Error?</v>
      </c>
    </row>
    <row r="2552" spans="1:4" x14ac:dyDescent="0.2">
      <c r="A2552" s="10">
        <v>2491</v>
      </c>
      <c r="D2552" s="2" t="str">
        <f t="shared" si="38"/>
        <v>OK</v>
      </c>
    </row>
    <row r="2553" spans="1:4" x14ac:dyDescent="0.2">
      <c r="A2553" s="5">
        <v>2492</v>
      </c>
      <c r="B2553" s="138">
        <f>'Acct Summary 7-8'!C6</f>
        <v>3136936</v>
      </c>
      <c r="C2553" s="2" t="s">
        <v>593</v>
      </c>
      <c r="D2553" s="2" t="str">
        <f t="shared" si="38"/>
        <v>Error?</v>
      </c>
    </row>
    <row r="2554" spans="1:4" x14ac:dyDescent="0.2">
      <c r="A2554" s="5">
        <v>2493</v>
      </c>
      <c r="B2554" s="138">
        <f>'Acct Summary 7-8'!C7</f>
        <v>651277</v>
      </c>
      <c r="C2554" s="2" t="s">
        <v>593</v>
      </c>
      <c r="D2554" s="2" t="str">
        <f t="shared" si="38"/>
        <v>Error?</v>
      </c>
    </row>
    <row r="2555" spans="1:4" x14ac:dyDescent="0.2">
      <c r="A2555" s="5">
        <v>2494</v>
      </c>
      <c r="B2555" s="138">
        <f>'Acct Summary 7-8'!C8</f>
        <v>13251981</v>
      </c>
      <c r="C2555" s="2" t="s">
        <v>593</v>
      </c>
      <c r="D2555" s="2" t="str">
        <f t="shared" si="38"/>
        <v>Error?</v>
      </c>
    </row>
    <row r="2556" spans="1:4" x14ac:dyDescent="0.2">
      <c r="A2556" s="5">
        <v>2495</v>
      </c>
      <c r="B2556" s="138">
        <f>'Acct Summary 7-8'!C12</f>
        <v>9601744</v>
      </c>
      <c r="C2556" s="2" t="s">
        <v>593</v>
      </c>
      <c r="D2556" s="2" t="str">
        <f t="shared" si="38"/>
        <v>Error?</v>
      </c>
    </row>
    <row r="2557" spans="1:4" x14ac:dyDescent="0.2">
      <c r="A2557" s="5">
        <v>2496</v>
      </c>
      <c r="B2557" s="138">
        <f>'Acct Summary 7-8'!C13</f>
        <v>3641755</v>
      </c>
      <c r="C2557" s="2" t="s">
        <v>593</v>
      </c>
      <c r="D2557" s="2" t="str">
        <f t="shared" si="38"/>
        <v>Error?</v>
      </c>
    </row>
    <row r="2558" spans="1:4" x14ac:dyDescent="0.2">
      <c r="A2558" s="5">
        <v>2497</v>
      </c>
      <c r="B2558" s="138">
        <f>'Acct Summary 7-8'!C14</f>
        <v>16659</v>
      </c>
      <c r="C2558" s="2" t="s">
        <v>593</v>
      </c>
      <c r="D2558" s="2" t="str">
        <f t="shared" si="38"/>
        <v>Error?</v>
      </c>
    </row>
    <row r="2559" spans="1:4" x14ac:dyDescent="0.2">
      <c r="A2559" s="5">
        <v>2498</v>
      </c>
      <c r="B2559" s="138">
        <f>'Acct Summary 7-8'!C15</f>
        <v>582072</v>
      </c>
      <c r="C2559" s="2" t="s">
        <v>593</v>
      </c>
      <c r="D2559" s="2" t="str">
        <f t="shared" ref="D2559:D2622" si="39">IF(ISBLANK(B2559),"OK",IF(A2559-B2559=0,"OK","Error?"))</f>
        <v>Error?</v>
      </c>
    </row>
    <row r="2560" spans="1:4" x14ac:dyDescent="0.2">
      <c r="A2560" s="5">
        <v>2499</v>
      </c>
      <c r="B2560" s="138">
        <f>'Acct Summary 7-8'!C16</f>
        <v>0</v>
      </c>
      <c r="C2560" s="2" t="s">
        <v>593</v>
      </c>
      <c r="D2560" s="2" t="str">
        <f t="shared" si="39"/>
        <v>Error?</v>
      </c>
    </row>
    <row r="2561" spans="1:4" x14ac:dyDescent="0.2">
      <c r="A2561" s="5">
        <v>2500</v>
      </c>
      <c r="B2561" s="138">
        <f>'Acct Summary 7-8'!C17</f>
        <v>13842230</v>
      </c>
      <c r="C2561" s="2" t="s">
        <v>593</v>
      </c>
      <c r="D2561" s="2" t="str">
        <f t="shared" si="39"/>
        <v>Error?</v>
      </c>
    </row>
    <row r="2562" spans="1:4" x14ac:dyDescent="0.2">
      <c r="A2562" s="5">
        <v>2501</v>
      </c>
      <c r="B2562" s="138">
        <f>'Acct Summary 7-8'!C20</f>
        <v>-590249</v>
      </c>
      <c r="C2562" s="2" t="s">
        <v>593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1752057</v>
      </c>
      <c r="C2564" s="2" t="s">
        <v>593</v>
      </c>
      <c r="D2564" s="2" t="str">
        <f t="shared" si="39"/>
        <v>Error?</v>
      </c>
    </row>
    <row r="2565" spans="1:4" x14ac:dyDescent="0.2">
      <c r="A2565" s="10">
        <v>2504</v>
      </c>
      <c r="D2565" s="2" t="str">
        <f t="shared" si="39"/>
        <v>OK</v>
      </c>
    </row>
    <row r="2566" spans="1:4" x14ac:dyDescent="0.2">
      <c r="A2566" s="5">
        <v>2505</v>
      </c>
      <c r="B2566" s="138">
        <f>'Acct Summary 7-8'!D6</f>
        <v>0</v>
      </c>
      <c r="C2566" s="2" t="s">
        <v>593</v>
      </c>
      <c r="D2566" s="2" t="str">
        <f t="shared" si="39"/>
        <v>Error?</v>
      </c>
    </row>
    <row r="2567" spans="1:4" x14ac:dyDescent="0.2">
      <c r="A2567" s="5">
        <v>2506</v>
      </c>
      <c r="B2567" s="138">
        <f>'Acct Summary 7-8'!D7</f>
        <v>0</v>
      </c>
      <c r="C2567" s="2" t="s">
        <v>593</v>
      </c>
      <c r="D2567" s="2" t="str">
        <f t="shared" si="39"/>
        <v>Error?</v>
      </c>
    </row>
    <row r="2568" spans="1:4" x14ac:dyDescent="0.2">
      <c r="A2568" s="5">
        <v>2507</v>
      </c>
      <c r="B2568" s="138">
        <f>'Acct Summary 7-8'!D8</f>
        <v>1752057</v>
      </c>
      <c r="C2568" s="2" t="s">
        <v>593</v>
      </c>
      <c r="D2568" s="2" t="str">
        <f t="shared" si="39"/>
        <v>Error?</v>
      </c>
    </row>
    <row r="2569" spans="1:4" x14ac:dyDescent="0.2">
      <c r="A2569" s="5">
        <v>2508</v>
      </c>
      <c r="B2569" s="138">
        <f>'Acct Summary 7-8'!D13</f>
        <v>1483779</v>
      </c>
      <c r="C2569" s="2" t="s">
        <v>593</v>
      </c>
      <c r="D2569" s="2" t="str">
        <f t="shared" si="39"/>
        <v>Error?</v>
      </c>
    </row>
    <row r="2570" spans="1:4" x14ac:dyDescent="0.2">
      <c r="A2570" s="5">
        <v>2509</v>
      </c>
      <c r="B2570" s="138">
        <f>'Acct Summary 7-8'!D14</f>
        <v>0</v>
      </c>
      <c r="C2570" s="2" t="s">
        <v>593</v>
      </c>
      <c r="D2570" s="2" t="str">
        <f t="shared" si="39"/>
        <v>Error?</v>
      </c>
    </row>
    <row r="2571" spans="1:4" x14ac:dyDescent="0.2">
      <c r="A2571" s="5">
        <v>2510</v>
      </c>
      <c r="B2571" s="138">
        <f>'Acct Summary 7-8'!D15</f>
        <v>0</v>
      </c>
      <c r="C2571" s="2" t="s">
        <v>593</v>
      </c>
      <c r="D2571" s="2" t="str">
        <f t="shared" si="39"/>
        <v>Error?</v>
      </c>
    </row>
    <row r="2572" spans="1:4" x14ac:dyDescent="0.2">
      <c r="A2572" s="5">
        <v>2511</v>
      </c>
      <c r="B2572" s="138">
        <f>'Acct Summary 7-8'!D16</f>
        <v>0</v>
      </c>
      <c r="C2572" s="2" t="s">
        <v>593</v>
      </c>
      <c r="D2572" s="2" t="str">
        <f t="shared" si="39"/>
        <v>Error?</v>
      </c>
    </row>
    <row r="2573" spans="1:4" x14ac:dyDescent="0.2">
      <c r="A2573" s="5">
        <v>2512</v>
      </c>
      <c r="B2573" s="138">
        <f>'Acct Summary 7-8'!D17</f>
        <v>1483779</v>
      </c>
      <c r="C2573" s="2" t="s">
        <v>593</v>
      </c>
      <c r="D2573" s="2" t="str">
        <f t="shared" si="39"/>
        <v>Error?</v>
      </c>
    </row>
    <row r="2574" spans="1:4" x14ac:dyDescent="0.2">
      <c r="A2574" s="5">
        <v>2513</v>
      </c>
      <c r="B2574" s="138">
        <f>'Acct Summary 7-8'!D20</f>
        <v>268278</v>
      </c>
      <c r="C2574" s="2" t="s">
        <v>593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678252</v>
      </c>
      <c r="C2591" s="2" t="s">
        <v>593</v>
      </c>
      <c r="D2591" s="2" t="str">
        <f t="shared" si="39"/>
        <v>Error?</v>
      </c>
    </row>
    <row r="2592" spans="1:4" x14ac:dyDescent="0.2">
      <c r="A2592" s="10">
        <v>2531</v>
      </c>
      <c r="D2592" s="2" t="str">
        <f t="shared" si="39"/>
        <v>OK</v>
      </c>
    </row>
    <row r="2593" spans="1:4" x14ac:dyDescent="0.2">
      <c r="A2593" s="5">
        <v>2532</v>
      </c>
      <c r="B2593" s="138">
        <f>'Acct Summary 7-8'!F6</f>
        <v>555952</v>
      </c>
      <c r="C2593" s="2" t="s">
        <v>593</v>
      </c>
      <c r="D2593" s="2" t="str">
        <f t="shared" si="39"/>
        <v>Error?</v>
      </c>
    </row>
    <row r="2594" spans="1:4" x14ac:dyDescent="0.2">
      <c r="A2594" s="5">
        <v>2533</v>
      </c>
      <c r="B2594" s="138">
        <f>'Acct Summary 7-8'!F7</f>
        <v>0</v>
      </c>
      <c r="C2594" s="2" t="s">
        <v>593</v>
      </c>
      <c r="D2594" s="2" t="str">
        <f t="shared" si="39"/>
        <v>Error?</v>
      </c>
    </row>
    <row r="2595" spans="1:4" x14ac:dyDescent="0.2">
      <c r="A2595" s="5">
        <v>2534</v>
      </c>
      <c r="B2595" s="138">
        <f>'Acct Summary 7-8'!F8</f>
        <v>1234204</v>
      </c>
      <c r="C2595" s="2" t="s">
        <v>593</v>
      </c>
      <c r="D2595" s="2" t="str">
        <f t="shared" si="39"/>
        <v>Error?</v>
      </c>
    </row>
    <row r="2596" spans="1:4" x14ac:dyDescent="0.2">
      <c r="A2596" s="5">
        <v>2535</v>
      </c>
      <c r="B2596" s="138">
        <f>'Acct Summary 7-8'!F13</f>
        <v>226902</v>
      </c>
      <c r="C2596" s="2" t="s">
        <v>593</v>
      </c>
      <c r="D2596" s="2" t="str">
        <f t="shared" si="39"/>
        <v>Error?</v>
      </c>
    </row>
    <row r="2597" spans="1:4" x14ac:dyDescent="0.2">
      <c r="A2597" s="5">
        <v>2536</v>
      </c>
      <c r="B2597" s="138">
        <f>'Acct Summary 7-8'!F14</f>
        <v>0</v>
      </c>
      <c r="C2597" s="2" t="s">
        <v>593</v>
      </c>
      <c r="D2597" s="2" t="str">
        <f t="shared" si="39"/>
        <v>Error?</v>
      </c>
    </row>
    <row r="2598" spans="1:4" x14ac:dyDescent="0.2">
      <c r="A2598" s="5">
        <v>2537</v>
      </c>
      <c r="B2598" s="138">
        <f>'Acct Summary 7-8'!F15</f>
        <v>857301</v>
      </c>
      <c r="C2598" s="2" t="s">
        <v>593</v>
      </c>
      <c r="D2598" s="2" t="str">
        <f t="shared" si="39"/>
        <v>Error?</v>
      </c>
    </row>
    <row r="2599" spans="1:4" x14ac:dyDescent="0.2">
      <c r="A2599" s="5">
        <v>2538</v>
      </c>
      <c r="B2599" s="138">
        <f>'Acct Summary 7-8'!F16</f>
        <v>0</v>
      </c>
      <c r="C2599" s="2" t="s">
        <v>593</v>
      </c>
      <c r="D2599" s="2" t="str">
        <f t="shared" si="39"/>
        <v>Error?</v>
      </c>
    </row>
    <row r="2600" spans="1:4" x14ac:dyDescent="0.2">
      <c r="A2600" s="5">
        <v>2539</v>
      </c>
      <c r="B2600" s="138">
        <f>'Acct Summary 7-8'!F17</f>
        <v>1084203</v>
      </c>
      <c r="C2600" s="2" t="s">
        <v>593</v>
      </c>
      <c r="D2600" s="2" t="str">
        <f t="shared" si="39"/>
        <v>Error?</v>
      </c>
    </row>
    <row r="2601" spans="1:4" x14ac:dyDescent="0.2">
      <c r="A2601" s="5">
        <v>2540</v>
      </c>
      <c r="B2601" s="138">
        <f>'Acct Summary 7-8'!F20</f>
        <v>150001</v>
      </c>
      <c r="C2601" s="2" t="s">
        <v>593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613957</v>
      </c>
      <c r="C2603" s="2" t="s">
        <v>593</v>
      </c>
      <c r="D2603" s="2" t="str">
        <f t="shared" si="39"/>
        <v>Error?</v>
      </c>
    </row>
    <row r="2604" spans="1:4" x14ac:dyDescent="0.2">
      <c r="A2604" s="5">
        <v>2543</v>
      </c>
      <c r="B2604" s="138">
        <f>'Acct Summary 7-8'!G6</f>
        <v>0</v>
      </c>
      <c r="C2604" s="2" t="s">
        <v>593</v>
      </c>
      <c r="D2604" s="2" t="str">
        <f t="shared" si="39"/>
        <v>Error?</v>
      </c>
    </row>
    <row r="2605" spans="1:4" x14ac:dyDescent="0.2">
      <c r="A2605" s="5">
        <v>2544</v>
      </c>
      <c r="B2605" s="138">
        <f>'Acct Summary 7-8'!G7</f>
        <v>0</v>
      </c>
      <c r="C2605" s="2" t="s">
        <v>593</v>
      </c>
      <c r="D2605" s="2" t="str">
        <f t="shared" si="39"/>
        <v>Error?</v>
      </c>
    </row>
    <row r="2606" spans="1:4" x14ac:dyDescent="0.2">
      <c r="A2606" s="5">
        <v>2545</v>
      </c>
      <c r="B2606" s="138">
        <f>'Acct Summary 7-8'!G8</f>
        <v>613957</v>
      </c>
      <c r="C2606" s="2" t="s">
        <v>593</v>
      </c>
      <c r="D2606" s="2" t="str">
        <f t="shared" si="39"/>
        <v>Error?</v>
      </c>
    </row>
    <row r="2607" spans="1:4" x14ac:dyDescent="0.2">
      <c r="A2607" s="5">
        <v>2546</v>
      </c>
      <c r="B2607" s="138">
        <f>'Acct Summary 7-8'!G12</f>
        <v>140907</v>
      </c>
      <c r="C2607" s="2" t="s">
        <v>593</v>
      </c>
      <c r="D2607" s="2" t="str">
        <f t="shared" si="39"/>
        <v>Error?</v>
      </c>
    </row>
    <row r="2608" spans="1:4" x14ac:dyDescent="0.2">
      <c r="A2608" s="5">
        <v>2547</v>
      </c>
      <c r="B2608" s="138">
        <f>'Acct Summary 7-8'!G13</f>
        <v>300089</v>
      </c>
      <c r="C2608" s="2" t="s">
        <v>593</v>
      </c>
      <c r="D2608" s="2" t="str">
        <f t="shared" si="39"/>
        <v>Error?</v>
      </c>
    </row>
    <row r="2609" spans="1:4" x14ac:dyDescent="0.2">
      <c r="A2609" s="5">
        <v>2548</v>
      </c>
      <c r="B2609" s="138">
        <f>'Acct Summary 7-8'!G14</f>
        <v>152</v>
      </c>
      <c r="C2609" s="2" t="s">
        <v>593</v>
      </c>
      <c r="D2609" s="2" t="str">
        <f t="shared" si="39"/>
        <v>Error?</v>
      </c>
    </row>
    <row r="2610" spans="1:4" x14ac:dyDescent="0.2">
      <c r="A2610" s="10">
        <v>2549</v>
      </c>
      <c r="D2610" s="2" t="str">
        <f t="shared" si="39"/>
        <v>OK</v>
      </c>
    </row>
    <row r="2611" spans="1:4" x14ac:dyDescent="0.2">
      <c r="A2611" s="5">
        <v>2550</v>
      </c>
      <c r="B2611" s="138">
        <f>'Acct Summary 7-8'!G16</f>
        <v>0</v>
      </c>
      <c r="C2611" s="2" t="s">
        <v>593</v>
      </c>
      <c r="D2611" s="2" t="str">
        <f t="shared" si="39"/>
        <v>Error?</v>
      </c>
    </row>
    <row r="2612" spans="1:4" x14ac:dyDescent="0.2">
      <c r="A2612" s="5">
        <v>2551</v>
      </c>
      <c r="B2612" s="138">
        <f>'Acct Summary 7-8'!G17</f>
        <v>441148</v>
      </c>
      <c r="C2612" s="2" t="s">
        <v>593</v>
      </c>
      <c r="D2612" s="2" t="str">
        <f t="shared" si="39"/>
        <v>Error?</v>
      </c>
    </row>
    <row r="2613" spans="1:4" x14ac:dyDescent="0.2">
      <c r="A2613" s="5">
        <v>2552</v>
      </c>
      <c r="B2613" s="138">
        <f>'Acct Summary 7-8'!G20</f>
        <v>172809</v>
      </c>
      <c r="C2613" s="2" t="s">
        <v>593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2728658</v>
      </c>
      <c r="C2630" s="2" t="s">
        <v>593</v>
      </c>
      <c r="D2630" s="2" t="str">
        <f t="shared" si="40"/>
        <v>Error?</v>
      </c>
    </row>
    <row r="2631" spans="1:4" x14ac:dyDescent="0.2">
      <c r="A2631" s="5">
        <v>2570</v>
      </c>
      <c r="B2631" s="138">
        <f>'Acct Summary 7-8'!E6</f>
        <v>0</v>
      </c>
      <c r="C2631" s="2" t="s">
        <v>593</v>
      </c>
      <c r="D2631" s="2" t="str">
        <f t="shared" si="40"/>
        <v>Error?</v>
      </c>
    </row>
    <row r="2632" spans="1:4" x14ac:dyDescent="0.2">
      <c r="A2632" s="5">
        <v>2571</v>
      </c>
      <c r="B2632" s="138">
        <f>'Acct Summary 7-8'!E8</f>
        <v>2728658</v>
      </c>
      <c r="C2632" s="2" t="s">
        <v>593</v>
      </c>
      <c r="D2632" s="2" t="str">
        <f t="shared" si="40"/>
        <v>Error?</v>
      </c>
    </row>
    <row r="2633" spans="1:4" x14ac:dyDescent="0.2">
      <c r="A2633" s="5">
        <v>2572</v>
      </c>
      <c r="B2633" s="138">
        <f>'Acct Summary 7-8'!E15</f>
        <v>0</v>
      </c>
      <c r="C2633" s="2" t="s">
        <v>593</v>
      </c>
      <c r="D2633" s="2" t="str">
        <f t="shared" si="40"/>
        <v>Error?</v>
      </c>
    </row>
    <row r="2634" spans="1:4" x14ac:dyDescent="0.2">
      <c r="A2634" s="5">
        <v>2573</v>
      </c>
      <c r="B2634" s="138">
        <f>'Acct Summary 7-8'!E16</f>
        <v>2799130</v>
      </c>
      <c r="C2634" s="2" t="s">
        <v>593</v>
      </c>
      <c r="D2634" s="2" t="str">
        <f t="shared" si="40"/>
        <v>Error?</v>
      </c>
    </row>
    <row r="2635" spans="1:4" x14ac:dyDescent="0.2">
      <c r="A2635" s="5">
        <v>2574</v>
      </c>
      <c r="B2635" s="138">
        <f>'Acct Summary 7-8'!E17</f>
        <v>2799130</v>
      </c>
      <c r="C2635" s="2" t="s">
        <v>593</v>
      </c>
      <c r="D2635" s="2" t="str">
        <f t="shared" si="40"/>
        <v>Error?</v>
      </c>
    </row>
    <row r="2636" spans="1:4" x14ac:dyDescent="0.2">
      <c r="A2636" s="5">
        <v>2575</v>
      </c>
      <c r="B2636" s="138">
        <f>'Acct Summary 7-8'!E20</f>
        <v>-70472</v>
      </c>
      <c r="C2636" s="2" t="s">
        <v>593</v>
      </c>
      <c r="D2636" s="2" t="str">
        <f t="shared" si="40"/>
        <v>Error?</v>
      </c>
    </row>
    <row r="2637" spans="1:4" x14ac:dyDescent="0.2">
      <c r="A2637" s="5">
        <v>2576</v>
      </c>
      <c r="B2637" s="138">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623044</v>
      </c>
      <c r="C2655" s="2" t="s">
        <v>593</v>
      </c>
      <c r="D2655" s="2" t="str">
        <f t="shared" si="40"/>
        <v>Error?</v>
      </c>
    </row>
    <row r="2656" spans="1:4" x14ac:dyDescent="0.2">
      <c r="A2656" s="5">
        <v>2595</v>
      </c>
      <c r="B2656" s="138">
        <f>'Acct Summary 7-8'!H6</f>
        <v>0</v>
      </c>
      <c r="C2656" s="2" t="s">
        <v>593</v>
      </c>
      <c r="D2656" s="2" t="str">
        <f t="shared" si="40"/>
        <v>Error?</v>
      </c>
    </row>
    <row r="2657" spans="1:4" x14ac:dyDescent="0.2">
      <c r="A2657" s="5">
        <v>2596</v>
      </c>
      <c r="B2657" s="138">
        <f>'Acct Summary 7-8'!H7</f>
        <v>0</v>
      </c>
      <c r="C2657" s="2" t="s">
        <v>593</v>
      </c>
      <c r="D2657" s="2" t="str">
        <f t="shared" si="40"/>
        <v>Error?</v>
      </c>
    </row>
    <row r="2658" spans="1:4" x14ac:dyDescent="0.2">
      <c r="A2658" s="5">
        <v>2597</v>
      </c>
      <c r="B2658" s="138">
        <f>'Acct Summary 7-8'!H8</f>
        <v>623044</v>
      </c>
      <c r="C2658" s="2" t="s">
        <v>593</v>
      </c>
      <c r="D2658" s="2" t="str">
        <f t="shared" si="40"/>
        <v>Error?</v>
      </c>
    </row>
    <row r="2659" spans="1:4" x14ac:dyDescent="0.2">
      <c r="A2659" s="5">
        <v>2598</v>
      </c>
      <c r="B2659" s="138">
        <f>'Acct Summary 7-8'!H13</f>
        <v>115572</v>
      </c>
      <c r="C2659" s="2" t="s">
        <v>593</v>
      </c>
      <c r="D2659" s="2" t="str">
        <f t="shared" si="40"/>
        <v>Error?</v>
      </c>
    </row>
    <row r="2660" spans="1:4" x14ac:dyDescent="0.2">
      <c r="A2660" s="5">
        <v>2599</v>
      </c>
      <c r="B2660" s="138">
        <f>'Acct Summary 7-8'!H15</f>
        <v>0</v>
      </c>
      <c r="C2660" s="2" t="s">
        <v>593</v>
      </c>
      <c r="D2660" s="2" t="str">
        <f t="shared" si="40"/>
        <v>Error?</v>
      </c>
    </row>
    <row r="2661" spans="1:4" x14ac:dyDescent="0.2">
      <c r="A2661" s="5">
        <v>2600</v>
      </c>
      <c r="B2661" s="138">
        <f>'Acct Summary 7-8'!H17</f>
        <v>115572</v>
      </c>
      <c r="C2661" s="2" t="s">
        <v>593</v>
      </c>
      <c r="D2661" s="2" t="str">
        <f t="shared" si="40"/>
        <v>Error?</v>
      </c>
    </row>
    <row r="2662" spans="1:4" x14ac:dyDescent="0.2">
      <c r="A2662" s="5">
        <v>2601</v>
      </c>
      <c r="B2662" s="138">
        <f>'Acct Summary 7-8'!H20</f>
        <v>507472</v>
      </c>
      <c r="C2662" s="2" t="s">
        <v>593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593</v>
      </c>
      <c r="D2733" s="2" t="str">
        <f t="shared" si="41"/>
        <v>Error?</v>
      </c>
    </row>
    <row r="2734" spans="1:4" x14ac:dyDescent="0.2">
      <c r="A2734" s="5">
        <v>2673</v>
      </c>
      <c r="B2734" s="138">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25749</v>
      </c>
      <c r="C2789" s="2" t="s">
        <v>593</v>
      </c>
      <c r="D2789" s="2" t="str">
        <f t="shared" si="42"/>
        <v>Error?</v>
      </c>
    </row>
    <row r="2790" spans="1:4" x14ac:dyDescent="0.2">
      <c r="A2790" s="5">
        <v>2729</v>
      </c>
      <c r="B2790" s="138">
        <f>'Expenditures 15-22'!E102</f>
        <v>25749</v>
      </c>
      <c r="C2790" s="2" t="s">
        <v>593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593</v>
      </c>
      <c r="D2795" s="2" t="str">
        <f t="shared" si="42"/>
        <v>Error?</v>
      </c>
    </row>
    <row r="2796" spans="1:4" x14ac:dyDescent="0.2">
      <c r="A2796" s="5">
        <v>2735</v>
      </c>
      <c r="B2796" s="138">
        <f>'Expenditures 15-22'!K108</f>
        <v>0</v>
      </c>
      <c r="C2796" s="2" t="s">
        <v>593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8">
        <f>'Expenditures 15-22'!K130</f>
        <v>0</v>
      </c>
      <c r="C2805" s="2" t="s">
        <v>593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593</v>
      </c>
      <c r="D2809" s="2" t="str">
        <f t="shared" si="42"/>
        <v>OK</v>
      </c>
    </row>
    <row r="2810" spans="1:4" x14ac:dyDescent="0.2">
      <c r="A2810" s="5">
        <v>2749</v>
      </c>
      <c r="B2810" s="138">
        <f>'Expenditures 15-22'!K144</f>
        <v>0</v>
      </c>
      <c r="C2810" s="2" t="s">
        <v>593</v>
      </c>
      <c r="D2810" s="2" t="str">
        <f t="shared" si="42"/>
        <v>Error?</v>
      </c>
    </row>
    <row r="2811" spans="1:4" x14ac:dyDescent="0.2">
      <c r="A2811" s="5">
        <v>2750</v>
      </c>
      <c r="B2811" s="138">
        <f>'Expenditures 15-22'!K145</f>
        <v>0</v>
      </c>
      <c r="C2811" s="2" t="s">
        <v>593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593</v>
      </c>
      <c r="D2818" s="2" t="str">
        <f t="shared" si="43"/>
        <v>Error?</v>
      </c>
    </row>
    <row r="2819" spans="1:4" x14ac:dyDescent="0.2">
      <c r="A2819" s="5">
        <v>2758</v>
      </c>
      <c r="B2819" s="138">
        <f>'Expenditures 15-22'!K166</f>
        <v>0</v>
      </c>
      <c r="C2819" s="2" t="s">
        <v>593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857301</v>
      </c>
      <c r="C2823" s="2" t="s">
        <v>593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593</v>
      </c>
      <c r="D2836" s="2" t="str">
        <f t="shared" si="43"/>
        <v>Error?</v>
      </c>
    </row>
    <row r="2837" spans="1:5" x14ac:dyDescent="0.2">
      <c r="A2837" s="12">
        <v>2776</v>
      </c>
      <c r="B2837" s="138">
        <f>'Expenditures 15-22'!K194</f>
        <v>857301</v>
      </c>
      <c r="D2837" s="2" t="str">
        <f t="shared" si="43"/>
        <v>Error?</v>
      </c>
    </row>
    <row r="2838" spans="1:5" x14ac:dyDescent="0.2">
      <c r="A2838" s="10">
        <v>2777</v>
      </c>
      <c r="D2838" s="2" t="str">
        <f t="shared" si="43"/>
        <v>OK</v>
      </c>
    </row>
    <row r="2839" spans="1:5" x14ac:dyDescent="0.2">
      <c r="A2839" s="5">
        <v>2778</v>
      </c>
      <c r="B2839" s="138">
        <f>'Expenditures 15-22'!K195</f>
        <v>0</v>
      </c>
      <c r="C2839" s="2" t="s">
        <v>593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593</v>
      </c>
      <c r="D2841" s="2" t="str">
        <f t="shared" si="43"/>
        <v>Error?</v>
      </c>
    </row>
    <row r="2842" spans="1:5" x14ac:dyDescent="0.2">
      <c r="A2842" s="5">
        <v>2781</v>
      </c>
      <c r="B2842" s="138">
        <f>'Expenditures 15-22'!K202</f>
        <v>0</v>
      </c>
      <c r="C2842" s="2" t="s">
        <v>593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593</v>
      </c>
      <c r="D2845" s="2" t="str">
        <f t="shared" si="43"/>
        <v>Error?</v>
      </c>
    </row>
    <row r="2846" spans="1:5" x14ac:dyDescent="0.2">
      <c r="A2846" s="5">
        <v>2785</v>
      </c>
      <c r="B2846" s="138">
        <f>'Expenditures 15-22'!K291</f>
        <v>0</v>
      </c>
      <c r="C2846" s="2" t="s">
        <v>593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28235</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2655702</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2975482</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167444</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655349</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2975482</v>
      </c>
      <c r="D2912" s="2" t="str">
        <f t="shared" si="44"/>
        <v>Error?</v>
      </c>
    </row>
    <row r="2913" spans="1:4" x14ac:dyDescent="0.2">
      <c r="A2913" s="5">
        <v>2852</v>
      </c>
      <c r="B2913" s="138">
        <f>'Assets-Liab 5-6'!I41</f>
        <v>2975482</v>
      </c>
      <c r="C2913" s="2" t="s">
        <v>593</v>
      </c>
      <c r="D2913" s="2" t="str">
        <f t="shared" si="44"/>
        <v>Error?</v>
      </c>
    </row>
    <row r="2914" spans="1:4" x14ac:dyDescent="0.2">
      <c r="A2914" s="5">
        <v>2853</v>
      </c>
      <c r="B2914" s="138">
        <f>'Assets-Liab 5-6'!L33</f>
        <v>655349</v>
      </c>
      <c r="D2914" s="2" t="str">
        <f t="shared" si="44"/>
        <v>Error?</v>
      </c>
    </row>
    <row r="2915" spans="1:4" x14ac:dyDescent="0.2">
      <c r="A2915" s="10">
        <v>2854</v>
      </c>
      <c r="D2915" s="2" t="str">
        <f t="shared" si="44"/>
        <v>OK</v>
      </c>
    </row>
    <row r="2916" spans="1:4" x14ac:dyDescent="0.2">
      <c r="A2916" s="5">
        <v>2855</v>
      </c>
      <c r="B2916" s="138">
        <f>'Assets-Liab 5-6'!L34</f>
        <v>655349</v>
      </c>
      <c r="C2916" s="2" t="s">
        <v>593</v>
      </c>
      <c r="D2916" s="2" t="str">
        <f t="shared" si="44"/>
        <v>Error?</v>
      </c>
    </row>
    <row r="2917" spans="1:4" x14ac:dyDescent="0.2">
      <c r="A2917" s="5">
        <v>2856</v>
      </c>
      <c r="B2917" s="138">
        <f>'Assets-Liab 5-6'!L41</f>
        <v>655349</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4615</v>
      </c>
      <c r="D2949" s="2" t="str">
        <f t="shared" si="45"/>
        <v>Error?</v>
      </c>
    </row>
    <row r="2950" spans="1:4" x14ac:dyDescent="0.2">
      <c r="A2950" s="5">
        <v>2889</v>
      </c>
      <c r="B2950" s="138">
        <f>'Expenditures 15-22'!E79</f>
        <v>21134</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28125</v>
      </c>
      <c r="D2955" s="2" t="str">
        <f t="shared" si="45"/>
        <v>Error?</v>
      </c>
    </row>
    <row r="2956" spans="1:4" x14ac:dyDescent="0.2">
      <c r="A2956" s="5">
        <v>2895</v>
      </c>
      <c r="B2956" s="138">
        <f>'Expenditures 15-22'!H79</f>
        <v>101828</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4813</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32740</v>
      </c>
      <c r="C2973" s="2" t="s">
        <v>593</v>
      </c>
      <c r="D2973" s="2" t="str">
        <f t="shared" si="45"/>
        <v>Error?</v>
      </c>
    </row>
    <row r="2974" spans="1:4" x14ac:dyDescent="0.2">
      <c r="A2974" s="5">
        <v>2913</v>
      </c>
      <c r="B2974" s="138">
        <f>'Expenditures 15-22'!K79</f>
        <v>122962</v>
      </c>
      <c r="C2974" s="2" t="s">
        <v>593</v>
      </c>
      <c r="D2974" s="2" t="str">
        <f t="shared" si="45"/>
        <v>Error?</v>
      </c>
    </row>
    <row r="2975" spans="1:4" x14ac:dyDescent="0.2">
      <c r="A2975" s="5">
        <v>2914</v>
      </c>
      <c r="B2975" s="138">
        <f>'Expenditures 15-22'!K80</f>
        <v>0</v>
      </c>
      <c r="C2975" s="2" t="s">
        <v>593</v>
      </c>
      <c r="D2975" s="2" t="str">
        <f t="shared" si="45"/>
        <v>Error?</v>
      </c>
    </row>
    <row r="2976" spans="1:4" x14ac:dyDescent="0.2">
      <c r="A2976" s="5">
        <v>2915</v>
      </c>
      <c r="B2976" s="138">
        <f>'Expenditures 15-22'!K81</f>
        <v>4813</v>
      </c>
      <c r="C2976" s="2" t="s">
        <v>593</v>
      </c>
      <c r="D2976" s="2" t="str">
        <f t="shared" si="45"/>
        <v>Error?</v>
      </c>
    </row>
    <row r="2977" spans="1:4" x14ac:dyDescent="0.2">
      <c r="A2977" s="5">
        <v>2916</v>
      </c>
      <c r="B2977" s="138">
        <f>'Expenditures 15-22'!K82</f>
        <v>0</v>
      </c>
      <c r="C2977" s="2" t="s">
        <v>593</v>
      </c>
      <c r="D2977" s="2" t="str">
        <f t="shared" si="45"/>
        <v>Error?</v>
      </c>
    </row>
    <row r="2978" spans="1:4" x14ac:dyDescent="0.2">
      <c r="A2978" s="5">
        <v>2917</v>
      </c>
      <c r="B2978" s="138">
        <f>'Expenditures 15-22'!K83</f>
        <v>0</v>
      </c>
      <c r="C2978" s="2" t="s">
        <v>593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8">
        <f>'Expenditures 15-22'!K134</f>
        <v>0</v>
      </c>
      <c r="C2986" s="2" t="s">
        <v>593</v>
      </c>
      <c r="D2986" s="2" t="str">
        <f t="shared" si="45"/>
        <v>Error?</v>
      </c>
    </row>
    <row r="2987" spans="1:4" x14ac:dyDescent="0.2">
      <c r="A2987" s="5">
        <v>2926</v>
      </c>
      <c r="B2987" s="138">
        <f>'Expenditures 15-22'!K135</f>
        <v>0</v>
      </c>
      <c r="C2987" s="2" t="s">
        <v>593</v>
      </c>
      <c r="D2987" s="2" t="str">
        <f t="shared" si="45"/>
        <v>Error?</v>
      </c>
    </row>
    <row r="2988" spans="1:4" x14ac:dyDescent="0.2">
      <c r="A2988" s="5">
        <v>2927</v>
      </c>
      <c r="B2988" s="138">
        <f>'Expenditures 15-22'!K136</f>
        <v>0</v>
      </c>
      <c r="C2988" s="2" t="s">
        <v>593</v>
      </c>
      <c r="D2988" s="2" t="str">
        <f t="shared" si="45"/>
        <v>Error?</v>
      </c>
    </row>
    <row r="2989" spans="1:4" x14ac:dyDescent="0.2">
      <c r="A2989" s="5">
        <v>2928</v>
      </c>
      <c r="B2989" s="138">
        <f>'Expenditures 15-22'!E188</f>
        <v>416144</v>
      </c>
      <c r="D2989" s="2" t="str">
        <f t="shared" si="45"/>
        <v>Error?</v>
      </c>
    </row>
    <row r="2990" spans="1:4" x14ac:dyDescent="0.2">
      <c r="A2990" s="5">
        <v>2929</v>
      </c>
      <c r="B2990" s="138">
        <f>'Expenditures 15-22'!E189</f>
        <v>321085</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1387</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118685</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416144</v>
      </c>
      <c r="C3007" s="2" t="s">
        <v>593</v>
      </c>
      <c r="D3007" s="2" t="str">
        <f t="shared" ref="D3007:D3070" si="46">IF(ISBLANK(B3007),"OK",IF(A3007-B3007=0,"OK","Error?"))</f>
        <v>Error?</v>
      </c>
    </row>
    <row r="3008" spans="1:4" x14ac:dyDescent="0.2">
      <c r="A3008" s="5">
        <v>2947</v>
      </c>
      <c r="B3008" s="138">
        <f>'Expenditures 15-22'!K189</f>
        <v>321085</v>
      </c>
      <c r="C3008" s="2" t="s">
        <v>593</v>
      </c>
      <c r="D3008" s="2" t="str">
        <f t="shared" si="46"/>
        <v>Error?</v>
      </c>
    </row>
    <row r="3009" spans="1:4" x14ac:dyDescent="0.2">
      <c r="A3009" s="5">
        <v>2948</v>
      </c>
      <c r="B3009" s="138">
        <f>'Expenditures 15-22'!K190</f>
        <v>0</v>
      </c>
      <c r="C3009" s="2" t="s">
        <v>593</v>
      </c>
      <c r="D3009" s="2" t="str">
        <f t="shared" si="46"/>
        <v>Error?</v>
      </c>
    </row>
    <row r="3010" spans="1:4" x14ac:dyDescent="0.2">
      <c r="A3010" s="5">
        <v>2949</v>
      </c>
      <c r="B3010" s="138">
        <f>'Expenditures 15-22'!K191</f>
        <v>1387</v>
      </c>
      <c r="C3010" s="2" t="s">
        <v>593</v>
      </c>
      <c r="D3010" s="2" t="str">
        <f t="shared" si="46"/>
        <v>Error?</v>
      </c>
    </row>
    <row r="3011" spans="1:4" x14ac:dyDescent="0.2">
      <c r="A3011" s="5">
        <v>2950</v>
      </c>
      <c r="B3011" s="138">
        <f>'Expenditures 15-22'!K192</f>
        <v>0</v>
      </c>
      <c r="C3011" s="2" t="s">
        <v>593</v>
      </c>
      <c r="D3011" s="2" t="str">
        <f t="shared" si="46"/>
        <v>Error?</v>
      </c>
    </row>
    <row r="3012" spans="1:4" x14ac:dyDescent="0.2">
      <c r="A3012" s="5">
        <v>2951</v>
      </c>
      <c r="B3012" s="138">
        <f>'Expenditures 15-22'!K193</f>
        <v>118685</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106686</v>
      </c>
      <c r="D3055" s="2" t="str">
        <f t="shared" si="46"/>
        <v>Error?</v>
      </c>
    </row>
    <row r="3056" spans="1:4" x14ac:dyDescent="0.2">
      <c r="A3056" s="5">
        <v>2995</v>
      </c>
      <c r="B3056" s="138">
        <f>'Expenditures 15-22'!D10</f>
        <v>47518</v>
      </c>
      <c r="D3056" s="2" t="str">
        <f t="shared" si="46"/>
        <v>Error?</v>
      </c>
    </row>
    <row r="3057" spans="1:4" x14ac:dyDescent="0.2">
      <c r="A3057" s="5">
        <v>2996</v>
      </c>
      <c r="B3057" s="138">
        <f>'Expenditures 15-22'!E10</f>
        <v>30472</v>
      </c>
      <c r="D3057" s="2" t="str">
        <f t="shared" si="46"/>
        <v>Error?</v>
      </c>
    </row>
    <row r="3058" spans="1:4" x14ac:dyDescent="0.2">
      <c r="A3058" s="5">
        <v>2997</v>
      </c>
      <c r="B3058" s="138">
        <f>'Expenditures 15-22'!F10</f>
        <v>4270</v>
      </c>
      <c r="D3058" s="2" t="str">
        <f t="shared" si="46"/>
        <v>Error?</v>
      </c>
    </row>
    <row r="3059" spans="1:4" x14ac:dyDescent="0.2">
      <c r="A3059" s="5">
        <v>2998</v>
      </c>
      <c r="B3059" s="138">
        <f>'Expenditures 15-22'!G10</f>
        <v>36487</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225433</v>
      </c>
      <c r="C3062" s="2" t="s">
        <v>593</v>
      </c>
      <c r="D3062" s="2" t="str">
        <f t="shared" si="46"/>
        <v>Error?</v>
      </c>
    </row>
    <row r="3063" spans="1:4" x14ac:dyDescent="0.2">
      <c r="A3063" s="10">
        <v>3002</v>
      </c>
      <c r="D3063" s="2" t="str">
        <f t="shared" si="46"/>
        <v>OK</v>
      </c>
    </row>
    <row r="3064" spans="1:4" x14ac:dyDescent="0.2">
      <c r="A3064" s="5">
        <v>3003</v>
      </c>
      <c r="B3064" s="138">
        <f>'Expenditures 15-22'!D219</f>
        <v>5140</v>
      </c>
      <c r="D3064" s="2" t="str">
        <f t="shared" si="46"/>
        <v>Error?</v>
      </c>
    </row>
    <row r="3065" spans="1:4" x14ac:dyDescent="0.2">
      <c r="A3065" s="5">
        <v>3004</v>
      </c>
      <c r="B3065" s="138">
        <f>'Expenditures 15-22'!K219</f>
        <v>5140</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326258</v>
      </c>
      <c r="C3225" s="2" t="s">
        <v>593</v>
      </c>
      <c r="D3225" s="2" t="str">
        <f t="shared" si="49"/>
        <v>Error?</v>
      </c>
    </row>
    <row r="3226" spans="1:4" x14ac:dyDescent="0.2">
      <c r="A3226" s="5">
        <v>3165</v>
      </c>
      <c r="B3226" s="138">
        <f>'Acct Summary 7-8'!I8</f>
        <v>326258</v>
      </c>
      <c r="C3226" s="2" t="s">
        <v>593</v>
      </c>
      <c r="D3226" s="2" t="str">
        <f t="shared" si="49"/>
        <v>Error?</v>
      </c>
    </row>
    <row r="3227" spans="1:4" x14ac:dyDescent="0.2">
      <c r="A3227" s="5">
        <v>3166</v>
      </c>
      <c r="B3227" s="138">
        <f>'Acct Summary 7-8'!I20</f>
        <v>326258</v>
      </c>
      <c r="C3227" s="2" t="s">
        <v>593</v>
      </c>
      <c r="D3227" s="2" t="str">
        <f t="shared" si="49"/>
        <v>Error?</v>
      </c>
    </row>
    <row r="3228" spans="1:4" x14ac:dyDescent="0.2">
      <c r="A3228" s="5">
        <v>3167</v>
      </c>
      <c r="B3228" s="138">
        <f>'Acct Summary 7-8'!C43</f>
        <v>118635</v>
      </c>
      <c r="D3228" s="2" t="str">
        <f t="shared" si="49"/>
        <v>Error?</v>
      </c>
    </row>
    <row r="3229" spans="1:4" x14ac:dyDescent="0.2">
      <c r="A3229" s="5">
        <v>3168</v>
      </c>
      <c r="B3229" s="138">
        <f>'Acct Summary 7-8'!C44</f>
        <v>1618635</v>
      </c>
      <c r="C3229" s="2" t="s">
        <v>593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124294</v>
      </c>
      <c r="C3231" s="2" t="s">
        <v>593</v>
      </c>
      <c r="D3231" s="2" t="str">
        <f t="shared" si="49"/>
        <v>Error?</v>
      </c>
    </row>
    <row r="3232" spans="1:4" x14ac:dyDescent="0.2">
      <c r="A3232" s="5">
        <v>3171</v>
      </c>
      <c r="B3232" s="138">
        <f>'Acct Summary 7-8'!C77</f>
        <v>1494341</v>
      </c>
      <c r="C3232" s="2" t="s">
        <v>593</v>
      </c>
      <c r="D3232" s="2" t="str">
        <f t="shared" si="49"/>
        <v>Error?</v>
      </c>
    </row>
    <row r="3233" spans="1:4" x14ac:dyDescent="0.2">
      <c r="A3233" s="5">
        <v>3172</v>
      </c>
      <c r="B3233" s="138">
        <f>'Acct Summary 7-8'!C78</f>
        <v>904092</v>
      </c>
      <c r="C3233" s="2" t="s">
        <v>593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593</v>
      </c>
      <c r="D3237" s="2" t="str">
        <f t="shared" si="49"/>
        <v>Error?</v>
      </c>
    </row>
    <row r="3238" spans="1:4" x14ac:dyDescent="0.2">
      <c r="A3238" s="5">
        <v>3177</v>
      </c>
      <c r="B3238" s="138">
        <f>'Acct Summary 7-8'!D77</f>
        <v>0</v>
      </c>
      <c r="C3238" s="2" t="s">
        <v>593</v>
      </c>
      <c r="D3238" s="2" t="str">
        <f t="shared" si="49"/>
        <v>Error?</v>
      </c>
    </row>
    <row r="3239" spans="1:4" x14ac:dyDescent="0.2">
      <c r="A3239" s="5">
        <v>3178</v>
      </c>
      <c r="B3239" s="138">
        <f>'Acct Summary 7-8'!D78</f>
        <v>268278</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593</v>
      </c>
      <c r="D3254" s="2" t="str">
        <f t="shared" si="49"/>
        <v>Error?</v>
      </c>
    </row>
    <row r="3255" spans="1:4" x14ac:dyDescent="0.2">
      <c r="A3255" s="5">
        <v>3194</v>
      </c>
      <c r="B3255" s="138">
        <f>'Acct Summary 7-8'!F77</f>
        <v>0</v>
      </c>
      <c r="C3255" s="2" t="s">
        <v>593</v>
      </c>
      <c r="D3255" s="2" t="str">
        <f t="shared" si="49"/>
        <v>Error?</v>
      </c>
    </row>
    <row r="3256" spans="1:4" x14ac:dyDescent="0.2">
      <c r="A3256" s="5">
        <v>3195</v>
      </c>
      <c r="B3256" s="138">
        <f>'Acct Summary 7-8'!F78</f>
        <v>150001</v>
      </c>
      <c r="C3256" s="2" t="s">
        <v>593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593</v>
      </c>
      <c r="D3260" s="2" t="str">
        <f t="shared" si="49"/>
        <v>Error?</v>
      </c>
    </row>
    <row r="3261" spans="1:4" x14ac:dyDescent="0.2">
      <c r="A3261" s="5">
        <v>3200</v>
      </c>
      <c r="B3261" s="138">
        <f>'Acct Summary 7-8'!G77</f>
        <v>0</v>
      </c>
      <c r="C3261" s="2" t="s">
        <v>593</v>
      </c>
      <c r="D3261" s="2" t="str">
        <f t="shared" si="49"/>
        <v>Error?</v>
      </c>
    </row>
    <row r="3262" spans="1:4" x14ac:dyDescent="0.2">
      <c r="A3262" s="5">
        <v>3201</v>
      </c>
      <c r="B3262" s="138">
        <f>'Acct Summary 7-8'!G78</f>
        <v>172809</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124294</v>
      </c>
      <c r="C3274" s="2" t="s">
        <v>593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593</v>
      </c>
      <c r="D3276" s="2" t="str">
        <f t="shared" si="50"/>
        <v>Error?</v>
      </c>
    </row>
    <row r="3277" spans="1:4" x14ac:dyDescent="0.2">
      <c r="A3277" s="5">
        <v>3216</v>
      </c>
      <c r="B3277" s="138">
        <f>'Acct Summary 7-8'!E77</f>
        <v>124294</v>
      </c>
      <c r="C3277" s="2" t="s">
        <v>593</v>
      </c>
      <c r="D3277" s="2" t="str">
        <f t="shared" si="50"/>
        <v>Error?</v>
      </c>
    </row>
    <row r="3278" spans="1:4" x14ac:dyDescent="0.2">
      <c r="A3278" s="5">
        <v>3217</v>
      </c>
      <c r="B3278" s="138">
        <f>'Acct Summary 7-8'!E78</f>
        <v>53822</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593</v>
      </c>
      <c r="D3298" s="2" t="str">
        <f t="shared" si="50"/>
        <v>Error?</v>
      </c>
    </row>
    <row r="3299" spans="1:4" x14ac:dyDescent="0.2">
      <c r="A3299" s="5">
        <v>3238</v>
      </c>
      <c r="B3299" s="138">
        <f>'Acct Summary 7-8'!H77</f>
        <v>0</v>
      </c>
      <c r="C3299" s="2" t="s">
        <v>593</v>
      </c>
      <c r="D3299" s="2" t="str">
        <f t="shared" si="50"/>
        <v>Error?</v>
      </c>
    </row>
    <row r="3300" spans="1:4" x14ac:dyDescent="0.2">
      <c r="A3300" s="5">
        <v>3239</v>
      </c>
      <c r="B3300" s="138">
        <f>'Acct Summary 7-8'!H78</f>
        <v>507472</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593</v>
      </c>
      <c r="D3317" s="2" t="str">
        <f t="shared" si="50"/>
        <v>Error?</v>
      </c>
    </row>
    <row r="3318" spans="1:4" x14ac:dyDescent="0.2">
      <c r="A3318" s="5">
        <v>3257</v>
      </c>
      <c r="B3318" s="138">
        <f>'Acct Summary 7-8'!I76</f>
        <v>1500000</v>
      </c>
      <c r="C3318" s="2" t="s">
        <v>593</v>
      </c>
      <c r="D3318" s="2" t="str">
        <f t="shared" si="50"/>
        <v>Error?</v>
      </c>
    </row>
    <row r="3319" spans="1:4" x14ac:dyDescent="0.2">
      <c r="A3319" s="5">
        <v>3258</v>
      </c>
      <c r="B3319" s="138">
        <f>'Acct Summary 7-8'!I77</f>
        <v>-1500000</v>
      </c>
      <c r="C3319" s="2" t="s">
        <v>593</v>
      </c>
      <c r="D3319" s="2" t="str">
        <f t="shared" si="50"/>
        <v>Error?</v>
      </c>
    </row>
    <row r="3320" spans="1:4" x14ac:dyDescent="0.2">
      <c r="A3320" s="5">
        <v>3259</v>
      </c>
      <c r="B3320" s="138">
        <f>'Acct Summary 7-8'!I78</f>
        <v>-1173742</v>
      </c>
      <c r="C3320" s="2" t="s">
        <v>593</v>
      </c>
      <c r="D3320" s="2" t="str">
        <f t="shared" si="50"/>
        <v>Error?</v>
      </c>
    </row>
    <row r="3321" spans="1:4" x14ac:dyDescent="0.2">
      <c r="A3321" s="5">
        <v>3260</v>
      </c>
      <c r="B3321" s="138">
        <f>'Acct Summary 7-8'!I79</f>
        <v>4149224</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2975482</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1251603</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412714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86406</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18798</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1005</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1770526</v>
      </c>
      <c r="C3380" s="2" t="s">
        <v>593</v>
      </c>
      <c r="D3380" s="2" t="str">
        <f t="shared" si="51"/>
        <v>Error?</v>
      </c>
    </row>
    <row r="3381" spans="1:4" x14ac:dyDescent="0.2">
      <c r="A3381" s="5">
        <v>3320</v>
      </c>
      <c r="B3381" s="138">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55047</v>
      </c>
      <c r="D3387" s="2" t="str">
        <f t="shared" si="51"/>
        <v>Error?</v>
      </c>
    </row>
    <row r="3388" spans="1:4" x14ac:dyDescent="0.2">
      <c r="A3388" s="5">
        <v>3327</v>
      </c>
      <c r="B3388" s="138">
        <f>'Expenditures 15-22'!D217</f>
        <v>53558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55047</v>
      </c>
      <c r="C3390" s="2" t="s">
        <v>593</v>
      </c>
      <c r="D3390" s="2" t="str">
        <f t="shared" si="51"/>
        <v>Error?</v>
      </c>
    </row>
    <row r="3391" spans="1:4" x14ac:dyDescent="0.2">
      <c r="A3391" s="5">
        <v>3330</v>
      </c>
      <c r="B3391" s="138">
        <f>'Expenditures 15-22'!K217</f>
        <v>53558</v>
      </c>
      <c r="C3391" s="2" t="s">
        <v>593</v>
      </c>
      <c r="D3391" s="2" t="str">
        <f t="shared" ref="D3391:D3454" si="52">IF(ISBLANK(B3391),"OK",IF(A3391-B3391=0,"OK","Error?"))</f>
        <v>Error?</v>
      </c>
    </row>
    <row r="3392" spans="1:4" x14ac:dyDescent="0.2">
      <c r="A3392" s="5">
        <v>3331</v>
      </c>
      <c r="B3392" s="138">
        <f>'Expenditures 15-22'!K228</f>
        <v>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593</v>
      </c>
      <c r="D3405" s="2" t="str">
        <f t="shared" si="52"/>
        <v>Error?</v>
      </c>
    </row>
    <row r="3406" spans="1:4" x14ac:dyDescent="0.2">
      <c r="A3406" s="5">
        <v>3345</v>
      </c>
      <c r="B3406" s="138">
        <f>'Acct Summary 7-8'!D5</f>
        <v>0</v>
      </c>
      <c r="C3406" s="2" t="s">
        <v>593</v>
      </c>
      <c r="D3406" s="2" t="str">
        <f t="shared" si="52"/>
        <v>Error?</v>
      </c>
    </row>
    <row r="3407" spans="1:4" x14ac:dyDescent="0.2">
      <c r="A3407" s="10">
        <v>3346</v>
      </c>
      <c r="D3407" s="2" t="str">
        <f t="shared" si="52"/>
        <v>OK</v>
      </c>
    </row>
    <row r="3408" spans="1:4" x14ac:dyDescent="0.2">
      <c r="A3408" s="5">
        <v>3347</v>
      </c>
      <c r="B3408" s="138">
        <f>'Acct Summary 7-8'!F5</f>
        <v>0</v>
      </c>
      <c r="C3408" s="2" t="s">
        <v>593</v>
      </c>
      <c r="D3408" s="2" t="str">
        <f t="shared" si="52"/>
        <v>Error?</v>
      </c>
    </row>
    <row r="3409" spans="1:4" x14ac:dyDescent="0.2">
      <c r="A3409" s="5">
        <v>3348</v>
      </c>
      <c r="B3409" s="138">
        <f>'Acct Summary 7-8'!G5</f>
        <v>0</v>
      </c>
      <c r="C3409" s="2" t="s">
        <v>593</v>
      </c>
      <c r="D3409" s="2" t="str">
        <f t="shared" si="52"/>
        <v>Error?</v>
      </c>
    </row>
    <row r="3410" spans="1:4" x14ac:dyDescent="0.2">
      <c r="A3410" s="10">
        <v>3349</v>
      </c>
      <c r="D3410" s="2" t="str">
        <f t="shared" si="52"/>
        <v>OK</v>
      </c>
    </row>
    <row r="3411" spans="1:4" x14ac:dyDescent="0.2">
      <c r="A3411" s="5">
        <v>3350</v>
      </c>
      <c r="B3411" s="138">
        <f>'Assets-Liab 5-6'!C4</f>
        <v>3213441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109690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5162</v>
      </c>
      <c r="D3417" s="2" t="str">
        <f t="shared" si="52"/>
        <v>Error?</v>
      </c>
    </row>
    <row r="3418" spans="1:4" x14ac:dyDescent="0.2">
      <c r="A3418" s="10">
        <v>3357</v>
      </c>
      <c r="D3418" s="2" t="str">
        <f t="shared" si="52"/>
        <v>OK</v>
      </c>
    </row>
    <row r="3419" spans="1:4" x14ac:dyDescent="0.2">
      <c r="A3419" s="5">
        <v>3358</v>
      </c>
      <c r="B3419" s="138">
        <f>'Assets-Liab 5-6'!F4</f>
        <v>285510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181199</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725632</v>
      </c>
      <c r="D3425" s="2" t="str">
        <f t="shared" si="52"/>
        <v>Error?</v>
      </c>
    </row>
    <row r="3426" spans="1:4" x14ac:dyDescent="0.2">
      <c r="A3426" s="10">
        <v>3365</v>
      </c>
      <c r="D3426" s="2" t="str">
        <f t="shared" si="52"/>
        <v>OK</v>
      </c>
    </row>
    <row r="3427" spans="1:4" x14ac:dyDescent="0.2">
      <c r="A3427" s="5">
        <v>3366</v>
      </c>
      <c r="B3427" s="138">
        <f>'Assets-Liab 5-6'!I4</f>
        <v>319780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487905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8">
        <f>'Tax Sched 23'!B16</f>
        <v>261852</v>
      </c>
      <c r="C3446" s="2" t="s">
        <v>593</v>
      </c>
      <c r="D3446" s="2" t="str">
        <f t="shared" si="52"/>
        <v>Error?</v>
      </c>
    </row>
    <row r="3447" spans="1:4" x14ac:dyDescent="0.2">
      <c r="A3447" s="5">
        <v>3386</v>
      </c>
      <c r="B3447" s="138">
        <f>'Tax Sched 23'!D16</f>
        <v>261852</v>
      </c>
      <c r="C3447" s="2" t="s">
        <v>593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249619</v>
      </c>
      <c r="C3449" s="2" t="s">
        <v>593</v>
      </c>
      <c r="D3449" s="2" t="str">
        <f t="shared" si="52"/>
        <v>Error?</v>
      </c>
    </row>
    <row r="3450" spans="1:4" x14ac:dyDescent="0.2">
      <c r="A3450" s="5">
        <v>3389</v>
      </c>
      <c r="B3450" s="138">
        <f>'Tax Sched 23'!E16</f>
        <v>249619</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1796769</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2186463</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3983232</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3983232</v>
      </c>
      <c r="D3567" s="2" t="str">
        <f t="shared" si="54"/>
        <v>Error?</v>
      </c>
    </row>
    <row r="3568" spans="1:4" x14ac:dyDescent="0.2">
      <c r="A3568" s="5">
        <v>3507</v>
      </c>
      <c r="B3568" s="138">
        <f>'Assets-Liab 5-6'!K41</f>
        <v>3983232</v>
      </c>
      <c r="C3568" s="2" t="s">
        <v>593</v>
      </c>
      <c r="D3568" s="2" t="str">
        <f t="shared" si="54"/>
        <v>Error?</v>
      </c>
    </row>
    <row r="3569" spans="1:4" x14ac:dyDescent="0.2">
      <c r="A3569" s="5">
        <v>3508</v>
      </c>
      <c r="B3569" s="138">
        <f>'Acct Summary 7-8'!K4</f>
        <v>300512</v>
      </c>
      <c r="C3569" s="2" t="s">
        <v>593</v>
      </c>
      <c r="D3569" s="2" t="str">
        <f t="shared" si="54"/>
        <v>Error?</v>
      </c>
    </row>
    <row r="3570" spans="1:4" x14ac:dyDescent="0.2">
      <c r="A3570" s="5">
        <v>3509</v>
      </c>
      <c r="B3570" s="138">
        <f>'Acct Summary 7-8'!K6</f>
        <v>0</v>
      </c>
      <c r="C3570" s="2" t="s">
        <v>593</v>
      </c>
      <c r="D3570" s="2" t="str">
        <f t="shared" si="54"/>
        <v>Error?</v>
      </c>
    </row>
    <row r="3571" spans="1:4" x14ac:dyDescent="0.2">
      <c r="A3571" s="5">
        <v>3510</v>
      </c>
      <c r="B3571" s="138">
        <f>'Acct Summary 7-8'!K8</f>
        <v>300512</v>
      </c>
      <c r="C3571" s="2" t="s">
        <v>593</v>
      </c>
      <c r="D3571" s="2" t="str">
        <f t="shared" si="54"/>
        <v>Error?</v>
      </c>
    </row>
    <row r="3572" spans="1:4" x14ac:dyDescent="0.2">
      <c r="A3572" s="5">
        <v>3511</v>
      </c>
      <c r="B3572" s="138">
        <f>'Acct Summary 7-8'!K13</f>
        <v>306919</v>
      </c>
      <c r="C3572" s="2" t="s">
        <v>593</v>
      </c>
      <c r="D3572" s="2" t="str">
        <f t="shared" si="54"/>
        <v>Error?</v>
      </c>
    </row>
    <row r="3573" spans="1:4" x14ac:dyDescent="0.2">
      <c r="A3573" s="5">
        <v>3512</v>
      </c>
      <c r="B3573" s="138">
        <f>'Acct Summary 7-8'!K15</f>
        <v>0</v>
      </c>
      <c r="C3573" s="2" t="s">
        <v>593</v>
      </c>
      <c r="D3573" s="2" t="str">
        <f t="shared" si="54"/>
        <v>Error?</v>
      </c>
    </row>
    <row r="3574" spans="1:4" x14ac:dyDescent="0.2">
      <c r="A3574" s="5">
        <v>3513</v>
      </c>
      <c r="B3574" s="138">
        <f>'Acct Summary 7-8'!K16</f>
        <v>0</v>
      </c>
      <c r="C3574" s="2" t="s">
        <v>593</v>
      </c>
      <c r="D3574" s="2" t="str">
        <f t="shared" si="54"/>
        <v>Error?</v>
      </c>
    </row>
    <row r="3575" spans="1:4" x14ac:dyDescent="0.2">
      <c r="A3575" s="5">
        <v>3514</v>
      </c>
      <c r="B3575" s="138">
        <f>'Acct Summary 7-8'!K17</f>
        <v>306919</v>
      </c>
      <c r="C3575" s="2" t="s">
        <v>593</v>
      </c>
      <c r="D3575" s="2" t="str">
        <f t="shared" si="54"/>
        <v>Error?</v>
      </c>
    </row>
    <row r="3576" spans="1:4" x14ac:dyDescent="0.2">
      <c r="A3576" s="5">
        <v>3515</v>
      </c>
      <c r="B3576" s="138">
        <f>'Acct Summary 7-8'!K20</f>
        <v>-6407</v>
      </c>
      <c r="C3576" s="2" t="s">
        <v>593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3100000</v>
      </c>
      <c r="D3579" s="2" t="str">
        <f t="shared" si="54"/>
        <v>Error?</v>
      </c>
    </row>
    <row r="3580" spans="1:4" x14ac:dyDescent="0.2">
      <c r="A3580" s="5">
        <v>3519</v>
      </c>
      <c r="B3580" s="138">
        <f>'Acct Summary 7-8'!K34</f>
        <v>47770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3147770</v>
      </c>
      <c r="C3584" s="2" t="s">
        <v>593</v>
      </c>
      <c r="D3584" s="2" t="str">
        <f t="shared" si="55"/>
        <v>Error?</v>
      </c>
    </row>
    <row r="3585" spans="1:4" x14ac:dyDescent="0.2">
      <c r="A3585" s="12">
        <v>3524</v>
      </c>
      <c r="B3585" s="138">
        <f>'Acct Summary 7-8'!K75</f>
        <v>32275</v>
      </c>
      <c r="D3585" s="2" t="str">
        <f t="shared" si="55"/>
        <v>Error?</v>
      </c>
    </row>
    <row r="3586" spans="1:4" x14ac:dyDescent="0.2">
      <c r="A3586" s="5">
        <v>3525</v>
      </c>
      <c r="B3586" s="138">
        <f>'Acct Summary 7-8'!K76</f>
        <v>32275</v>
      </c>
      <c r="C3586" s="2" t="s">
        <v>593</v>
      </c>
      <c r="D3586" s="2" t="str">
        <f t="shared" si="55"/>
        <v>Error?</v>
      </c>
    </row>
    <row r="3587" spans="1:4" x14ac:dyDescent="0.2">
      <c r="A3587" s="5">
        <v>3526</v>
      </c>
      <c r="B3587" s="138">
        <f>'Acct Summary 7-8'!K77</f>
        <v>3115495</v>
      </c>
      <c r="C3587" s="2" t="s">
        <v>593</v>
      </c>
      <c r="D3587" s="2" t="str">
        <f t="shared" si="55"/>
        <v>Error?</v>
      </c>
    </row>
    <row r="3588" spans="1:4" x14ac:dyDescent="0.2">
      <c r="A3588" s="5">
        <v>3527</v>
      </c>
      <c r="B3588" s="138">
        <f>'Acct Summary 7-8'!K78</f>
        <v>3109088</v>
      </c>
      <c r="C3588" s="2" t="s">
        <v>593</v>
      </c>
      <c r="D3588" s="2" t="str">
        <f t="shared" si="55"/>
        <v>Error?</v>
      </c>
    </row>
    <row r="3589" spans="1:4" x14ac:dyDescent="0.2">
      <c r="A3589" s="5">
        <v>3528</v>
      </c>
      <c r="B3589" s="138">
        <f>'Acct Summary 7-8'!K79</f>
        <v>874144</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3983232</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593</v>
      </c>
      <c r="D3621" s="2" t="str">
        <f t="shared" si="55"/>
        <v>Error?</v>
      </c>
    </row>
    <row r="3622" spans="1:4" x14ac:dyDescent="0.2">
      <c r="A3622" s="5">
        <v>3561</v>
      </c>
      <c r="B3622" s="138">
        <f>'Expenditures 15-22'!C367</f>
        <v>0</v>
      </c>
      <c r="C3622" s="2" t="s">
        <v>593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593</v>
      </c>
      <c r="D3628" s="2" t="str">
        <f t="shared" si="55"/>
        <v>Error?</v>
      </c>
    </row>
    <row r="3629" spans="1:4" x14ac:dyDescent="0.2">
      <c r="A3629" s="5">
        <v>3568</v>
      </c>
      <c r="B3629" s="138">
        <f>'Expenditures 15-22'!D367</f>
        <v>0</v>
      </c>
      <c r="C3629" s="2" t="s">
        <v>593</v>
      </c>
      <c r="D3629" s="2" t="str">
        <f t="shared" si="55"/>
        <v>Error?</v>
      </c>
    </row>
    <row r="3630" spans="1:4" x14ac:dyDescent="0.2">
      <c r="A3630" s="10">
        <v>3569</v>
      </c>
      <c r="D3630" s="2" t="str">
        <f t="shared" si="55"/>
        <v>OK</v>
      </c>
    </row>
    <row r="3631" spans="1:4" x14ac:dyDescent="0.2">
      <c r="A3631" s="5">
        <v>3570</v>
      </c>
      <c r="B3631" s="138">
        <f>'Expenditures 15-22'!E348</f>
        <v>166046</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166046</v>
      </c>
      <c r="C3633" s="2" t="s">
        <v>593</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166046</v>
      </c>
      <c r="C3635" s="2" t="s">
        <v>593</v>
      </c>
      <c r="D3635" s="2" t="str">
        <f t="shared" si="55"/>
        <v>Error?</v>
      </c>
    </row>
    <row r="3636" spans="1:4" x14ac:dyDescent="0.2">
      <c r="A3636" s="5">
        <v>3575</v>
      </c>
      <c r="B3636" s="138">
        <f>'Expenditures 15-22'!E367</f>
        <v>166046</v>
      </c>
      <c r="C3636" s="2" t="s">
        <v>593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593</v>
      </c>
      <c r="D3642" s="2" t="str">
        <f t="shared" si="55"/>
        <v>Error?</v>
      </c>
    </row>
    <row r="3643" spans="1:4" x14ac:dyDescent="0.2">
      <c r="A3643" s="5">
        <v>3582</v>
      </c>
      <c r="B3643" s="138">
        <f>'Expenditures 15-22'!F367</f>
        <v>0</v>
      </c>
      <c r="C3643" s="2" t="s">
        <v>593</v>
      </c>
      <c r="D3643" s="2" t="str">
        <f t="shared" si="55"/>
        <v>Error?</v>
      </c>
    </row>
    <row r="3644" spans="1:4" x14ac:dyDescent="0.2">
      <c r="A3644" s="10">
        <v>3583</v>
      </c>
      <c r="D3644" s="2" t="str">
        <f t="shared" si="55"/>
        <v>OK</v>
      </c>
    </row>
    <row r="3645" spans="1:4" x14ac:dyDescent="0.2">
      <c r="A3645" s="5">
        <v>3584</v>
      </c>
      <c r="B3645" s="138">
        <f>'Expenditures 15-22'!G348</f>
        <v>140873</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140873</v>
      </c>
      <c r="C3647" s="2" t="s">
        <v>593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140873</v>
      </c>
      <c r="C3649" s="2" t="s">
        <v>593</v>
      </c>
      <c r="D3649" s="2" t="str">
        <f t="shared" si="56"/>
        <v>Error?</v>
      </c>
    </row>
    <row r="3650" spans="1:4" x14ac:dyDescent="0.2">
      <c r="A3650" s="5">
        <v>3589</v>
      </c>
      <c r="B3650" s="138">
        <f>'Expenditures 15-22'!G367</f>
        <v>140873</v>
      </c>
      <c r="C3650" s="2" t="s">
        <v>593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306919</v>
      </c>
      <c r="C3668" s="2" t="s">
        <v>593</v>
      </c>
      <c r="D3668" s="2" t="str">
        <f t="shared" si="56"/>
        <v>Error?</v>
      </c>
    </row>
    <row r="3669" spans="1:4" x14ac:dyDescent="0.2">
      <c r="A3669" s="5">
        <v>3608</v>
      </c>
      <c r="B3669" s="138">
        <f>'Expenditures 15-22'!K349</f>
        <v>0</v>
      </c>
      <c r="C3669" s="2" t="s">
        <v>593</v>
      </c>
      <c r="D3669" s="2" t="str">
        <f t="shared" si="56"/>
        <v>Error?</v>
      </c>
    </row>
    <row r="3670" spans="1:4" x14ac:dyDescent="0.2">
      <c r="A3670" s="5">
        <v>3609</v>
      </c>
      <c r="B3670" s="138">
        <f>'Expenditures 15-22'!K350</f>
        <v>306919</v>
      </c>
      <c r="C3670" s="2" t="s">
        <v>593</v>
      </c>
      <c r="D3670" s="2" t="str">
        <f t="shared" si="56"/>
        <v>Error?</v>
      </c>
    </row>
    <row r="3671" spans="1:4" x14ac:dyDescent="0.2">
      <c r="A3671" s="5">
        <v>3610</v>
      </c>
      <c r="B3671" s="138">
        <f>'Expenditures 15-22'!K351</f>
        <v>0</v>
      </c>
      <c r="C3671" s="2" t="s">
        <v>593</v>
      </c>
      <c r="D3671" s="2" t="str">
        <f t="shared" si="56"/>
        <v>Error?</v>
      </c>
    </row>
    <row r="3672" spans="1:4" x14ac:dyDescent="0.2">
      <c r="A3672" s="5">
        <v>3611</v>
      </c>
      <c r="B3672" s="138">
        <f>'Expenditures 15-22'!K352</f>
        <v>306919</v>
      </c>
      <c r="C3672" s="2" t="s">
        <v>593</v>
      </c>
      <c r="D3672" s="2" t="str">
        <f t="shared" si="56"/>
        <v>Error?</v>
      </c>
    </row>
    <row r="3673" spans="1:4" x14ac:dyDescent="0.2">
      <c r="A3673" s="5">
        <v>3612</v>
      </c>
      <c r="B3673" s="138">
        <f>'Expenditures 15-22'!K354</f>
        <v>0</v>
      </c>
      <c r="C3673" s="2" t="s">
        <v>593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306919</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-6407</v>
      </c>
      <c r="C3681" s="2" t="s">
        <v>593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593</v>
      </c>
      <c r="D3688" s="2" t="str">
        <f t="shared" si="56"/>
        <v>Error?</v>
      </c>
    </row>
    <row r="3689" spans="1:4" x14ac:dyDescent="0.2">
      <c r="A3689" s="5">
        <v>3628</v>
      </c>
      <c r="B3689" s="138">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593</v>
      </c>
      <c r="D3702" s="2" t="str">
        <f t="shared" si="56"/>
        <v>Error?</v>
      </c>
    </row>
    <row r="3703" spans="1:4" x14ac:dyDescent="0.2">
      <c r="A3703" s="5">
        <v>3642</v>
      </c>
      <c r="B3703" s="138">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593</v>
      </c>
      <c r="D3717" s="2" t="str">
        <f t="shared" si="57"/>
        <v>Error?</v>
      </c>
    </row>
    <row r="3718" spans="1:4" x14ac:dyDescent="0.2">
      <c r="A3718" s="5">
        <v>3657</v>
      </c>
      <c r="B3718" s="138">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593</v>
      </c>
      <c r="D3722" s="2" t="str">
        <f t="shared" si="57"/>
        <v>Error?</v>
      </c>
    </row>
    <row r="3723" spans="1:4" x14ac:dyDescent="0.2">
      <c r="A3723" s="5">
        <v>3662</v>
      </c>
      <c r="B3723" s="138">
        <f>'Expenditures 15-22'!K283</f>
        <v>0</v>
      </c>
      <c r="C3723" s="2" t="s">
        <v>593</v>
      </c>
      <c r="D3723" s="2" t="str">
        <f t="shared" si="57"/>
        <v>Error?</v>
      </c>
    </row>
    <row r="3724" spans="1:4" x14ac:dyDescent="0.2">
      <c r="A3724" s="5">
        <v>3663</v>
      </c>
      <c r="B3724" s="138">
        <f>'Expenditures 15-22'!K285</f>
        <v>0</v>
      </c>
      <c r="C3724" s="2" t="s">
        <v>593</v>
      </c>
      <c r="D3724" s="2" t="str">
        <f t="shared" si="57"/>
        <v>Error?</v>
      </c>
    </row>
    <row r="3725" spans="1:4" x14ac:dyDescent="0.2">
      <c r="A3725" s="5">
        <v>3664</v>
      </c>
      <c r="B3725" s="138">
        <f>'Tax Sched 23'!B13</f>
        <v>278859</v>
      </c>
      <c r="C3725" s="2" t="s">
        <v>593</v>
      </c>
      <c r="D3725" s="2" t="str">
        <f t="shared" si="57"/>
        <v>Error?</v>
      </c>
    </row>
    <row r="3726" spans="1:4" x14ac:dyDescent="0.2">
      <c r="A3726" s="5">
        <v>3665</v>
      </c>
      <c r="B3726" s="138">
        <f>'Tax Sched 23'!D13</f>
        <v>278859</v>
      </c>
      <c r="C3726" s="2" t="s">
        <v>593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286786</v>
      </c>
      <c r="C3728" s="2" t="s">
        <v>593</v>
      </c>
      <c r="D3728" s="2" t="str">
        <f t="shared" si="57"/>
        <v>Error?</v>
      </c>
    </row>
    <row r="3729" spans="1:4" x14ac:dyDescent="0.2">
      <c r="A3729" s="5">
        <v>3668</v>
      </c>
      <c r="B3729" s="138">
        <f>'Tax Sched 23'!E13</f>
        <v>286786</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593</v>
      </c>
      <c r="D4098" s="2" t="str">
        <f t="shared" si="63"/>
        <v>OK</v>
      </c>
    </row>
    <row r="4099" spans="1:4" x14ac:dyDescent="0.2">
      <c r="A4099" s="5">
        <v>4038</v>
      </c>
      <c r="B4099" s="138">
        <f>'Expenditures 15-22'!K307</f>
        <v>0</v>
      </c>
      <c r="C4099" s="2" t="s">
        <v>593</v>
      </c>
      <c r="D4099" s="2" t="str">
        <f t="shared" si="63"/>
        <v>Error?</v>
      </c>
    </row>
    <row r="4100" spans="1:4" x14ac:dyDescent="0.2">
      <c r="A4100" s="5">
        <v>4039</v>
      </c>
      <c r="B4100" s="138">
        <f>'Expenditures 15-22'!K308</f>
        <v>0</v>
      </c>
      <c r="C4100" s="2" t="s">
        <v>593</v>
      </c>
      <c r="D4100" s="2" t="str">
        <f t="shared" si="63"/>
        <v>Error?</v>
      </c>
    </row>
    <row r="4101" spans="1:4" x14ac:dyDescent="0.2">
      <c r="A4101" s="10">
        <v>4040</v>
      </c>
      <c r="C4101" s="2" t="s">
        <v>593</v>
      </c>
      <c r="D4101" s="2" t="str">
        <f t="shared" si="63"/>
        <v>OK</v>
      </c>
    </row>
    <row r="4102" spans="1:4" x14ac:dyDescent="0.2">
      <c r="A4102" s="5">
        <v>4041</v>
      </c>
      <c r="B4102" s="138">
        <f>'Tax Sched 23'!B17</f>
        <v>0</v>
      </c>
      <c r="C4102" s="2" t="s">
        <v>593</v>
      </c>
      <c r="D4102" s="2" t="str">
        <f t="shared" si="63"/>
        <v>Error?</v>
      </c>
    </row>
    <row r="4103" spans="1:4" x14ac:dyDescent="0.2">
      <c r="A4103" s="5">
        <v>4042</v>
      </c>
      <c r="B4103" s="138">
        <f>'Tax Sched 23'!B18</f>
        <v>0</v>
      </c>
      <c r="C4103" s="2" t="s">
        <v>593</v>
      </c>
      <c r="D4103" s="2" t="str">
        <f t="shared" si="63"/>
        <v>Error?</v>
      </c>
    </row>
    <row r="4104" spans="1:4" x14ac:dyDescent="0.2">
      <c r="A4104" s="5">
        <v>4043</v>
      </c>
      <c r="B4104" s="138">
        <f>'Tax Sched 23'!D17</f>
        <v>0</v>
      </c>
      <c r="C4104" s="2" t="s">
        <v>593</v>
      </c>
      <c r="D4104" s="2" t="str">
        <f t="shared" si="63"/>
        <v>Error?</v>
      </c>
    </row>
    <row r="4105" spans="1:4" x14ac:dyDescent="0.2">
      <c r="A4105" s="5">
        <v>4044</v>
      </c>
      <c r="B4105" s="138">
        <f>'Tax Sched 23'!D18</f>
        <v>0</v>
      </c>
      <c r="C4105" s="2" t="s">
        <v>593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593</v>
      </c>
      <c r="D4108" s="2" t="str">
        <f t="shared" si="63"/>
        <v>Error?</v>
      </c>
    </row>
    <row r="4109" spans="1:4" x14ac:dyDescent="0.2">
      <c r="A4109" s="5">
        <v>4048</v>
      </c>
      <c r="B4109" s="138">
        <f>'Tax Sched 23'!F18</f>
        <v>0</v>
      </c>
      <c r="C4109" s="2" t="s">
        <v>593</v>
      </c>
      <c r="D4109" s="2" t="str">
        <f t="shared" si="63"/>
        <v>Error?</v>
      </c>
    </row>
    <row r="4110" spans="1:4" x14ac:dyDescent="0.2">
      <c r="A4110" s="5">
        <v>4049</v>
      </c>
      <c r="B4110" s="138">
        <f>'Tax Sched 23'!E17</f>
        <v>0</v>
      </c>
      <c r="C4110" s="2" t="s">
        <v>593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6016526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19268507</v>
      </c>
      <c r="C4122" s="2" t="s">
        <v>593</v>
      </c>
      <c r="D4122" s="2" t="str">
        <f t="shared" si="63"/>
        <v>Error?</v>
      </c>
    </row>
    <row r="4123" spans="1:4" x14ac:dyDescent="0.2">
      <c r="A4123" s="5">
        <v>4062</v>
      </c>
      <c r="B4123" s="138">
        <f>'Acct Summary 7-8'!D10</f>
        <v>1752057</v>
      </c>
      <c r="C4123" s="2" t="s">
        <v>593</v>
      </c>
      <c r="D4123" s="2" t="str">
        <f t="shared" si="63"/>
        <v>Error?</v>
      </c>
    </row>
    <row r="4124" spans="1:4" x14ac:dyDescent="0.2">
      <c r="A4124" s="5">
        <v>4063</v>
      </c>
      <c r="B4124" s="138">
        <f>'Acct Summary 7-8'!E10</f>
        <v>2728658</v>
      </c>
      <c r="C4124" s="2" t="s">
        <v>593</v>
      </c>
      <c r="D4124" s="2" t="str">
        <f t="shared" si="63"/>
        <v>Error?</v>
      </c>
    </row>
    <row r="4125" spans="1:4" x14ac:dyDescent="0.2">
      <c r="A4125" s="5">
        <v>4064</v>
      </c>
      <c r="B4125" s="138">
        <f>'Acct Summary 7-8'!F10</f>
        <v>1234204</v>
      </c>
      <c r="C4125" s="2" t="s">
        <v>593</v>
      </c>
      <c r="D4125" s="2" t="str">
        <f t="shared" si="63"/>
        <v>Error?</v>
      </c>
    </row>
    <row r="4126" spans="1:4" x14ac:dyDescent="0.2">
      <c r="A4126" s="5">
        <v>4065</v>
      </c>
      <c r="B4126" s="138">
        <f>'Acct Summary 7-8'!G10</f>
        <v>613957</v>
      </c>
      <c r="C4126" s="2" t="s">
        <v>593</v>
      </c>
      <c r="D4126" s="2" t="str">
        <f t="shared" si="63"/>
        <v>Error?</v>
      </c>
    </row>
    <row r="4127" spans="1:4" x14ac:dyDescent="0.2">
      <c r="A4127" s="5">
        <v>4066</v>
      </c>
      <c r="B4127" s="138">
        <f>'Acct Summary 7-8'!H10</f>
        <v>623044</v>
      </c>
      <c r="C4127" s="2" t="s">
        <v>593</v>
      </c>
      <c r="D4127" s="2" t="str">
        <f t="shared" si="63"/>
        <v>Error?</v>
      </c>
    </row>
    <row r="4128" spans="1:4" x14ac:dyDescent="0.2">
      <c r="A4128" s="5">
        <v>4067</v>
      </c>
      <c r="B4128" s="138">
        <f>'Acct Summary 7-8'!I10</f>
        <v>326258</v>
      </c>
      <c r="C4128" s="2" t="s">
        <v>593</v>
      </c>
      <c r="D4128" s="2" t="str">
        <f t="shared" si="63"/>
        <v>Error?</v>
      </c>
    </row>
    <row r="4129" spans="1:4" x14ac:dyDescent="0.2">
      <c r="A4129" s="10">
        <v>4068</v>
      </c>
      <c r="C4129" s="2" t="s">
        <v>593</v>
      </c>
      <c r="D4129" s="2" t="str">
        <f t="shared" si="63"/>
        <v>OK</v>
      </c>
    </row>
    <row r="4130" spans="1:4" x14ac:dyDescent="0.2">
      <c r="A4130" s="5">
        <v>4069</v>
      </c>
      <c r="B4130" s="138">
        <f>'Acct Summary 7-8'!K10</f>
        <v>300512</v>
      </c>
      <c r="C4130" s="2" t="s">
        <v>593</v>
      </c>
      <c r="D4130" s="2" t="str">
        <f t="shared" si="63"/>
        <v>Error?</v>
      </c>
    </row>
    <row r="4131" spans="1:4" x14ac:dyDescent="0.2">
      <c r="A4131" s="5">
        <v>4070</v>
      </c>
      <c r="B4131" s="138">
        <f>'Acct Summary 7-8'!C18</f>
        <v>6016526</v>
      </c>
      <c r="C4131" s="2" t="s">
        <v>593</v>
      </c>
      <c r="D4131" s="2" t="str">
        <f t="shared" si="63"/>
        <v>Error?</v>
      </c>
    </row>
    <row r="4132" spans="1:4" x14ac:dyDescent="0.2">
      <c r="A4132" s="5">
        <v>4071</v>
      </c>
      <c r="B4132" s="138">
        <f>'Acct Summary 7-8'!D18</f>
        <v>0</v>
      </c>
      <c r="C4132" s="2" t="s">
        <v>593</v>
      </c>
      <c r="D4132" s="2" t="str">
        <f t="shared" si="63"/>
        <v>Error?</v>
      </c>
    </row>
    <row r="4133" spans="1:4" x14ac:dyDescent="0.2">
      <c r="A4133" s="5">
        <v>4072</v>
      </c>
      <c r="B4133" s="138">
        <f>'Acct Summary 7-8'!F18</f>
        <v>0</v>
      </c>
      <c r="C4133" s="2" t="s">
        <v>593</v>
      </c>
      <c r="D4133" s="2" t="str">
        <f t="shared" si="63"/>
        <v>Error?</v>
      </c>
    </row>
    <row r="4134" spans="1:4" x14ac:dyDescent="0.2">
      <c r="A4134" s="5">
        <v>4073</v>
      </c>
      <c r="B4134" s="138">
        <f>'Acct Summary 7-8'!H18</f>
        <v>0</v>
      </c>
      <c r="C4134" s="2" t="s">
        <v>593</v>
      </c>
      <c r="D4134" s="2" t="str">
        <f t="shared" si="63"/>
        <v>Error?</v>
      </c>
    </row>
    <row r="4135" spans="1:4" x14ac:dyDescent="0.2">
      <c r="A4135" s="5">
        <v>4074</v>
      </c>
      <c r="B4135" s="138">
        <f>'Acct Summary 7-8'!K18</f>
        <v>0</v>
      </c>
      <c r="C4135" s="2" t="s">
        <v>593</v>
      </c>
      <c r="D4135" s="2" t="str">
        <f t="shared" si="63"/>
        <v>Error?</v>
      </c>
    </row>
    <row r="4136" spans="1:4" x14ac:dyDescent="0.2">
      <c r="A4136" s="5">
        <v>4075</v>
      </c>
      <c r="B4136" s="138">
        <f>'Acct Summary 7-8'!C19</f>
        <v>19858756</v>
      </c>
      <c r="C4136" s="2" t="s">
        <v>593</v>
      </c>
      <c r="D4136" s="2" t="str">
        <f t="shared" si="63"/>
        <v>Error?</v>
      </c>
    </row>
    <row r="4137" spans="1:4" x14ac:dyDescent="0.2">
      <c r="A4137" s="5">
        <v>4076</v>
      </c>
      <c r="B4137" s="138">
        <f>'Acct Summary 7-8'!D19</f>
        <v>1483779</v>
      </c>
      <c r="C4137" s="2" t="s">
        <v>593</v>
      </c>
      <c r="D4137" s="2" t="str">
        <f t="shared" si="63"/>
        <v>Error?</v>
      </c>
    </row>
    <row r="4138" spans="1:4" x14ac:dyDescent="0.2">
      <c r="A4138" s="5">
        <v>4077</v>
      </c>
      <c r="B4138" s="138">
        <f>'Acct Summary 7-8'!E19</f>
        <v>2799130</v>
      </c>
      <c r="C4138" s="2" t="s">
        <v>593</v>
      </c>
      <c r="D4138" s="2" t="str">
        <f t="shared" si="63"/>
        <v>Error?</v>
      </c>
    </row>
    <row r="4139" spans="1:4" x14ac:dyDescent="0.2">
      <c r="A4139" s="5">
        <v>4078</v>
      </c>
      <c r="B4139" s="138">
        <f>'Acct Summary 7-8'!F19</f>
        <v>1084203</v>
      </c>
      <c r="C4139" s="2" t="s">
        <v>593</v>
      </c>
      <c r="D4139" s="2" t="str">
        <f t="shared" si="63"/>
        <v>Error?</v>
      </c>
    </row>
    <row r="4140" spans="1:4" x14ac:dyDescent="0.2">
      <c r="A4140" s="5">
        <v>4079</v>
      </c>
      <c r="B4140" s="138">
        <f>'Acct Summary 7-8'!G19</f>
        <v>441148</v>
      </c>
      <c r="C4140" s="2" t="s">
        <v>593</v>
      </c>
      <c r="D4140" s="2" t="str">
        <f t="shared" si="63"/>
        <v>Error?</v>
      </c>
    </row>
    <row r="4141" spans="1:4" x14ac:dyDescent="0.2">
      <c r="A4141" s="5">
        <v>4080</v>
      </c>
      <c r="B4141" s="138">
        <f>'Acct Summary 7-8'!H19</f>
        <v>115572</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8">
        <f>'Acct Summary 7-8'!K19</f>
        <v>306919</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593</v>
      </c>
      <c r="D4156" s="2" t="str">
        <f t="shared" si="63"/>
        <v>Error?</v>
      </c>
    </row>
    <row r="4157" spans="1:4" x14ac:dyDescent="0.2">
      <c r="A4157" s="5">
        <v>4096</v>
      </c>
      <c r="B4157" s="138">
        <f>'Expenditures 15-22'!K204</f>
        <v>0</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8">
        <f>'Short-Term Long-Term Debt 24'!I49</f>
        <v>13143842</v>
      </c>
      <c r="C4171" s="2" t="s">
        <v>593</v>
      </c>
      <c r="D4171" s="2" t="str">
        <f t="shared" si="64"/>
        <v>Error?</v>
      </c>
    </row>
    <row r="4172" spans="1:4" x14ac:dyDescent="0.2">
      <c r="A4172" s="5">
        <v>4111</v>
      </c>
      <c r="B4172" s="138">
        <f>'Short-Term Long-Term Debt 24'!J49</f>
        <v>13137800</v>
      </c>
      <c r="C4172" s="2" t="s">
        <v>593</v>
      </c>
      <c r="D4172" s="2" t="str">
        <f t="shared" si="64"/>
        <v>Error?</v>
      </c>
    </row>
    <row r="4173" spans="1:4" x14ac:dyDescent="0.2">
      <c r="A4173" s="5">
        <v>4112</v>
      </c>
      <c r="B4173" s="138">
        <f>'Short-Term Long-Term Debt 24'!H49</f>
        <v>2571912</v>
      </c>
      <c r="C4173" s="2" t="s">
        <v>593</v>
      </c>
      <c r="D4173" s="2" t="str">
        <f t="shared" si="64"/>
        <v>Error?</v>
      </c>
    </row>
    <row r="4174" spans="1:4" x14ac:dyDescent="0.2">
      <c r="A4174" s="10">
        <v>4113</v>
      </c>
      <c r="C4174" s="2" t="s">
        <v>593</v>
      </c>
      <c r="D4174" s="2" t="str">
        <f t="shared" si="64"/>
        <v>OK</v>
      </c>
    </row>
    <row r="4175" spans="1:4" x14ac:dyDescent="0.2">
      <c r="A4175" s="5">
        <v>4114</v>
      </c>
      <c r="B4175" s="138">
        <f>'Acct Summary 7-8'!E18</f>
        <v>0</v>
      </c>
      <c r="C4175" s="2" t="s">
        <v>593</v>
      </c>
      <c r="D4175" s="2" t="str">
        <f t="shared" si="64"/>
        <v>Error?</v>
      </c>
    </row>
    <row r="4176" spans="1:4" x14ac:dyDescent="0.2">
      <c r="A4176" s="5">
        <v>4115</v>
      </c>
      <c r="B4176" s="138">
        <f>'Acct Summary 7-8'!G18</f>
        <v>0</v>
      </c>
      <c r="C4176" s="2" t="s">
        <v>593</v>
      </c>
      <c r="D4176" s="2" t="str">
        <f t="shared" si="64"/>
        <v>Error?</v>
      </c>
    </row>
    <row r="4177" spans="1:4" x14ac:dyDescent="0.2">
      <c r="A4177" s="5">
        <v>4116</v>
      </c>
      <c r="B4177" s="138">
        <f>'Short-Term Long-Term Debt 24'!G49</f>
        <v>117860</v>
      </c>
      <c r="D4177" s="2" t="str">
        <f t="shared" si="64"/>
        <v>Error?</v>
      </c>
    </row>
    <row r="4178" spans="1:4" x14ac:dyDescent="0.2">
      <c r="A4178" s="10">
        <v>4117</v>
      </c>
      <c r="C4178" s="2" t="s">
        <v>593</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593</v>
      </c>
      <c r="D4202" s="2" t="str">
        <f t="shared" si="64"/>
        <v>Error?</v>
      </c>
    </row>
    <row r="4203" spans="1:4" x14ac:dyDescent="0.2">
      <c r="A4203" s="5">
        <v>4142</v>
      </c>
      <c r="B4203" s="138">
        <f>'Expenditures 15-22'!E139</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1270</v>
      </c>
      <c r="C4265" s="2" t="s">
        <v>593</v>
      </c>
      <c r="D4265" s="2" t="str">
        <f t="shared" si="65"/>
        <v>Error?</v>
      </c>
      <c r="E4265" s="128"/>
    </row>
    <row r="4266" spans="1:5" x14ac:dyDescent="0.2">
      <c r="A4266" s="12">
        <v>4205</v>
      </c>
      <c r="B4266" s="138">
        <f>('FP Info 3'!F10)*100000</f>
        <v>250</v>
      </c>
      <c r="C4266" s="2" t="s">
        <v>593</v>
      </c>
      <c r="D4266" s="2" t="str">
        <f t="shared" si="65"/>
        <v>Error?</v>
      </c>
      <c r="E4266" s="128"/>
    </row>
    <row r="4267" spans="1:5" x14ac:dyDescent="0.2">
      <c r="A4267" s="12">
        <v>4206</v>
      </c>
      <c r="B4267" s="138">
        <f>('FP Info 3'!H10)*100000</f>
        <v>119.99999999999999</v>
      </c>
      <c r="C4267" s="2" t="s">
        <v>593</v>
      </c>
      <c r="D4267" s="2" t="str">
        <f t="shared" si="65"/>
        <v>Error?</v>
      </c>
      <c r="E4267" s="128"/>
    </row>
    <row r="4268" spans="1:5" x14ac:dyDescent="0.2">
      <c r="A4268" s="12">
        <v>4207</v>
      </c>
      <c r="B4268" s="138">
        <f>('FP Info 3'!J10)*100000</f>
        <v>1640.0000000000002</v>
      </c>
      <c r="C4268" s="2" t="s">
        <v>593</v>
      </c>
      <c r="D4268" s="2" t="str">
        <f t="shared" si="65"/>
        <v>Error?</v>
      </c>
    </row>
    <row r="4269" spans="1:5" x14ac:dyDescent="0.2">
      <c r="A4269" s="12">
        <v>4208</v>
      </c>
      <c r="B4269" s="138">
        <f>'FP Info 3'!J16</f>
        <v>13714082</v>
      </c>
      <c r="C4269" s="2" t="s">
        <v>593</v>
      </c>
      <c r="D4269" s="2" t="str">
        <f t="shared" si="65"/>
        <v>Error?</v>
      </c>
    </row>
    <row r="4270" spans="1:5" x14ac:dyDescent="0.2">
      <c r="A4270" s="12">
        <v>4209</v>
      </c>
      <c r="B4270" s="138">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593</v>
      </c>
      <c r="D4357" s="2" t="str">
        <f t="shared" si="67"/>
        <v>Error?</v>
      </c>
    </row>
    <row r="4358" spans="1:4" x14ac:dyDescent="0.2">
      <c r="A4358" s="5">
        <v>4297</v>
      </c>
      <c r="B4358" s="138">
        <f>'Revenues 9-14'!C270</f>
        <v>19712</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11637</v>
      </c>
      <c r="D4362" s="2" t="str">
        <f t="shared" si="67"/>
        <v>Error?</v>
      </c>
    </row>
    <row r="4363" spans="1:4" x14ac:dyDescent="0.2">
      <c r="A4363" s="5">
        <v>4302</v>
      </c>
      <c r="B4363" s="138">
        <f>'Revenues 9-14'!I172</f>
        <v>0</v>
      </c>
      <c r="C4363" s="2" t="s">
        <v>593</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593</v>
      </c>
      <c r="D4372" s="2" t="str">
        <f t="shared" si="67"/>
        <v>Error?</v>
      </c>
    </row>
    <row r="4373" spans="1:4" x14ac:dyDescent="0.2">
      <c r="A4373" s="5">
        <v>4312</v>
      </c>
      <c r="B4373" s="138">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593</v>
      </c>
      <c r="D4395" s="2" t="str">
        <f t="shared" si="67"/>
        <v>Error?</v>
      </c>
    </row>
    <row r="4396" spans="1:4" x14ac:dyDescent="0.2">
      <c r="A4396" s="5">
        <v>4335</v>
      </c>
      <c r="B4396" s="138">
        <f>'Revenues 9-14'!D191</f>
        <v>0</v>
      </c>
      <c r="C4396" s="2" t="s">
        <v>593</v>
      </c>
      <c r="D4396" s="2" t="str">
        <f t="shared" si="67"/>
        <v>Error?</v>
      </c>
    </row>
    <row r="4397" spans="1:4" x14ac:dyDescent="0.2">
      <c r="A4397" s="5">
        <v>4336</v>
      </c>
      <c r="B4397" s="138">
        <f>'Revenues 9-14'!F191</f>
        <v>0</v>
      </c>
      <c r="C4397" s="2" t="s">
        <v>593</v>
      </c>
      <c r="D4397" s="2" t="str">
        <f t="shared" si="67"/>
        <v>Error?</v>
      </c>
    </row>
    <row r="4398" spans="1:4" x14ac:dyDescent="0.2">
      <c r="A4398" s="5">
        <v>4337</v>
      </c>
      <c r="B4398" s="138">
        <f>'Revenues 9-14'!G191</f>
        <v>0</v>
      </c>
      <c r="C4398" s="2" t="s">
        <v>593</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593</v>
      </c>
      <c r="D4411" s="2" t="str">
        <f t="shared" si="67"/>
        <v>Error?</v>
      </c>
    </row>
    <row r="4412" spans="1:4" x14ac:dyDescent="0.2">
      <c r="A4412" s="5">
        <v>4351</v>
      </c>
      <c r="B4412" s="138">
        <f>'Revenues 9-14'!D216</f>
        <v>0</v>
      </c>
      <c r="C4412" s="2" t="s">
        <v>593</v>
      </c>
      <c r="D4412" s="2" t="str">
        <f t="shared" si="67"/>
        <v>Error?</v>
      </c>
    </row>
    <row r="4413" spans="1:4" x14ac:dyDescent="0.2">
      <c r="A4413" s="5">
        <v>4352</v>
      </c>
      <c r="B4413" s="138">
        <f>'Revenues 9-14'!F216</f>
        <v>0</v>
      </c>
      <c r="C4413" s="2" t="s">
        <v>593</v>
      </c>
      <c r="D4413" s="2" t="str">
        <f t="shared" si="67"/>
        <v>Error?</v>
      </c>
    </row>
    <row r="4414" spans="1:4" x14ac:dyDescent="0.2">
      <c r="A4414" s="5">
        <v>4353</v>
      </c>
      <c r="B4414" s="138">
        <f>'Revenues 9-14'!G216</f>
        <v>0</v>
      </c>
      <c r="C4414" s="2" t="s">
        <v>593</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74809</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593</v>
      </c>
      <c r="D4434" s="2" t="str">
        <f t="shared" si="68"/>
        <v>Error?</v>
      </c>
    </row>
    <row r="4435" spans="1:5" x14ac:dyDescent="0.2">
      <c r="A4435" s="5">
        <v>4374</v>
      </c>
      <c r="B4435" s="138">
        <f>'Revenues 9-14'!I274</f>
        <v>0</v>
      </c>
      <c r="C4435" s="2" t="s">
        <v>593</v>
      </c>
      <c r="D4435" s="2" t="str">
        <f t="shared" si="68"/>
        <v>Error?</v>
      </c>
    </row>
    <row r="4436" spans="1:5" x14ac:dyDescent="0.2">
      <c r="A4436" s="10">
        <v>4375</v>
      </c>
      <c r="C4436" s="2" t="s">
        <v>593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593</v>
      </c>
      <c r="D4441" s="2" t="str">
        <f t="shared" si="68"/>
        <v>Error?</v>
      </c>
    </row>
    <row r="4442" spans="1:5" x14ac:dyDescent="0.2">
      <c r="A4442" s="5">
        <v>4381</v>
      </c>
      <c r="B4442" s="138">
        <f>'Revenues 9-14'!K273</f>
        <v>0</v>
      </c>
      <c r="C4442" s="2" t="s">
        <v>593</v>
      </c>
      <c r="D4442" s="2" t="str">
        <f t="shared" si="68"/>
        <v>Error?</v>
      </c>
    </row>
    <row r="4443" spans="1:5" x14ac:dyDescent="0.2">
      <c r="A4443" s="5">
        <v>4382</v>
      </c>
      <c r="B4443" s="138">
        <f>'Acct Summary 7-8'!E7</f>
        <v>0</v>
      </c>
      <c r="C4443" s="2" t="s">
        <v>593</v>
      </c>
      <c r="D4443" s="2" t="str">
        <f t="shared" si="68"/>
        <v>Error?</v>
      </c>
    </row>
    <row r="4444" spans="1:5" x14ac:dyDescent="0.2">
      <c r="A4444" s="5">
        <v>4383</v>
      </c>
      <c r="B4444" s="138">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225711</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12563</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279</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593</v>
      </c>
      <c r="D4950" s="2" t="str">
        <f t="shared" si="76"/>
        <v>Error?</v>
      </c>
    </row>
    <row r="4951" spans="1:4" x14ac:dyDescent="0.2">
      <c r="A4951" s="5">
        <v>4890</v>
      </c>
      <c r="B4951" s="138">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724102306</v>
      </c>
      <c r="D4995" s="2" t="str">
        <f t="shared" si="77"/>
        <v>Error?</v>
      </c>
    </row>
    <row r="4996" spans="1:4" x14ac:dyDescent="0.2">
      <c r="A4996" s="12">
        <v>4935</v>
      </c>
      <c r="B4996" s="138">
        <f>'FP Info 3'!H31</f>
        <v>49963059.114000008</v>
      </c>
      <c r="D4996" s="2" t="str">
        <f t="shared" si="77"/>
        <v>Error?</v>
      </c>
    </row>
    <row r="4997" spans="1:4" x14ac:dyDescent="0.2">
      <c r="A4997" s="12">
        <v>4936</v>
      </c>
      <c r="B4997" s="138">
        <f>'FP Info 3'!H37</f>
        <v>13143842</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8">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8">
        <f>'Acct Summary 7-8'!I6</f>
        <v>0</v>
      </c>
      <c r="C5011" s="2" t="s">
        <v>593</v>
      </c>
      <c r="D5011" s="2" t="str">
        <f t="shared" si="77"/>
        <v>Error?</v>
      </c>
    </row>
    <row r="5012" spans="1:4" x14ac:dyDescent="0.2">
      <c r="A5012" s="5">
        <v>4951</v>
      </c>
      <c r="B5012" s="138">
        <f>'Acct Summary 7-8'!C27</f>
        <v>0</v>
      </c>
      <c r="C5012" s="2" t="s">
        <v>593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593</v>
      </c>
      <c r="D5025" s="2" t="str">
        <f t="shared" si="77"/>
        <v>OK</v>
      </c>
    </row>
    <row r="5026" spans="1:4" x14ac:dyDescent="0.2">
      <c r="A5026" s="5">
        <v>4965</v>
      </c>
      <c r="B5026" s="138">
        <f>'Revenues 9-14'!C6</f>
        <v>278859</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7084481</v>
      </c>
      <c r="D5061" s="2" t="str">
        <f t="shared" si="78"/>
        <v>Error?</v>
      </c>
    </row>
    <row r="5062" spans="1:4" x14ac:dyDescent="0.2">
      <c r="A5062" s="10">
        <v>5001</v>
      </c>
      <c r="D5062" s="2" t="str">
        <f t="shared" si="78"/>
        <v>OK</v>
      </c>
    </row>
    <row r="5063" spans="1:4" x14ac:dyDescent="0.2">
      <c r="A5063" s="5">
        <v>5002</v>
      </c>
      <c r="B5063" s="138">
        <f>'Revenues 9-14'!C7</f>
        <v>111544</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7474884</v>
      </c>
      <c r="C5066" s="2" t="s">
        <v>593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992093</v>
      </c>
      <c r="D5069" s="2" t="str">
        <f t="shared" si="78"/>
        <v>Error?</v>
      </c>
    </row>
    <row r="5070" spans="1:4" x14ac:dyDescent="0.2">
      <c r="A5070" s="5">
        <v>5009</v>
      </c>
      <c r="B5070" s="138">
        <f>'Revenues 9-14'!C17</f>
        <v>0</v>
      </c>
      <c r="D5070" s="2" t="str">
        <f t="shared" si="78"/>
        <v>Error?</v>
      </c>
    </row>
    <row r="5071" spans="1:4" x14ac:dyDescent="0.2">
      <c r="A5071" s="5">
        <v>5010</v>
      </c>
      <c r="B5071" s="138">
        <f>'Revenues 9-14'!C18</f>
        <v>992093</v>
      </c>
      <c r="C5071" s="2" t="s">
        <v>593</v>
      </c>
      <c r="D5071" s="2" t="str">
        <f t="shared" si="78"/>
        <v>Error?</v>
      </c>
    </row>
    <row r="5072" spans="1:4" x14ac:dyDescent="0.2">
      <c r="A5072" s="5">
        <v>5011</v>
      </c>
      <c r="B5072" s="138">
        <f>'Revenues 9-14'!C20</f>
        <v>1225</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5250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6475</v>
      </c>
      <c r="C5087" s="2" t="s">
        <v>593</v>
      </c>
      <c r="D5087" s="2" t="str">
        <f t="shared" si="78"/>
        <v>Error?</v>
      </c>
    </row>
    <row r="5088" spans="1:4" x14ac:dyDescent="0.2">
      <c r="A5088" s="5">
        <v>5027</v>
      </c>
      <c r="B5088" s="138">
        <f>'Revenues 9-14'!C65</f>
        <v>109294</v>
      </c>
      <c r="D5088" s="2" t="str">
        <f t="shared" si="78"/>
        <v>Error?</v>
      </c>
    </row>
    <row r="5089" spans="1:4" x14ac:dyDescent="0.2">
      <c r="A5089" s="5">
        <v>5028</v>
      </c>
      <c r="B5089" s="138">
        <f>'Revenues 9-14'!C66</f>
        <v>65</v>
      </c>
      <c r="D5089" s="2" t="str">
        <f t="shared" si="78"/>
        <v>Error?</v>
      </c>
    </row>
    <row r="5090" spans="1:4" x14ac:dyDescent="0.2">
      <c r="A5090" s="5">
        <v>5029</v>
      </c>
      <c r="B5090" s="138">
        <f>'Revenues 9-14'!C67</f>
        <v>109359</v>
      </c>
      <c r="C5090" s="2" t="s">
        <v>593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524255</v>
      </c>
      <c r="D5092" s="2" t="str">
        <f t="shared" si="78"/>
        <v>Error?</v>
      </c>
    </row>
    <row r="5093" spans="1:4" x14ac:dyDescent="0.2">
      <c r="A5093" s="5">
        <v>5032</v>
      </c>
      <c r="B5093" s="138">
        <f>'Revenues 9-14'!C72</f>
        <v>3185</v>
      </c>
      <c r="D5093" s="2" t="str">
        <f t="shared" si="78"/>
        <v>Error?</v>
      </c>
    </row>
    <row r="5094" spans="1:4" x14ac:dyDescent="0.2">
      <c r="A5094" s="5">
        <v>5033</v>
      </c>
      <c r="B5094" s="138">
        <f>'Revenues 9-14'!C73</f>
        <v>0</v>
      </c>
      <c r="D5094" s="2" t="str">
        <f t="shared" si="78"/>
        <v>Error?</v>
      </c>
    </row>
    <row r="5095" spans="1:4" x14ac:dyDescent="0.2">
      <c r="A5095" s="5">
        <v>5034</v>
      </c>
      <c r="B5095" s="138">
        <f>'Revenues 9-14'!C74</f>
        <v>22298</v>
      </c>
      <c r="D5095" s="2" t="str">
        <f t="shared" si="78"/>
        <v>Error?</v>
      </c>
    </row>
    <row r="5096" spans="1:4" x14ac:dyDescent="0.2">
      <c r="A5096" s="5">
        <v>5035</v>
      </c>
      <c r="B5096" s="138">
        <f>'Revenues 9-14'!C75</f>
        <v>549738</v>
      </c>
      <c r="C5096" s="2" t="s">
        <v>593</v>
      </c>
      <c r="D5096" s="2" t="str">
        <f t="shared" si="78"/>
        <v>Error?</v>
      </c>
    </row>
    <row r="5097" spans="1:4" x14ac:dyDescent="0.2">
      <c r="A5097" s="5">
        <v>5036</v>
      </c>
      <c r="B5097" s="138">
        <f>'Revenues 9-14'!C77</f>
        <v>73986</v>
      </c>
      <c r="D5097" s="2" t="str">
        <f t="shared" si="78"/>
        <v>Error?</v>
      </c>
    </row>
    <row r="5098" spans="1:4" x14ac:dyDescent="0.2">
      <c r="A5098" s="5">
        <v>5037</v>
      </c>
      <c r="B5098" s="138">
        <f>'Revenues 9-14'!C78</f>
        <v>12630</v>
      </c>
      <c r="D5098" s="2" t="str">
        <f t="shared" si="78"/>
        <v>Error?</v>
      </c>
    </row>
    <row r="5099" spans="1:4" x14ac:dyDescent="0.2">
      <c r="A5099" s="5">
        <v>5038</v>
      </c>
      <c r="B5099" s="138">
        <f>'Revenues 9-14'!C79</f>
        <v>52742</v>
      </c>
      <c r="D5099" s="2" t="str">
        <f t="shared" si="78"/>
        <v>Error?</v>
      </c>
    </row>
    <row r="5100" spans="1:4" x14ac:dyDescent="0.2">
      <c r="A5100" s="5">
        <v>5039</v>
      </c>
      <c r="B5100" s="138">
        <f>'Revenues 9-14'!C80</f>
        <v>4627</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143985</v>
      </c>
      <c r="C5102" s="2" t="s">
        <v>593</v>
      </c>
      <c r="D5102" s="2" t="str">
        <f t="shared" si="78"/>
        <v>Error?</v>
      </c>
    </row>
    <row r="5103" spans="1:4" x14ac:dyDescent="0.2">
      <c r="A5103" s="5">
        <v>5042</v>
      </c>
      <c r="B5103" s="138">
        <f>'Revenues 9-14'!C84</f>
        <v>118345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665</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119010</v>
      </c>
      <c r="C5112" s="2" t="s">
        <v>593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9554</v>
      </c>
      <c r="D5114" s="2" t="str">
        <f t="shared" si="78"/>
        <v>Error?</v>
      </c>
    </row>
    <row r="5115" spans="1:4" x14ac:dyDescent="0.2">
      <c r="A5115" s="5">
        <v>5054</v>
      </c>
      <c r="B5115" s="138">
        <f>'Revenues 9-14'!C98</f>
        <v>0</v>
      </c>
      <c r="D5115" s="2" t="str">
        <f t="shared" si="78"/>
        <v>Error?</v>
      </c>
    </row>
    <row r="5116" spans="1:4" x14ac:dyDescent="0.2">
      <c r="A5116" s="5">
        <v>5055</v>
      </c>
      <c r="B5116" s="138">
        <f>'Revenues 9-14'!C99</f>
        <v>23930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1892</v>
      </c>
      <c r="D5118" s="2" t="str">
        <f t="shared" si="78"/>
        <v>Error?</v>
      </c>
    </row>
    <row r="5119" spans="1:4" x14ac:dyDescent="0.2">
      <c r="A5119" s="5">
        <v>5058</v>
      </c>
      <c r="B5119" s="138">
        <f>'Revenues 9-14'!C107</f>
        <v>7198</v>
      </c>
      <c r="D5119" s="2" t="str">
        <f t="shared" ref="D5119:D5182" si="79">IF(ISBLANK(B5119),"OK",IF(A5119-B5119=0,"OK","Error?"))</f>
        <v>Error?</v>
      </c>
    </row>
    <row r="5120" spans="1:4" x14ac:dyDescent="0.2">
      <c r="A5120" s="5">
        <v>5059</v>
      </c>
      <c r="B5120" s="138">
        <f>'Revenues 9-14'!C108</f>
        <v>68224</v>
      </c>
      <c r="C5120" s="2" t="s">
        <v>593</v>
      </c>
      <c r="D5120" s="2" t="str">
        <f t="shared" si="79"/>
        <v>Error?</v>
      </c>
    </row>
    <row r="5121" spans="1:4" x14ac:dyDescent="0.2">
      <c r="A5121" s="5">
        <v>5060</v>
      </c>
      <c r="B5121" s="138">
        <f>'Revenues 9-14'!C109</f>
        <v>9463768</v>
      </c>
      <c r="C5121" s="2" t="s">
        <v>593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593</v>
      </c>
      <c r="D5125" s="2" t="str">
        <f t="shared" si="79"/>
        <v>Error?</v>
      </c>
    </row>
    <row r="5126" spans="1:4" x14ac:dyDescent="0.2">
      <c r="A5126" s="5">
        <v>5065</v>
      </c>
      <c r="B5126" s="138">
        <f>'Revenues 9-14'!C117</f>
        <v>2307554</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2307554</v>
      </c>
      <c r="C5132" s="2" t="s">
        <v>593</v>
      </c>
      <c r="D5132" s="2" t="str">
        <f t="shared" si="79"/>
        <v>Error?</v>
      </c>
    </row>
    <row r="5133" spans="1:4" x14ac:dyDescent="0.2">
      <c r="A5133" s="5">
        <v>5072</v>
      </c>
      <c r="B5133" s="138">
        <f>'Revenues 9-14'!C124</f>
        <v>292673</v>
      </c>
      <c r="D5133" s="2" t="str">
        <f t="shared" si="79"/>
        <v>Error?</v>
      </c>
    </row>
    <row r="5134" spans="1:4" x14ac:dyDescent="0.2">
      <c r="A5134" s="5">
        <v>5073</v>
      </c>
      <c r="B5134" s="138">
        <f>'Revenues 9-14'!C125</f>
        <v>93537</v>
      </c>
      <c r="D5134" s="2" t="str">
        <f t="shared" si="79"/>
        <v>Error?</v>
      </c>
    </row>
    <row r="5135" spans="1:4" x14ac:dyDescent="0.2">
      <c r="A5135" s="5">
        <v>5074</v>
      </c>
      <c r="B5135" s="138">
        <f>'Revenues 9-14'!C126</f>
        <v>147353</v>
      </c>
      <c r="D5135" s="2" t="str">
        <f t="shared" si="79"/>
        <v>Error?</v>
      </c>
    </row>
    <row r="5136" spans="1:4" x14ac:dyDescent="0.2">
      <c r="A5136" s="10">
        <v>5075</v>
      </c>
      <c r="D5136" s="2" t="str">
        <f t="shared" si="79"/>
        <v>OK</v>
      </c>
    </row>
    <row r="5137" spans="1:4" x14ac:dyDescent="0.2">
      <c r="A5137" s="5">
        <v>5076</v>
      </c>
      <c r="B5137" s="138">
        <f>'Revenues 9-14'!C127</f>
        <v>7971</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2363</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543897</v>
      </c>
      <c r="C5147" s="2" t="s">
        <v>593</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11958</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15675</v>
      </c>
      <c r="C5161" s="2" t="s">
        <v>593</v>
      </c>
      <c r="D5161" s="2" t="str">
        <f t="shared" si="79"/>
        <v>Error?</v>
      </c>
    </row>
    <row r="5162" spans="1:4" x14ac:dyDescent="0.2">
      <c r="A5162" s="10">
        <v>5101</v>
      </c>
      <c r="D5162" s="2" t="str">
        <f t="shared" si="79"/>
        <v>OK</v>
      </c>
    </row>
    <row r="5163" spans="1:4" x14ac:dyDescent="0.2">
      <c r="A5163" s="5">
        <v>5102</v>
      </c>
      <c r="B5163" s="138">
        <f>'Revenues 9-14'!C142</f>
        <v>1036</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1036</v>
      </c>
      <c r="C5165" s="2" t="s">
        <v>593</v>
      </c>
      <c r="D5165" s="2" t="str">
        <f t="shared" si="79"/>
        <v>Error?</v>
      </c>
    </row>
    <row r="5166" spans="1:4" x14ac:dyDescent="0.2">
      <c r="A5166" s="10">
        <v>5105</v>
      </c>
      <c r="D5166" s="2" t="str">
        <f t="shared" si="79"/>
        <v>OK</v>
      </c>
    </row>
    <row r="5167" spans="1:4" x14ac:dyDescent="0.2">
      <c r="A5167" s="5">
        <v>5106</v>
      </c>
      <c r="B5167" s="138">
        <f>'Revenues 9-14'!C145</f>
        <v>1065</v>
      </c>
      <c r="D5167" s="2" t="str">
        <f t="shared" si="79"/>
        <v>Error?</v>
      </c>
    </row>
    <row r="5168" spans="1:4" x14ac:dyDescent="0.2">
      <c r="A5168" s="5">
        <v>5107</v>
      </c>
      <c r="B5168" s="138">
        <f>'Revenues 9-14'!C147</f>
        <v>41998</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829382</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3136936</v>
      </c>
      <c r="C5223" s="2" t="s">
        <v>593</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593</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11623</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11623</v>
      </c>
      <c r="C5246" s="2" t="s">
        <v>593</v>
      </c>
      <c r="D5246" s="2" t="str">
        <f t="shared" si="80"/>
        <v>Error?</v>
      </c>
    </row>
    <row r="5247" spans="1:4" x14ac:dyDescent="0.2">
      <c r="A5247" s="5">
        <v>5186</v>
      </c>
      <c r="B5247" s="138">
        <f>'Revenues 9-14'!C203</f>
        <v>276273</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276273</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200141</v>
      </c>
      <c r="D5278" s="2" t="str">
        <f t="shared" si="81"/>
        <v>Error?</v>
      </c>
    </row>
    <row r="5279" spans="1:4" x14ac:dyDescent="0.2">
      <c r="A5279" s="5">
        <v>5218</v>
      </c>
      <c r="B5279" s="138">
        <f>'Revenues 9-14'!C221</f>
        <v>40346</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240487</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4173</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651277</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651277</v>
      </c>
      <c r="C5326" s="2" t="s">
        <v>593</v>
      </c>
      <c r="D5326" s="2" t="str">
        <f t="shared" si="82"/>
        <v>Error?</v>
      </c>
    </row>
    <row r="5327" spans="1:4" x14ac:dyDescent="0.2">
      <c r="A5327" s="5">
        <v>5266</v>
      </c>
      <c r="B5327" s="138">
        <f>'Revenues 9-14'!C275</f>
        <v>13251981</v>
      </c>
      <c r="C5327" s="2" t="s">
        <v>593</v>
      </c>
      <c r="D5327" s="2" t="str">
        <f t="shared" si="82"/>
        <v>Error?</v>
      </c>
    </row>
    <row r="5328" spans="1:4" x14ac:dyDescent="0.2">
      <c r="A5328" s="5">
        <v>5267</v>
      </c>
      <c r="B5328" s="138">
        <f>'Revenues 9-14'!D5</f>
        <v>1394306</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1394306</v>
      </c>
      <c r="C5334" s="2" t="s">
        <v>593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200000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200000</v>
      </c>
      <c r="C5339" s="2" t="s">
        <v>593</v>
      </c>
      <c r="D5339" s="2" t="str">
        <f t="shared" si="82"/>
        <v>Error?</v>
      </c>
    </row>
    <row r="5340" spans="1:4" x14ac:dyDescent="0.2">
      <c r="A5340" s="5">
        <v>5279</v>
      </c>
      <c r="B5340" s="138">
        <f>'Revenues 9-14'!D65</f>
        <v>8446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8446</v>
      </c>
      <c r="C5342" s="2" t="s">
        <v>593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12326</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12326</v>
      </c>
      <c r="C5348" s="2" t="s">
        <v>593</v>
      </c>
      <c r="D5348" s="2" t="str">
        <f t="shared" si="82"/>
        <v>Error?</v>
      </c>
    </row>
    <row r="5349" spans="1:4" x14ac:dyDescent="0.2">
      <c r="A5349" s="5">
        <v>5288</v>
      </c>
      <c r="B5349" s="138">
        <f>'Revenues 9-14'!D95</f>
        <v>13598</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111068</v>
      </c>
      <c r="D5352" s="2" t="str">
        <f t="shared" si="82"/>
        <v>Error?</v>
      </c>
    </row>
    <row r="5353" spans="1:4" x14ac:dyDescent="0.2">
      <c r="A5353" s="5">
        <v>5292</v>
      </c>
      <c r="B5353" s="138">
        <f>'Revenues 9-14'!D104</f>
        <v>1338</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136979</v>
      </c>
      <c r="C5355" s="2" t="s">
        <v>593</v>
      </c>
      <c r="D5355" s="2" t="str">
        <f t="shared" si="82"/>
        <v>Error?</v>
      </c>
    </row>
    <row r="5356" spans="1:4" x14ac:dyDescent="0.2">
      <c r="A5356" s="5">
        <v>5295</v>
      </c>
      <c r="B5356" s="138">
        <f>'Revenues 9-14'!D109</f>
        <v>1752057</v>
      </c>
      <c r="C5356" s="2" t="s">
        <v>593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593</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593</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593</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593</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593</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593</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593</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593</v>
      </c>
      <c r="D5507" s="2" t="str">
        <f t="shared" si="85"/>
        <v>Error?</v>
      </c>
    </row>
    <row r="5508" spans="1:4" x14ac:dyDescent="0.2">
      <c r="A5508" s="5">
        <v>5447</v>
      </c>
      <c r="B5508" s="138">
        <f>'Revenues 9-14'!D275</f>
        <v>1752057</v>
      </c>
      <c r="C5508" s="2" t="s">
        <v>593</v>
      </c>
      <c r="D5508" s="2" t="str">
        <f t="shared" si="85"/>
        <v>Error?</v>
      </c>
    </row>
    <row r="5509" spans="1:4" x14ac:dyDescent="0.2">
      <c r="A5509" s="5">
        <v>5448</v>
      </c>
      <c r="B5509" s="138">
        <f>'Revenues 9-14'!E5</f>
        <v>2724253</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2724253</v>
      </c>
      <c r="C5513" s="2" t="s">
        <v>593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593</v>
      </c>
      <c r="D5518" s="2" t="str">
        <f t="shared" si="85"/>
        <v>Error?</v>
      </c>
    </row>
    <row r="5519" spans="1:4" x14ac:dyDescent="0.2">
      <c r="A5519" s="5">
        <v>5458</v>
      </c>
      <c r="B5519" s="138">
        <f>'Revenues 9-14'!E65</f>
        <v>4405</v>
      </c>
      <c r="D5519" s="2" t="str">
        <f t="shared" si="85"/>
        <v>Error?</v>
      </c>
    </row>
    <row r="5520" spans="1:4" x14ac:dyDescent="0.2">
      <c r="A5520" s="5">
        <v>5459</v>
      </c>
      <c r="B5520" s="138">
        <f>'Revenues 9-14'!E66</f>
        <v>0</v>
      </c>
      <c r="D5520" s="2" t="str">
        <f t="shared" si="85"/>
        <v>Error?</v>
      </c>
    </row>
    <row r="5521" spans="1:4" x14ac:dyDescent="0.2">
      <c r="A5521" s="5">
        <v>5460</v>
      </c>
      <c r="B5521" s="138">
        <f>'Revenues 9-14'!E67</f>
        <v>4405</v>
      </c>
      <c r="C5521" s="2" t="s">
        <v>593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593</v>
      </c>
      <c r="D5526" s="2" t="str">
        <f t="shared" si="85"/>
        <v>Error?</v>
      </c>
    </row>
    <row r="5527" spans="1:4" x14ac:dyDescent="0.2">
      <c r="A5527" s="5">
        <v>5466</v>
      </c>
      <c r="B5527" s="138">
        <f>'Revenues 9-14'!E109</f>
        <v>2728658</v>
      </c>
      <c r="C5527" s="2" t="s">
        <v>593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2728658</v>
      </c>
      <c r="C5552" s="2" t="s">
        <v>593</v>
      </c>
      <c r="D5552" s="2" t="str">
        <f t="shared" si="85"/>
        <v>Error?</v>
      </c>
    </row>
    <row r="5553" spans="1:4" x14ac:dyDescent="0.2">
      <c r="A5553" s="5">
        <v>5492</v>
      </c>
      <c r="B5553" s="138">
        <f>'Revenues 9-14'!F5</f>
        <v>669268</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669268</v>
      </c>
      <c r="C5557" s="2" t="s">
        <v>593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593</v>
      </c>
      <c r="D5579" s="2" t="str">
        <f t="shared" si="86"/>
        <v>Error?</v>
      </c>
    </row>
    <row r="5580" spans="1:4" x14ac:dyDescent="0.2">
      <c r="A5580" s="5">
        <v>5519</v>
      </c>
      <c r="B5580" s="138">
        <f>'Revenues 9-14'!F65</f>
        <v>8984</v>
      </c>
      <c r="D5580" s="2" t="str">
        <f t="shared" si="86"/>
        <v>Error?</v>
      </c>
    </row>
    <row r="5581" spans="1:4" x14ac:dyDescent="0.2">
      <c r="A5581" s="5">
        <v>5520</v>
      </c>
      <c r="B5581" s="138">
        <f>'Revenues 9-14'!F66</f>
        <v>0</v>
      </c>
      <c r="D5581" s="2" t="str">
        <f t="shared" si="86"/>
        <v>Error?</v>
      </c>
    </row>
    <row r="5582" spans="1:4" x14ac:dyDescent="0.2">
      <c r="A5582" s="5">
        <v>5521</v>
      </c>
      <c r="B5582" s="138">
        <f>'Revenues 9-14'!F67</f>
        <v>8984</v>
      </c>
      <c r="C5582" s="2" t="s">
        <v>593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593</v>
      </c>
      <c r="D5587" s="2" t="str">
        <f t="shared" si="86"/>
        <v>Error?</v>
      </c>
    </row>
    <row r="5588" spans="1:4" x14ac:dyDescent="0.2">
      <c r="A5588" s="5">
        <v>5527</v>
      </c>
      <c r="B5588" s="138">
        <f>'Revenues 9-14'!F109</f>
        <v>678252</v>
      </c>
      <c r="C5588" s="2" t="s">
        <v>593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279</v>
      </c>
      <c r="C5599" s="2" t="s">
        <v>593</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593</v>
      </c>
      <c r="D5614" s="2" t="str">
        <f t="shared" si="86"/>
        <v>Error?</v>
      </c>
    </row>
    <row r="5615" spans="1:4" x14ac:dyDescent="0.2">
      <c r="A5615" s="5">
        <v>5554</v>
      </c>
      <c r="B5615" s="138">
        <f>'Revenues 9-14'!F151</f>
        <v>109419</v>
      </c>
      <c r="D5615" s="2" t="str">
        <f t="shared" si="86"/>
        <v>Error?</v>
      </c>
    </row>
    <row r="5616" spans="1:4" x14ac:dyDescent="0.2">
      <c r="A5616" s="10">
        <v>5555</v>
      </c>
      <c r="D5616" s="2" t="str">
        <f t="shared" si="86"/>
        <v>OK</v>
      </c>
    </row>
    <row r="5617" spans="1:4" x14ac:dyDescent="0.2">
      <c r="A5617" s="5">
        <v>5556</v>
      </c>
      <c r="B5617" s="138">
        <f>'Revenues 9-14'!F152</f>
        <v>446254</v>
      </c>
      <c r="D5617" s="2" t="str">
        <f t="shared" si="86"/>
        <v>Error?</v>
      </c>
    </row>
    <row r="5618" spans="1:4" x14ac:dyDescent="0.2">
      <c r="A5618" s="5">
        <v>5557</v>
      </c>
      <c r="B5618" s="138">
        <f>'Revenues 9-14'!F154</f>
        <v>555673</v>
      </c>
      <c r="C5618" s="2" t="s">
        <v>593</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555673</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555952</v>
      </c>
      <c r="C5653" s="2" t="s">
        <v>593</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593</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593</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593</v>
      </c>
      <c r="D5719" s="2" t="str">
        <f t="shared" si="88"/>
        <v>Error?</v>
      </c>
    </row>
    <row r="5720" spans="1:4" x14ac:dyDescent="0.2">
      <c r="A5720" s="5">
        <v>5659</v>
      </c>
      <c r="B5720" s="138">
        <f>'Revenues 9-14'!F275</f>
        <v>1234204</v>
      </c>
      <c r="C5720" s="2" t="s">
        <v>593</v>
      </c>
      <c r="D5720" s="2" t="str">
        <f t="shared" si="88"/>
        <v>Error?</v>
      </c>
    </row>
    <row r="5721" spans="1:4" x14ac:dyDescent="0.2">
      <c r="A5721" s="5">
        <v>5660</v>
      </c>
      <c r="B5721" s="138">
        <f>'Revenues 9-14'!G5</f>
        <v>261852</v>
      </c>
      <c r="D5721" s="2" t="str">
        <f t="shared" si="88"/>
        <v>Error?</v>
      </c>
    </row>
    <row r="5722" spans="1:4" x14ac:dyDescent="0.2">
      <c r="A5722" s="5">
        <v>5661</v>
      </c>
      <c r="B5722" s="138">
        <f>'Revenues 9-14'!G7</f>
        <v>0</v>
      </c>
      <c r="D5722" s="2" t="str">
        <f t="shared" si="88"/>
        <v>Error?</v>
      </c>
    </row>
    <row r="5723" spans="1:4" x14ac:dyDescent="0.2">
      <c r="A5723" s="5">
        <v>5662</v>
      </c>
      <c r="B5723" s="138">
        <f>'Revenues 9-14'!G8</f>
        <v>261852</v>
      </c>
      <c r="D5723" s="2" t="str">
        <f t="shared" si="88"/>
        <v>Error?</v>
      </c>
    </row>
    <row r="5724" spans="1:4" x14ac:dyDescent="0.2">
      <c r="A5724" s="5">
        <v>5663</v>
      </c>
      <c r="B5724" s="138">
        <f>'Revenues 9-14'!G11</f>
        <v>0</v>
      </c>
      <c r="D5724" s="2" t="str">
        <f t="shared" si="88"/>
        <v>Error?</v>
      </c>
    </row>
    <row r="5725" spans="1:4" x14ac:dyDescent="0.2">
      <c r="A5725" s="5">
        <v>5664</v>
      </c>
      <c r="B5725" s="138">
        <f>'Revenues 9-14'!G12</f>
        <v>523704</v>
      </c>
      <c r="C5725" s="2" t="s">
        <v>593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80272</v>
      </c>
      <c r="D5728" s="2" t="str">
        <f t="shared" si="88"/>
        <v>Error?</v>
      </c>
    </row>
    <row r="5729" spans="1:4" x14ac:dyDescent="0.2">
      <c r="A5729" s="5">
        <v>5668</v>
      </c>
      <c r="B5729" s="138">
        <f>'Revenues 9-14'!G17</f>
        <v>0</v>
      </c>
      <c r="D5729" s="2" t="str">
        <f t="shared" si="88"/>
        <v>Error?</v>
      </c>
    </row>
    <row r="5730" spans="1:4" x14ac:dyDescent="0.2">
      <c r="A5730" s="5">
        <v>5669</v>
      </c>
      <c r="B5730" s="138">
        <f>'Revenues 9-14'!G18</f>
        <v>80272</v>
      </c>
      <c r="C5730" s="2" t="s">
        <v>593</v>
      </c>
      <c r="D5730" s="2" t="str">
        <f t="shared" si="88"/>
        <v>Error?</v>
      </c>
    </row>
    <row r="5731" spans="1:4" x14ac:dyDescent="0.2">
      <c r="A5731" s="5">
        <v>5670</v>
      </c>
      <c r="B5731" s="138">
        <f>'Revenues 9-14'!G65</f>
        <v>9981</v>
      </c>
      <c r="D5731" s="2" t="str">
        <f t="shared" si="88"/>
        <v>Error?</v>
      </c>
    </row>
    <row r="5732" spans="1:4" x14ac:dyDescent="0.2">
      <c r="A5732" s="5">
        <v>5671</v>
      </c>
      <c r="B5732" s="138">
        <f>'Revenues 9-14'!G66</f>
        <v>0</v>
      </c>
      <c r="D5732" s="2" t="str">
        <f t="shared" si="88"/>
        <v>Error?</v>
      </c>
    </row>
    <row r="5733" spans="1:4" x14ac:dyDescent="0.2">
      <c r="A5733" s="5">
        <v>5672</v>
      </c>
      <c r="B5733" s="138">
        <f>'Revenues 9-14'!G67</f>
        <v>9981</v>
      </c>
      <c r="C5733" s="2" t="s">
        <v>593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593</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593</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593</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593</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593</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593</v>
      </c>
      <c r="D5869" s="2" t="str">
        <f t="shared" si="90"/>
        <v>Error?</v>
      </c>
    </row>
    <row r="5870" spans="1:4" x14ac:dyDescent="0.2">
      <c r="A5870" s="5">
        <v>5809</v>
      </c>
      <c r="B5870" s="138">
        <f>'Revenues 9-14'!G275</f>
        <v>613957</v>
      </c>
      <c r="C5870" s="2" t="s">
        <v>593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593</v>
      </c>
      <c r="D5878" s="2" t="str">
        <f t="shared" si="90"/>
        <v>Error?</v>
      </c>
    </row>
    <row r="5879" spans="1:4" x14ac:dyDescent="0.2">
      <c r="A5879" s="5">
        <v>5818</v>
      </c>
      <c r="B5879" s="138">
        <f>'Revenues 9-14'!H65</f>
        <v>38586</v>
      </c>
      <c r="D5879" s="2" t="str">
        <f t="shared" si="90"/>
        <v>Error?</v>
      </c>
    </row>
    <row r="5880" spans="1:4" x14ac:dyDescent="0.2">
      <c r="A5880" s="5">
        <v>5819</v>
      </c>
      <c r="B5880" s="138">
        <f>'Revenues 9-14'!H66</f>
        <v>0</v>
      </c>
      <c r="D5880" s="2" t="str">
        <f t="shared" si="90"/>
        <v>Error?</v>
      </c>
    </row>
    <row r="5881" spans="1:4" x14ac:dyDescent="0.2">
      <c r="A5881" s="5">
        <v>5820</v>
      </c>
      <c r="B5881" s="138">
        <f>'Revenues 9-14'!H67</f>
        <v>38586</v>
      </c>
      <c r="C5881" s="2" t="s">
        <v>593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584458</v>
      </c>
      <c r="C5886" s="2" t="s">
        <v>593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593</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593</v>
      </c>
      <c r="D5914" s="2" t="str">
        <f t="shared" si="91"/>
        <v>Error?</v>
      </c>
    </row>
    <row r="5915" spans="1:4" x14ac:dyDescent="0.2">
      <c r="A5915" s="5">
        <v>5854</v>
      </c>
      <c r="B5915" s="138">
        <f>'Revenues 9-14'!H275</f>
        <v>623044</v>
      </c>
      <c r="C5915" s="2" t="s">
        <v>593</v>
      </c>
      <c r="D5915" s="2" t="str">
        <f t="shared" si="91"/>
        <v>Error?</v>
      </c>
    </row>
    <row r="5916" spans="1:4" x14ac:dyDescent="0.2">
      <c r="A5916" s="5">
        <v>5855</v>
      </c>
      <c r="B5916" s="138">
        <f>'Revenues 9-14'!I5</f>
        <v>278859</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278859</v>
      </c>
      <c r="C5918" s="2" t="s">
        <v>593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593</v>
      </c>
      <c r="D5923" s="2" t="str">
        <f t="shared" si="91"/>
        <v>Error?</v>
      </c>
    </row>
    <row r="5924" spans="1:4" x14ac:dyDescent="0.2">
      <c r="A5924" s="5">
        <v>5863</v>
      </c>
      <c r="B5924" s="138">
        <f>'Revenues 9-14'!I65</f>
        <v>47399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47399</v>
      </c>
      <c r="C5926" s="2" t="s">
        <v>593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326258</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8">
        <f>'Revenues 9-14'!K5</f>
        <v>278859</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278859</v>
      </c>
      <c r="C5987" s="2" t="s">
        <v>593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593</v>
      </c>
      <c r="D5992" s="2" t="str">
        <f t="shared" si="92"/>
        <v>Error?</v>
      </c>
    </row>
    <row r="5993" spans="1:4" x14ac:dyDescent="0.2">
      <c r="A5993" s="5">
        <v>5932</v>
      </c>
      <c r="B5993" s="138">
        <f>'Revenues 9-14'!K65</f>
        <v>21653</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21653</v>
      </c>
      <c r="C5995" s="2" t="s">
        <v>593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593</v>
      </c>
      <c r="D6022" s="2" t="str">
        <f t="shared" si="93"/>
        <v>Error?</v>
      </c>
    </row>
    <row r="6023" spans="1:5" x14ac:dyDescent="0.2">
      <c r="A6023" s="5">
        <v>5962</v>
      </c>
      <c r="B6023" s="138">
        <f>'Revenues 9-14'!K275</f>
        <v>300512</v>
      </c>
      <c r="C6023" s="2" t="s">
        <v>593</v>
      </c>
      <c r="D6023" s="2" t="str">
        <f t="shared" si="93"/>
        <v>Error?</v>
      </c>
    </row>
    <row r="6024" spans="1:5" x14ac:dyDescent="0.2">
      <c r="A6024" s="5">
        <v>5963</v>
      </c>
      <c r="B6024" s="138">
        <f>'Revenues 9-14'!G109</f>
        <v>613957</v>
      </c>
      <c r="C6024" s="2" t="s">
        <v>593</v>
      </c>
      <c r="D6024" s="2" t="str">
        <f t="shared" si="93"/>
        <v>Error?</v>
      </c>
    </row>
    <row r="6025" spans="1:5" x14ac:dyDescent="0.2">
      <c r="A6025" s="5">
        <v>5964</v>
      </c>
      <c r="B6025" s="138">
        <f>'Revenues 9-14'!H109</f>
        <v>623044</v>
      </c>
      <c r="C6025" s="2" t="s">
        <v>593</v>
      </c>
      <c r="D6025" s="2" t="str">
        <f t="shared" si="93"/>
        <v>Error?</v>
      </c>
    </row>
    <row r="6026" spans="1:5" x14ac:dyDescent="0.2">
      <c r="A6026" s="5">
        <v>5965</v>
      </c>
      <c r="B6026" s="138">
        <f>'Revenues 9-14'!I109</f>
        <v>326258</v>
      </c>
      <c r="C6026" s="2" t="s">
        <v>593</v>
      </c>
      <c r="D6026" s="2" t="str">
        <f t="shared" si="93"/>
        <v>Error?</v>
      </c>
    </row>
    <row r="6027" spans="1:5" x14ac:dyDescent="0.2">
      <c r="A6027" s="10">
        <v>5966</v>
      </c>
      <c r="C6027" s="2" t="s">
        <v>593</v>
      </c>
      <c r="D6027" s="2" t="str">
        <f t="shared" si="93"/>
        <v>OK</v>
      </c>
    </row>
    <row r="6028" spans="1:5" x14ac:dyDescent="0.2">
      <c r="A6028" s="5">
        <v>5967</v>
      </c>
      <c r="B6028" s="138">
        <f>'Revenues 9-14'!K109</f>
        <v>300512</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9"/>
      <c r="C6034" s="2" t="s">
        <v>593</v>
      </c>
      <c r="D6034" s="2" t="str">
        <f t="shared" si="93"/>
        <v>OK</v>
      </c>
      <c r="E6034" s="2" t="s">
        <v>776</v>
      </c>
    </row>
    <row r="6035" spans="1:5" x14ac:dyDescent="0.2">
      <c r="A6035" s="13">
        <v>5974</v>
      </c>
      <c r="B6035" s="139">
        <f>'ICR Computation 30'!E11</f>
        <v>0</v>
      </c>
      <c r="C6035" s="2" t="s">
        <v>593</v>
      </c>
      <c r="D6035" s="2" t="str">
        <f t="shared" si="93"/>
        <v>Error?</v>
      </c>
      <c r="E6035" s="2" t="s">
        <v>976</v>
      </c>
    </row>
    <row r="6036" spans="1:5" x14ac:dyDescent="0.2">
      <c r="A6036" s="35">
        <v>5975</v>
      </c>
      <c r="B6036" s="139"/>
      <c r="D6036" s="2" t="str">
        <f t="shared" si="93"/>
        <v>OK</v>
      </c>
      <c r="E6036" s="2" t="s">
        <v>976</v>
      </c>
    </row>
    <row r="6037" spans="1:5" x14ac:dyDescent="0.2">
      <c r="A6037" s="35">
        <v>5976</v>
      </c>
      <c r="B6037" s="139"/>
      <c r="D6037" s="2" t="str">
        <f t="shared" si="93"/>
        <v>OK</v>
      </c>
      <c r="E6037" s="2" t="s">
        <v>976</v>
      </c>
    </row>
    <row r="6038" spans="1:5" x14ac:dyDescent="0.2">
      <c r="A6038" s="35">
        <v>5977</v>
      </c>
      <c r="B6038" s="139"/>
      <c r="D6038" s="2" t="str">
        <f t="shared" si="93"/>
        <v>OK</v>
      </c>
      <c r="E6038" s="2" t="s">
        <v>976</v>
      </c>
    </row>
    <row r="6039" spans="1:5" x14ac:dyDescent="0.2">
      <c r="A6039" s="35">
        <v>5978</v>
      </c>
      <c r="B6039" s="139"/>
      <c r="D6039" s="2" t="str">
        <f t="shared" si="93"/>
        <v>OK</v>
      </c>
      <c r="E6039" s="2" t="s">
        <v>976</v>
      </c>
    </row>
    <row r="6040" spans="1:5" x14ac:dyDescent="0.2">
      <c r="A6040" s="35">
        <v>5979</v>
      </c>
      <c r="B6040" s="139"/>
      <c r="D6040" s="2" t="str">
        <f t="shared" si="93"/>
        <v>OK</v>
      </c>
      <c r="E6040" s="2" t="s">
        <v>976</v>
      </c>
    </row>
    <row r="6041" spans="1:5" x14ac:dyDescent="0.2">
      <c r="A6041" s="35">
        <v>5980</v>
      </c>
      <c r="B6041" s="139"/>
      <c r="D6041" s="2" t="str">
        <f t="shared" si="93"/>
        <v>OK</v>
      </c>
      <c r="E6041" s="2" t="s">
        <v>976</v>
      </c>
    </row>
    <row r="6042" spans="1:5" x14ac:dyDescent="0.2">
      <c r="A6042" s="35">
        <v>5981</v>
      </c>
      <c r="B6042" s="139"/>
      <c r="D6042" s="2" t="str">
        <f t="shared" si="93"/>
        <v>OK</v>
      </c>
      <c r="E6042" s="2" t="s">
        <v>976</v>
      </c>
    </row>
    <row r="6043" spans="1:5" x14ac:dyDescent="0.2">
      <c r="A6043" s="35">
        <v>5982</v>
      </c>
      <c r="B6043" s="139"/>
      <c r="D6043" s="2" t="str">
        <f t="shared" si="93"/>
        <v>OK</v>
      </c>
      <c r="E6043" s="2" t="s">
        <v>976</v>
      </c>
    </row>
    <row r="6044" spans="1:5" x14ac:dyDescent="0.2">
      <c r="A6044" s="35">
        <v>5983</v>
      </c>
      <c r="B6044" s="139"/>
      <c r="D6044" s="2" t="str">
        <f t="shared" si="93"/>
        <v>OK</v>
      </c>
      <c r="E6044" s="2" t="s">
        <v>976</v>
      </c>
    </row>
    <row r="6045" spans="1:5" x14ac:dyDescent="0.2">
      <c r="A6045" s="35">
        <v>5984</v>
      </c>
      <c r="B6045" s="139"/>
      <c r="D6045" s="2" t="str">
        <f t="shared" si="93"/>
        <v>OK</v>
      </c>
      <c r="E6045" s="2" t="s">
        <v>976</v>
      </c>
    </row>
    <row r="6046" spans="1:5" x14ac:dyDescent="0.2">
      <c r="A6046" s="35">
        <v>5985</v>
      </c>
      <c r="B6046" s="139"/>
      <c r="D6046" s="2" t="str">
        <f t="shared" si="93"/>
        <v>OK</v>
      </c>
      <c r="E6046" s="2" t="s">
        <v>976</v>
      </c>
    </row>
    <row r="6047" spans="1:5" x14ac:dyDescent="0.2">
      <c r="A6047" s="35">
        <v>5986</v>
      </c>
      <c r="B6047" s="139"/>
      <c r="D6047" s="2" t="str">
        <f t="shared" si="93"/>
        <v>OK</v>
      </c>
      <c r="E6047" s="2" t="s">
        <v>976</v>
      </c>
    </row>
    <row r="6048" spans="1:5" x14ac:dyDescent="0.2">
      <c r="A6048" s="35">
        <v>5987</v>
      </c>
      <c r="B6048" s="139"/>
      <c r="D6048" s="2" t="str">
        <f t="shared" si="93"/>
        <v>OK</v>
      </c>
      <c r="E6048" s="2" t="s">
        <v>976</v>
      </c>
    </row>
    <row r="6049" spans="1:5" x14ac:dyDescent="0.2">
      <c r="A6049" s="35">
        <v>5988</v>
      </c>
      <c r="B6049" s="139"/>
      <c r="D6049" s="2" t="str">
        <f t="shared" si="93"/>
        <v>OK</v>
      </c>
      <c r="E6049" s="2" t="s">
        <v>976</v>
      </c>
    </row>
    <row r="6050" spans="1:5" x14ac:dyDescent="0.2">
      <c r="A6050" s="35">
        <v>5989</v>
      </c>
      <c r="B6050" s="139"/>
      <c r="D6050" s="2" t="str">
        <f t="shared" si="93"/>
        <v>OK</v>
      </c>
      <c r="E6050" s="2" t="s">
        <v>976</v>
      </c>
    </row>
    <row r="6051" spans="1:5" x14ac:dyDescent="0.2">
      <c r="A6051" s="35">
        <v>5990</v>
      </c>
      <c r="B6051" s="139"/>
      <c r="D6051" s="2" t="str">
        <f t="shared" si="93"/>
        <v>OK</v>
      </c>
      <c r="E6051" s="2" t="s">
        <v>976</v>
      </c>
    </row>
    <row r="6052" spans="1:5" x14ac:dyDescent="0.2">
      <c r="A6052" s="35">
        <v>5991</v>
      </c>
      <c r="B6052" s="139"/>
      <c r="D6052" s="2" t="str">
        <f t="shared" si="93"/>
        <v>OK</v>
      </c>
      <c r="E6052" s="2" t="s">
        <v>976</v>
      </c>
    </row>
    <row r="6053" spans="1:5" x14ac:dyDescent="0.2">
      <c r="A6053" s="35">
        <v>5992</v>
      </c>
      <c r="B6053" s="139"/>
      <c r="D6053" s="2" t="str">
        <f t="shared" si="93"/>
        <v>OK</v>
      </c>
      <c r="E6053" s="2" t="s">
        <v>976</v>
      </c>
    </row>
    <row r="6054" spans="1:5" x14ac:dyDescent="0.2">
      <c r="A6054" s="35">
        <v>5993</v>
      </c>
      <c r="B6054" s="139"/>
      <c r="C6054" s="2" t="s">
        <v>593</v>
      </c>
      <c r="D6054" s="2" t="str">
        <f t="shared" si="93"/>
        <v>OK</v>
      </c>
      <c r="E6054" s="2" t="s">
        <v>976</v>
      </c>
    </row>
    <row r="6055" spans="1:5" x14ac:dyDescent="0.2">
      <c r="A6055" s="35">
        <v>5994</v>
      </c>
      <c r="B6055" s="139"/>
      <c r="D6055" s="2" t="str">
        <f t="shared" si="93"/>
        <v>OK</v>
      </c>
      <c r="E6055" s="2" t="s">
        <v>976</v>
      </c>
    </row>
    <row r="6056" spans="1:5" x14ac:dyDescent="0.2">
      <c r="A6056" s="35">
        <v>5995</v>
      </c>
      <c r="B6056" s="139"/>
      <c r="D6056" s="2" t="str">
        <f t="shared" si="93"/>
        <v>OK</v>
      </c>
      <c r="E6056" s="2" t="s">
        <v>976</v>
      </c>
    </row>
    <row r="6057" spans="1:5" x14ac:dyDescent="0.2">
      <c r="A6057" s="35">
        <v>5996</v>
      </c>
      <c r="B6057" s="139"/>
      <c r="D6057" s="2" t="str">
        <f t="shared" si="93"/>
        <v>OK</v>
      </c>
      <c r="E6057" s="2" t="s">
        <v>976</v>
      </c>
    </row>
    <row r="6058" spans="1:5" x14ac:dyDescent="0.2">
      <c r="A6058" s="35">
        <v>5997</v>
      </c>
      <c r="B6058" s="139"/>
      <c r="D6058" s="2" t="str">
        <f t="shared" si="93"/>
        <v>OK</v>
      </c>
      <c r="E6058" s="2" t="s">
        <v>976</v>
      </c>
    </row>
    <row r="6059" spans="1:5" x14ac:dyDescent="0.2">
      <c r="A6059" s="35">
        <v>5998</v>
      </c>
      <c r="B6059" s="139"/>
      <c r="D6059" s="2" t="str">
        <f t="shared" si="93"/>
        <v>OK</v>
      </c>
      <c r="E6059" s="2" t="s">
        <v>976</v>
      </c>
    </row>
    <row r="6060" spans="1:5" x14ac:dyDescent="0.2">
      <c r="A6060" s="35">
        <v>5999</v>
      </c>
      <c r="B6060" s="139"/>
      <c r="D6060" s="2" t="str">
        <f t="shared" si="93"/>
        <v>OK</v>
      </c>
      <c r="E6060" s="2" t="s">
        <v>976</v>
      </c>
    </row>
    <row r="6061" spans="1:5" x14ac:dyDescent="0.2">
      <c r="A6061" s="35">
        <v>6000</v>
      </c>
      <c r="B6061" s="139"/>
      <c r="D6061" s="2" t="str">
        <f t="shared" si="93"/>
        <v>OK</v>
      </c>
      <c r="E6061" s="2" t="s">
        <v>976</v>
      </c>
    </row>
    <row r="6062" spans="1:5" x14ac:dyDescent="0.2">
      <c r="A6062" s="35">
        <v>6001</v>
      </c>
      <c r="B6062" s="139"/>
      <c r="D6062" s="2" t="str">
        <f t="shared" si="93"/>
        <v>OK</v>
      </c>
      <c r="E6062" s="2" t="s">
        <v>976</v>
      </c>
    </row>
    <row r="6063" spans="1:5" x14ac:dyDescent="0.2">
      <c r="A6063" s="35">
        <v>6002</v>
      </c>
      <c r="B6063" s="139"/>
      <c r="D6063" s="2" t="str">
        <f t="shared" si="93"/>
        <v>OK</v>
      </c>
      <c r="E6063" s="2" t="s">
        <v>976</v>
      </c>
    </row>
    <row r="6064" spans="1:5" x14ac:dyDescent="0.2">
      <c r="A6064" s="35">
        <v>6003</v>
      </c>
      <c r="B6064" s="139"/>
      <c r="D6064" s="2" t="str">
        <f t="shared" si="93"/>
        <v>OK</v>
      </c>
      <c r="E6064" s="2" t="s">
        <v>976</v>
      </c>
    </row>
    <row r="6065" spans="1:5" x14ac:dyDescent="0.2">
      <c r="A6065" s="35">
        <v>6004</v>
      </c>
      <c r="B6065" s="139"/>
      <c r="D6065" s="2" t="str">
        <f t="shared" si="93"/>
        <v>OK</v>
      </c>
      <c r="E6065" s="2" t="s">
        <v>976</v>
      </c>
    </row>
    <row r="6066" spans="1:5" x14ac:dyDescent="0.2">
      <c r="A6066" s="35">
        <v>6005</v>
      </c>
      <c r="B6066" s="139"/>
      <c r="D6066" s="2" t="str">
        <f t="shared" si="93"/>
        <v>OK</v>
      </c>
      <c r="E6066" s="2" t="s">
        <v>976</v>
      </c>
    </row>
    <row r="6067" spans="1:5" x14ac:dyDescent="0.2">
      <c r="A6067" s="127">
        <v>6006</v>
      </c>
      <c r="B6067" s="139"/>
      <c r="D6067" s="2" t="str">
        <f t="shared" si="93"/>
        <v>OK</v>
      </c>
      <c r="E6067" s="2" t="s">
        <v>976</v>
      </c>
    </row>
    <row r="6068" spans="1:5" x14ac:dyDescent="0.2">
      <c r="A6068" s="127">
        <v>6007</v>
      </c>
      <c r="B6068" s="139"/>
      <c r="D6068" s="2" t="str">
        <f t="shared" si="93"/>
        <v>OK</v>
      </c>
      <c r="E6068" s="2" t="s">
        <v>976</v>
      </c>
    </row>
    <row r="6069" spans="1:5" x14ac:dyDescent="0.2">
      <c r="A6069" s="127">
        <v>6008</v>
      </c>
      <c r="B6069" s="139"/>
      <c r="D6069" s="2" t="str">
        <f t="shared" si="93"/>
        <v>OK</v>
      </c>
      <c r="E6069" s="2" t="s">
        <v>976</v>
      </c>
    </row>
    <row r="6070" spans="1:5" x14ac:dyDescent="0.2">
      <c r="A6070" s="127">
        <v>6009</v>
      </c>
      <c r="B6070" s="139"/>
      <c r="D6070" s="2" t="str">
        <f t="shared" si="93"/>
        <v>OK</v>
      </c>
      <c r="E6070" s="2" t="s">
        <v>976</v>
      </c>
    </row>
    <row r="6071" spans="1:5" x14ac:dyDescent="0.2">
      <c r="A6071" s="127">
        <v>6010</v>
      </c>
      <c r="B6071" s="139"/>
      <c r="D6071" s="2" t="str">
        <f t="shared" si="93"/>
        <v>OK</v>
      </c>
      <c r="E6071" s="2" t="s">
        <v>976</v>
      </c>
    </row>
    <row r="6072" spans="1:5" x14ac:dyDescent="0.2">
      <c r="A6072" s="127">
        <v>6011</v>
      </c>
      <c r="B6072" s="139"/>
      <c r="D6072" s="2" t="str">
        <f t="shared" si="93"/>
        <v>OK</v>
      </c>
      <c r="E6072" s="2" t="s">
        <v>976</v>
      </c>
    </row>
    <row r="6073" spans="1:5" x14ac:dyDescent="0.2">
      <c r="A6073" s="127">
        <v>6012</v>
      </c>
      <c r="B6073" s="139"/>
      <c r="C6073" s="2" t="s">
        <v>593</v>
      </c>
      <c r="D6073" s="2" t="str">
        <f t="shared" si="93"/>
        <v>OK</v>
      </c>
      <c r="E6073" s="2" t="s">
        <v>976</v>
      </c>
    </row>
    <row r="6074" spans="1:5" x14ac:dyDescent="0.2">
      <c r="A6074" s="8">
        <v>6013</v>
      </c>
      <c r="B6074" s="139">
        <f>'PCTC-OEPP 27-28'!F78</f>
        <v>1141.6600000000001</v>
      </c>
      <c r="D6074" s="2" t="str">
        <f t="shared" si="93"/>
        <v>Error?</v>
      </c>
      <c r="E6074" s="2" t="s">
        <v>986</v>
      </c>
    </row>
    <row r="6075" spans="1:5" x14ac:dyDescent="0.2">
      <c r="A6075" s="127">
        <v>6014</v>
      </c>
      <c r="B6075" s="139"/>
      <c r="D6075" s="2" t="str">
        <f t="shared" si="93"/>
        <v>OK</v>
      </c>
      <c r="E6075" s="2" t="s">
        <v>986</v>
      </c>
    </row>
    <row r="6076" spans="1:5" x14ac:dyDescent="0.2">
      <c r="A6076">
        <v>6015</v>
      </c>
      <c r="B6076" s="138">
        <f>'Short-Term Long-Term Debt 24'!C27</f>
        <v>0</v>
      </c>
      <c r="D6076" s="2" t="str">
        <f t="shared" si="93"/>
        <v>Error?</v>
      </c>
      <c r="E6076" s="2" t="s">
        <v>986</v>
      </c>
    </row>
    <row r="6077" spans="1:5" x14ac:dyDescent="0.2">
      <c r="A6077">
        <v>6016</v>
      </c>
      <c r="B6077" s="138">
        <f>'Short-Term Long-Term Debt 24'!D27</f>
        <v>0</v>
      </c>
      <c r="D6077" s="2" t="str">
        <f t="shared" si="93"/>
        <v>Error?</v>
      </c>
      <c r="E6077" s="2" t="s">
        <v>986</v>
      </c>
    </row>
    <row r="6078" spans="1:5" x14ac:dyDescent="0.2">
      <c r="A6078">
        <v>6017</v>
      </c>
      <c r="B6078" s="138">
        <f>'Short-Term Long-Term Debt 24'!E27</f>
        <v>0</v>
      </c>
      <c r="D6078" s="2" t="str">
        <f t="shared" si="93"/>
        <v>Error?</v>
      </c>
      <c r="E6078" s="2" t="s">
        <v>986</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502</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1274016</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17</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1882</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-10305</v>
      </c>
      <c r="D6169" s="2" t="str">
        <f t="shared" si="95"/>
        <v>Error?</v>
      </c>
      <c r="E6169" s="2" t="s">
        <v>199</v>
      </c>
    </row>
    <row r="6170" spans="1:5" x14ac:dyDescent="0.2">
      <c r="A6170">
        <v>6109</v>
      </c>
      <c r="B6170" s="138">
        <f>'Assets-Liab 5-6'!D30</f>
        <v>224</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1274016</v>
      </c>
      <c r="D6215" s="2" t="str">
        <f t="shared" si="96"/>
        <v>Error?</v>
      </c>
      <c r="E6215" s="2" t="s">
        <v>199</v>
      </c>
    </row>
    <row r="6216" spans="1:5" x14ac:dyDescent="0.2">
      <c r="A6216">
        <v>6155</v>
      </c>
      <c r="B6216" s="138">
        <f>'Assets-Liab 5-6'!J41</f>
        <v>1274016</v>
      </c>
      <c r="D6216" s="2" t="str">
        <f t="shared" si="96"/>
        <v>Error?</v>
      </c>
      <c r="E6216" s="2" t="s">
        <v>199</v>
      </c>
    </row>
    <row r="6217" spans="1:5" x14ac:dyDescent="0.2">
      <c r="A6217">
        <v>6156</v>
      </c>
      <c r="B6217" s="138">
        <f>'Assets-Liab 5-6'!J4</f>
        <v>450189</v>
      </c>
      <c r="D6217" s="2" t="str">
        <f t="shared" si="96"/>
        <v>Error?</v>
      </c>
      <c r="E6217" s="2" t="s">
        <v>199</v>
      </c>
    </row>
    <row r="6218" spans="1:5" x14ac:dyDescent="0.2">
      <c r="A6218">
        <v>6157</v>
      </c>
      <c r="B6218" s="138">
        <f>'Assets-Liab 5-6'!J5</f>
        <v>823827</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661542</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661542</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661542</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572225</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572225</v>
      </c>
      <c r="D6229" s="2" t="str">
        <f t="shared" si="96"/>
        <v>Error?</v>
      </c>
      <c r="E6229" s="2" t="s">
        <v>199</v>
      </c>
    </row>
    <row r="6230" spans="1:5" x14ac:dyDescent="0.2">
      <c r="A6230">
        <v>6169</v>
      </c>
      <c r="B6230" s="138">
        <f>'Acct Summary 7-8'!J20</f>
        <v>89317</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121913</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2381</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89317</v>
      </c>
      <c r="D6263" s="2" t="str">
        <f t="shared" si="96"/>
        <v>Error?</v>
      </c>
      <c r="E6263" s="2" t="s">
        <v>199</v>
      </c>
    </row>
    <row r="6264" spans="1:5" x14ac:dyDescent="0.2">
      <c r="A6264">
        <v>6203</v>
      </c>
      <c r="B6264" s="138">
        <f>'Acct Summary 7-8'!J79</f>
        <v>1184699</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1274016</v>
      </c>
      <c r="D6266" s="2" t="str">
        <f t="shared" si="96"/>
        <v>Error?</v>
      </c>
      <c r="E6266" s="2" t="s">
        <v>199</v>
      </c>
    </row>
    <row r="6267" spans="1:5" x14ac:dyDescent="0.2">
      <c r="A6267">
        <v>6206</v>
      </c>
      <c r="B6267" s="138">
        <f>'Acct Summary 7-8'!C82</f>
        <v>904092</v>
      </c>
      <c r="D6267" s="2" t="str">
        <f t="shared" si="96"/>
        <v>Error?</v>
      </c>
      <c r="E6267" s="2" t="s">
        <v>199</v>
      </c>
    </row>
    <row r="6268" spans="1:5" x14ac:dyDescent="0.2">
      <c r="A6268">
        <v>6207</v>
      </c>
      <c r="B6268" s="138">
        <f>'Acct Summary 7-8'!D82</f>
        <v>268278</v>
      </c>
      <c r="D6268" s="2" t="str">
        <f t="shared" si="96"/>
        <v>Error?</v>
      </c>
      <c r="E6268" s="2" t="s">
        <v>199</v>
      </c>
    </row>
    <row r="6269" spans="1:5" x14ac:dyDescent="0.2">
      <c r="A6269">
        <v>6208</v>
      </c>
      <c r="B6269" s="138">
        <f>'Acct Summary 7-8'!E82</f>
        <v>53822</v>
      </c>
      <c r="D6269" s="2" t="str">
        <f t="shared" si="96"/>
        <v>Error?</v>
      </c>
      <c r="E6269" s="2" t="s">
        <v>199</v>
      </c>
    </row>
    <row r="6270" spans="1:5" x14ac:dyDescent="0.2">
      <c r="A6270">
        <v>6209</v>
      </c>
      <c r="B6270" s="138">
        <f>'Acct Summary 7-8'!F82</f>
        <v>150001</v>
      </c>
      <c r="D6270" s="2" t="str">
        <f t="shared" si="96"/>
        <v>Error?</v>
      </c>
      <c r="E6270" s="2" t="s">
        <v>199</v>
      </c>
    </row>
    <row r="6271" spans="1:5" x14ac:dyDescent="0.2">
      <c r="A6271">
        <v>6210</v>
      </c>
      <c r="B6271" s="138">
        <f>'Acct Summary 7-8'!G82</f>
        <v>172809</v>
      </c>
      <c r="D6271" s="2" t="str">
        <f t="shared" ref="D6271:D6334" si="97">IF(ISBLANK(B6271),"OK",IF(A6271-B6271=0,"OK","Error?"))</f>
        <v>Error?</v>
      </c>
      <c r="E6271" s="2" t="s">
        <v>199</v>
      </c>
    </row>
    <row r="6272" spans="1:5" x14ac:dyDescent="0.2">
      <c r="A6272">
        <v>6211</v>
      </c>
      <c r="B6272" s="138">
        <f>'Acct Summary 7-8'!H82</f>
        <v>507472</v>
      </c>
      <c r="D6272" s="2" t="str">
        <f t="shared" si="97"/>
        <v>Error?</v>
      </c>
      <c r="E6272" s="2" t="s">
        <v>199</v>
      </c>
    </row>
    <row r="6273" spans="1:5" x14ac:dyDescent="0.2">
      <c r="A6273">
        <v>6212</v>
      </c>
      <c r="B6273" s="138">
        <f>'Acct Summary 7-8'!I82</f>
        <v>-1173742</v>
      </c>
      <c r="D6273" s="2" t="str">
        <f t="shared" si="97"/>
        <v>Error?</v>
      </c>
      <c r="E6273" s="2" t="s">
        <v>199</v>
      </c>
    </row>
    <row r="6274" spans="1:5" x14ac:dyDescent="0.2">
      <c r="A6274">
        <v>6213</v>
      </c>
      <c r="B6274" s="138">
        <f>'Acct Summary 7-8'!J82</f>
        <v>89317</v>
      </c>
      <c r="D6274" s="2" t="str">
        <f t="shared" si="97"/>
        <v>Error?</v>
      </c>
      <c r="E6274" s="2" t="s">
        <v>199</v>
      </c>
    </row>
    <row r="6275" spans="1:5" x14ac:dyDescent="0.2">
      <c r="A6275">
        <v>6214</v>
      </c>
      <c r="B6275" s="138">
        <f>'Acct Summary 7-8'!K82</f>
        <v>3109088</v>
      </c>
      <c r="D6275" s="2" t="str">
        <f t="shared" si="97"/>
        <v>Error?</v>
      </c>
      <c r="E6275" s="2" t="s">
        <v>199</v>
      </c>
    </row>
    <row r="6276" spans="1:5" x14ac:dyDescent="0.2">
      <c r="A6276">
        <v>6215</v>
      </c>
      <c r="B6276" s="138">
        <f>'Acct Summary 7-8'!C83</f>
        <v>9.8758910336908395E-2</v>
      </c>
      <c r="D6276" s="2" t="str">
        <f t="shared" si="97"/>
        <v>Error?</v>
      </c>
      <c r="E6276" s="2" t="s">
        <v>199</v>
      </c>
    </row>
    <row r="6277" spans="1:5" x14ac:dyDescent="0.2">
      <c r="A6277">
        <v>6216</v>
      </c>
      <c r="B6277" s="138">
        <f>'Acct Summary 7-8'!D83</f>
        <v>0.46696674743086308</v>
      </c>
      <c r="D6277" s="2" t="str">
        <f t="shared" si="97"/>
        <v>Error?</v>
      </c>
      <c r="E6277" s="2" t="s">
        <v>199</v>
      </c>
    </row>
    <row r="6278" spans="1:5" x14ac:dyDescent="0.2">
      <c r="A6278">
        <v>6217</v>
      </c>
      <c r="B6278" s="138">
        <f>'Acct Summary 7-8'!E83</f>
        <v>8.9079774908970535</v>
      </c>
      <c r="D6278" s="2" t="str">
        <f t="shared" si="97"/>
        <v>Error?</v>
      </c>
      <c r="E6278" s="2" t="s">
        <v>199</v>
      </c>
    </row>
    <row r="6279" spans="1:5" x14ac:dyDescent="0.2">
      <c r="A6279">
        <v>6218</v>
      </c>
      <c r="B6279" s="138">
        <f>'Acct Summary 7-8'!F83</f>
        <v>0.14858174715121161</v>
      </c>
      <c r="D6279" s="2" t="str">
        <f t="shared" si="97"/>
        <v>Error?</v>
      </c>
      <c r="E6279" s="2" t="s">
        <v>199</v>
      </c>
    </row>
    <row r="6280" spans="1:5" x14ac:dyDescent="0.2">
      <c r="A6280">
        <v>6219</v>
      </c>
      <c r="B6280" s="138">
        <f>'Acct Summary 7-8'!G83</f>
        <v>0.17360602526197774</v>
      </c>
      <c r="D6280" s="2" t="str">
        <f t="shared" si="97"/>
        <v>Error?</v>
      </c>
      <c r="E6280" s="2" t="s">
        <v>199</v>
      </c>
    </row>
    <row r="6281" spans="1:5" x14ac:dyDescent="0.2">
      <c r="A6281">
        <v>6220</v>
      </c>
      <c r="B6281" s="138">
        <f>'Acct Summary 7-8'!H83</f>
        <v>0.15015368300705037</v>
      </c>
      <c r="D6281" s="2" t="str">
        <f t="shared" si="97"/>
        <v>Error?</v>
      </c>
      <c r="E6281" s="2" t="s">
        <v>199</v>
      </c>
    </row>
    <row r="6282" spans="1:5" x14ac:dyDescent="0.2">
      <c r="A6282">
        <v>6221</v>
      </c>
      <c r="B6282" s="138">
        <f>'Acct Summary 7-8'!I83</f>
        <v>-0.39447121508380828</v>
      </c>
      <c r="D6282" s="2" t="str">
        <f t="shared" si="97"/>
        <v>Error?</v>
      </c>
      <c r="E6282" s="2" t="s">
        <v>199</v>
      </c>
    </row>
    <row r="6283" spans="1:5" x14ac:dyDescent="0.2">
      <c r="A6283">
        <v>6222</v>
      </c>
      <c r="B6283" s="138">
        <f>'Acct Summary 7-8'!J83</f>
        <v>7.0106654861477408E-2</v>
      </c>
      <c r="D6283" s="2" t="str">
        <f t="shared" si="97"/>
        <v>Error?</v>
      </c>
      <c r="E6283" s="2" t="s">
        <v>199</v>
      </c>
    </row>
    <row r="6284" spans="1:5" x14ac:dyDescent="0.2">
      <c r="A6284">
        <v>6223</v>
      </c>
      <c r="B6284" s="138">
        <f>'Acct Summary 7-8'!K83</f>
        <v>0.78054404061827176</v>
      </c>
      <c r="D6284" s="2" t="str">
        <f t="shared" si="97"/>
        <v>Error?</v>
      </c>
      <c r="E6284" s="2" t="s">
        <v>199</v>
      </c>
    </row>
    <row r="6285" spans="1:5" x14ac:dyDescent="0.2">
      <c r="A6285">
        <v>6224</v>
      </c>
      <c r="B6285" s="138">
        <f>'Acct Summary 7-8'!E37</f>
        <v>121913</v>
      </c>
      <c r="D6285" s="2" t="str">
        <f t="shared" si="97"/>
        <v>Error?</v>
      </c>
      <c r="E6285" s="2" t="s">
        <v>199</v>
      </c>
    </row>
    <row r="6286" spans="1:5" x14ac:dyDescent="0.2">
      <c r="A6286">
        <v>6225</v>
      </c>
      <c r="B6286" s="138">
        <f>'Acct Summary 7-8'!E38</f>
        <v>2381</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624316</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624316</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13595</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13595</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10975</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23631</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584458</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21650</v>
      </c>
      <c r="D6339" s="2" t="str">
        <f t="shared" si="98"/>
        <v>Error?</v>
      </c>
      <c r="E6339" s="2" t="s">
        <v>199</v>
      </c>
    </row>
    <row r="6340" spans="1:5" x14ac:dyDescent="0.2">
      <c r="A6340">
        <v>6279</v>
      </c>
      <c r="B6340" s="138">
        <f>'Revenues 9-14'!C102</f>
        <v>4000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23631</v>
      </c>
      <c r="D6351" s="2" t="str">
        <f t="shared" si="98"/>
        <v>Error?</v>
      </c>
      <c r="E6351" s="2" t="s">
        <v>199</v>
      </c>
    </row>
    <row r="6352" spans="1:5" x14ac:dyDescent="0.2">
      <c r="A6352">
        <v>6291</v>
      </c>
      <c r="B6352" s="138">
        <f>'Revenues 9-14'!J109</f>
        <v>661542</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3717</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177177</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685508</v>
      </c>
      <c r="D6880" s="2" t="str">
        <f t="shared" si="106"/>
        <v>Error?</v>
      </c>
    </row>
    <row r="6881" spans="1:4" x14ac:dyDescent="0.2">
      <c r="A6881">
        <v>6820</v>
      </c>
      <c r="B6881" s="138">
        <f>'Expenditures 15-22'!K22</f>
        <v>685508</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29243</v>
      </c>
      <c r="D6981" s="2" t="str">
        <f t="shared" si="108"/>
        <v>Error?</v>
      </c>
    </row>
    <row r="6982" spans="1:4" x14ac:dyDescent="0.2">
      <c r="A6982">
        <v>6921</v>
      </c>
      <c r="B6982" s="138">
        <f>'Expenditures 15-22'!K85</f>
        <v>29243</v>
      </c>
      <c r="D6982" s="2" t="str">
        <f t="shared" si="108"/>
        <v>Error?</v>
      </c>
    </row>
    <row r="6983" spans="1:4" x14ac:dyDescent="0.2">
      <c r="A6983">
        <v>6922</v>
      </c>
      <c r="B6983" s="138">
        <f>'Expenditures 15-22'!H86</f>
        <v>110192</v>
      </c>
      <c r="D6983" s="2" t="str">
        <f t="shared" si="108"/>
        <v>Error?</v>
      </c>
    </row>
    <row r="6984" spans="1:4" x14ac:dyDescent="0.2">
      <c r="A6984">
        <v>6923</v>
      </c>
      <c r="B6984" s="138">
        <f>'Expenditures 15-22'!K86</f>
        <v>110192</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10244</v>
      </c>
      <c r="D6987" s="2" t="str">
        <f t="shared" si="108"/>
        <v>Error?</v>
      </c>
    </row>
    <row r="6988" spans="1:4" x14ac:dyDescent="0.2">
      <c r="A6988">
        <v>6927</v>
      </c>
      <c r="B6988" s="138">
        <f>'Expenditures 15-22'!K88</f>
        <v>10244</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149679</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271878</v>
      </c>
      <c r="D7009" s="2" t="str">
        <f t="shared" si="108"/>
        <v>Error?</v>
      </c>
    </row>
    <row r="7010" spans="1:4" x14ac:dyDescent="0.2">
      <c r="A7010">
        <v>6949</v>
      </c>
      <c r="B7010" s="138">
        <f>'Expenditures 15-22'!K99</f>
        <v>271878</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271878</v>
      </c>
      <c r="D7012" s="2" t="str">
        <f t="shared" si="108"/>
        <v>Error?</v>
      </c>
    </row>
    <row r="7013" spans="1:4" x14ac:dyDescent="0.2">
      <c r="A7013">
        <v>6952</v>
      </c>
      <c r="B7013" s="138">
        <f>'Expenditures 15-22'!K100</f>
        <v>271878</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572225</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661542</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1704</v>
      </c>
      <c r="D7079" s="2" t="str">
        <f t="shared" si="109"/>
        <v>Error?</v>
      </c>
    </row>
    <row r="7080" spans="1:4" x14ac:dyDescent="0.2">
      <c r="A7080">
        <v>7019</v>
      </c>
      <c r="B7080" s="138">
        <f>'Expenditures 15-22'!K226</f>
        <v>1704</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21983</v>
      </c>
      <c r="D7093" s="2" t="str">
        <f t="shared" si="109"/>
        <v>Error?</v>
      </c>
    </row>
    <row r="7094" spans="1:4" x14ac:dyDescent="0.2">
      <c r="A7094">
        <v>7033</v>
      </c>
      <c r="B7094" s="138">
        <f>'Expenditures 15-22'!K254</f>
        <v>21983</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78205</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78205</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423</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423</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33708</v>
      </c>
      <c r="D7156" s="2" t="str">
        <f t="shared" si="110"/>
        <v>Error?</v>
      </c>
    </row>
    <row r="7157" spans="1:4" x14ac:dyDescent="0.2">
      <c r="A7157">
        <v>7096</v>
      </c>
      <c r="B7157" s="138">
        <f>'Expenditures 15-22'!F323</f>
        <v>5651</v>
      </c>
      <c r="D7157" s="2" t="str">
        <f t="shared" si="110"/>
        <v>Error?</v>
      </c>
    </row>
    <row r="7158" spans="1:4" x14ac:dyDescent="0.2">
      <c r="A7158">
        <v>7097</v>
      </c>
      <c r="B7158" s="138">
        <f>'Expenditures 15-22'!G323</f>
        <v>36232</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75591</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268516</v>
      </c>
      <c r="D7172" s="2" t="str">
        <f t="shared" si="111"/>
        <v>Error?</v>
      </c>
    </row>
    <row r="7173" spans="1:4" x14ac:dyDescent="0.2">
      <c r="A7173">
        <v>7112</v>
      </c>
      <c r="B7173" s="138">
        <f>'Expenditures 15-22'!D325</f>
        <v>24190</v>
      </c>
      <c r="D7173" s="2" t="str">
        <f t="shared" si="111"/>
        <v>Error?</v>
      </c>
    </row>
    <row r="7174" spans="1:4" x14ac:dyDescent="0.2">
      <c r="A7174">
        <v>7113</v>
      </c>
      <c r="B7174" s="138">
        <f>'Expenditures 15-22'!E325</f>
        <v>7647</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300353</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42800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42800</v>
      </c>
      <c r="D7198" s="2" t="str">
        <f t="shared" si="111"/>
        <v>Error?</v>
      </c>
    </row>
    <row r="7199" spans="1:4" x14ac:dyDescent="0.2">
      <c r="A7199">
        <v>7138</v>
      </c>
      <c r="B7199" s="138">
        <f>'Expenditures 15-22'!C330</f>
        <v>268516</v>
      </c>
      <c r="D7199" s="2" t="str">
        <f t="shared" si="111"/>
        <v>Error?</v>
      </c>
    </row>
    <row r="7200" spans="1:4" x14ac:dyDescent="0.2">
      <c r="A7200">
        <v>7139</v>
      </c>
      <c r="B7200" s="138">
        <f>'Expenditures 15-22'!D330</f>
        <v>24190</v>
      </c>
      <c r="D7200" s="2" t="str">
        <f t="shared" si="111"/>
        <v>Error?</v>
      </c>
    </row>
    <row r="7201" spans="1:4" x14ac:dyDescent="0.2">
      <c r="A7201">
        <v>7140</v>
      </c>
      <c r="B7201" s="138">
        <f>'Expenditures 15-22'!E330</f>
        <v>237636</v>
      </c>
      <c r="D7201" s="2" t="str">
        <f t="shared" si="111"/>
        <v>Error?</v>
      </c>
    </row>
    <row r="7202" spans="1:4" x14ac:dyDescent="0.2">
      <c r="A7202">
        <v>7141</v>
      </c>
      <c r="B7202" s="138">
        <f>'Expenditures 15-22'!F330</f>
        <v>5651</v>
      </c>
      <c r="D7202" s="2" t="str">
        <f t="shared" si="111"/>
        <v>Error?</v>
      </c>
    </row>
    <row r="7203" spans="1:4" x14ac:dyDescent="0.2">
      <c r="A7203">
        <v>7142</v>
      </c>
      <c r="B7203" s="138">
        <f>'Expenditures 15-22'!G330</f>
        <v>36232</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572225</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268516</v>
      </c>
      <c r="D7216" s="2" t="str">
        <f t="shared" si="111"/>
        <v>Error?</v>
      </c>
    </row>
    <row r="7217" spans="1:4" x14ac:dyDescent="0.2">
      <c r="A7217">
        <v>7156</v>
      </c>
      <c r="B7217" s="138">
        <f>'Expenditures 15-22'!D342</f>
        <v>24190</v>
      </c>
      <c r="D7217" s="2" t="str">
        <f t="shared" si="111"/>
        <v>Error?</v>
      </c>
    </row>
    <row r="7218" spans="1:4" x14ac:dyDescent="0.2">
      <c r="A7218">
        <v>7157</v>
      </c>
      <c r="B7218" s="138">
        <f>'Expenditures 15-22'!E342</f>
        <v>237636</v>
      </c>
      <c r="D7218" s="2" t="str">
        <f t="shared" si="111"/>
        <v>Error?</v>
      </c>
    </row>
    <row r="7219" spans="1:4" x14ac:dyDescent="0.2">
      <c r="A7219">
        <v>7158</v>
      </c>
      <c r="B7219" s="138">
        <f>'Expenditures 15-22'!F342</f>
        <v>5651</v>
      </c>
      <c r="D7219" s="2" t="str">
        <f t="shared" si="111"/>
        <v>Error?</v>
      </c>
    </row>
    <row r="7220" spans="1:4" x14ac:dyDescent="0.2">
      <c r="A7220">
        <v>7159</v>
      </c>
      <c r="B7220" s="138">
        <f>'Expenditures 15-22'!G342</f>
        <v>36232</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572225</v>
      </c>
      <c r="D7224" s="2" t="str">
        <f t="shared" si="111"/>
        <v>Error?</v>
      </c>
    </row>
    <row r="7225" spans="1:4" x14ac:dyDescent="0.2">
      <c r="A7225">
        <v>7164</v>
      </c>
      <c r="B7225" s="138">
        <f>'Expenditures 15-22'!K343</f>
        <v>89317</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126123</v>
      </c>
      <c r="D7263" s="2" t="str">
        <f t="shared" si="112"/>
        <v>Error?</v>
      </c>
    </row>
    <row r="7264" spans="1:4" x14ac:dyDescent="0.2">
      <c r="A7264">
        <f t="shared" si="113"/>
        <v>7203</v>
      </c>
      <c r="B7264" s="138">
        <f>'Expenditures 15-22'!D17</f>
        <v>48353</v>
      </c>
      <c r="D7264" s="2" t="str">
        <f t="shared" si="112"/>
        <v>Error?</v>
      </c>
    </row>
    <row r="7265" spans="1:5" x14ac:dyDescent="0.2">
      <c r="A7265">
        <f t="shared" si="113"/>
        <v>7204</v>
      </c>
      <c r="B7265" s="138">
        <f>'Expenditures 15-22'!E17</f>
        <v>1764</v>
      </c>
      <c r="D7265" s="2" t="str">
        <f t="shared" si="112"/>
        <v>Error?</v>
      </c>
    </row>
    <row r="7266" spans="1:5" x14ac:dyDescent="0.2">
      <c r="A7266">
        <f t="shared" si="113"/>
        <v>7205</v>
      </c>
      <c r="B7266" s="138">
        <f>'Expenditures 15-22'!F17</f>
        <v>937</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8">
        <f>'Cap Outlay Deprec 26'!I18</f>
        <v>1163517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880</v>
      </c>
    </row>
    <row r="7652" spans="1:5" x14ac:dyDescent="0.2">
      <c r="A7652">
        <v>7591</v>
      </c>
      <c r="B7652" s="138">
        <f>'Acct Summary 7-8'!D55</f>
        <v>0</v>
      </c>
      <c r="D7652" s="2" t="str">
        <f t="shared" si="124"/>
        <v>Error?</v>
      </c>
      <c r="E7652" s="2" t="s">
        <v>880</v>
      </c>
    </row>
    <row r="7653" spans="1:5" x14ac:dyDescent="0.2">
      <c r="A7653">
        <v>7592</v>
      </c>
      <c r="B7653" s="138">
        <f>'Acct Summary 7-8'!H55</f>
        <v>0</v>
      </c>
      <c r="D7653" s="2" t="str">
        <f t="shared" si="124"/>
        <v>Error?</v>
      </c>
      <c r="E7653" s="2" t="s">
        <v>880</v>
      </c>
    </row>
    <row r="7654" spans="1:5" x14ac:dyDescent="0.2">
      <c r="A7654">
        <v>7593</v>
      </c>
      <c r="B7654" s="138">
        <f>'Acct Summary 7-8'!C56</f>
        <v>0</v>
      </c>
      <c r="D7654" s="2" t="str">
        <f t="shared" si="124"/>
        <v>Error?</v>
      </c>
      <c r="E7654" s="2" t="s">
        <v>880</v>
      </c>
    </row>
    <row r="7655" spans="1:5" x14ac:dyDescent="0.2">
      <c r="A7655">
        <v>7594</v>
      </c>
      <c r="B7655" s="138">
        <f>'Acct Summary 7-8'!D56</f>
        <v>0</v>
      </c>
      <c r="D7655" s="2" t="str">
        <f t="shared" si="124"/>
        <v>Error?</v>
      </c>
      <c r="E7655" s="2" t="s">
        <v>880</v>
      </c>
    </row>
    <row r="7656" spans="1:5" x14ac:dyDescent="0.2">
      <c r="A7656">
        <v>7595</v>
      </c>
      <c r="B7656" s="138">
        <f>'Acct Summary 7-8'!H56</f>
        <v>0</v>
      </c>
      <c r="D7656" s="2" t="str">
        <f t="shared" si="124"/>
        <v>Error?</v>
      </c>
      <c r="E7656" s="2" t="s">
        <v>880</v>
      </c>
    </row>
    <row r="7657" spans="1:5" x14ac:dyDescent="0.2">
      <c r="A7657">
        <v>7596</v>
      </c>
      <c r="B7657" s="138">
        <f>'Acct Summary 7-8'!C57</f>
        <v>0</v>
      </c>
      <c r="D7657" s="2" t="str">
        <f t="shared" si="124"/>
        <v>Error?</v>
      </c>
      <c r="E7657" s="2" t="s">
        <v>880</v>
      </c>
    </row>
    <row r="7658" spans="1:5" x14ac:dyDescent="0.2">
      <c r="A7658">
        <v>7597</v>
      </c>
      <c r="B7658" s="138">
        <f>'Acct Summary 7-8'!D57</f>
        <v>0</v>
      </c>
      <c r="D7658" s="2" t="str">
        <f t="shared" si="124"/>
        <v>Error?</v>
      </c>
      <c r="E7658" s="2" t="s">
        <v>880</v>
      </c>
    </row>
    <row r="7659" spans="1:5" x14ac:dyDescent="0.2">
      <c r="A7659">
        <v>7598</v>
      </c>
      <c r="B7659" s="138">
        <f>'Acct Summary 7-8'!H57</f>
        <v>0</v>
      </c>
      <c r="D7659" s="2" t="str">
        <f t="shared" si="124"/>
        <v>Error?</v>
      </c>
      <c r="E7659" s="2" t="s">
        <v>880</v>
      </c>
    </row>
    <row r="7660" spans="1:5" x14ac:dyDescent="0.2">
      <c r="A7660">
        <v>7599</v>
      </c>
      <c r="B7660" s="138">
        <f>'Acct Summary 7-8'!C59</f>
        <v>0</v>
      </c>
      <c r="D7660" s="2" t="str">
        <f t="shared" si="124"/>
        <v>Error?</v>
      </c>
      <c r="E7660" s="2" t="s">
        <v>880</v>
      </c>
    </row>
    <row r="7661" spans="1:5" x14ac:dyDescent="0.2">
      <c r="A7661">
        <v>7600</v>
      </c>
      <c r="B7661" s="138">
        <f>'Acct Summary 7-8'!D59</f>
        <v>0</v>
      </c>
      <c r="D7661" s="2" t="str">
        <f t="shared" si="124"/>
        <v>Error?</v>
      </c>
      <c r="E7661" s="2" t="s">
        <v>880</v>
      </c>
    </row>
    <row r="7662" spans="1:5" x14ac:dyDescent="0.2">
      <c r="A7662">
        <v>7601</v>
      </c>
      <c r="B7662" s="138">
        <f>'Acct Summary 7-8'!H59</f>
        <v>0</v>
      </c>
      <c r="D7662" s="2" t="str">
        <f t="shared" si="124"/>
        <v>Error?</v>
      </c>
      <c r="E7662" s="2" t="s">
        <v>880</v>
      </c>
    </row>
    <row r="7663" spans="1:5" x14ac:dyDescent="0.2">
      <c r="A7663">
        <v>7602</v>
      </c>
      <c r="B7663" s="138">
        <f>'Acct Summary 7-8'!C60</f>
        <v>0</v>
      </c>
      <c r="D7663" s="2" t="str">
        <f t="shared" si="124"/>
        <v>Error?</v>
      </c>
      <c r="E7663" s="2" t="s">
        <v>880</v>
      </c>
    </row>
    <row r="7664" spans="1:5" x14ac:dyDescent="0.2">
      <c r="A7664">
        <v>7603</v>
      </c>
      <c r="B7664" s="138">
        <f>'Acct Summary 7-8'!D60</f>
        <v>0</v>
      </c>
      <c r="D7664" s="2" t="str">
        <f t="shared" si="124"/>
        <v>Error?</v>
      </c>
      <c r="E7664" s="2" t="s">
        <v>880</v>
      </c>
    </row>
    <row r="7665" spans="1:5" x14ac:dyDescent="0.2">
      <c r="A7665">
        <v>7604</v>
      </c>
      <c r="B7665" s="138">
        <f>'Acct Summary 7-8'!H60</f>
        <v>0</v>
      </c>
      <c r="D7665" s="2" t="str">
        <f t="shared" si="124"/>
        <v>Error?</v>
      </c>
      <c r="E7665" s="2" t="s">
        <v>880</v>
      </c>
    </row>
    <row r="7666" spans="1:5" x14ac:dyDescent="0.2">
      <c r="A7666">
        <v>7605</v>
      </c>
      <c r="B7666" s="138">
        <f>'Acct Summary 7-8'!C61</f>
        <v>0</v>
      </c>
      <c r="D7666" s="2" t="str">
        <f t="shared" si="124"/>
        <v>Error?</v>
      </c>
      <c r="E7666" s="2" t="s">
        <v>880</v>
      </c>
    </row>
    <row r="7667" spans="1:5" x14ac:dyDescent="0.2">
      <c r="A7667">
        <v>7606</v>
      </c>
      <c r="B7667" s="138">
        <f>'Acct Summary 7-8'!D61</f>
        <v>0</v>
      </c>
      <c r="D7667" s="2" t="str">
        <f t="shared" si="124"/>
        <v>Error?</v>
      </c>
      <c r="E7667" s="2" t="s">
        <v>880</v>
      </c>
    </row>
    <row r="7668" spans="1:5" x14ac:dyDescent="0.2">
      <c r="A7668">
        <v>7607</v>
      </c>
      <c r="B7668" s="138">
        <f>'Acct Summary 7-8'!H61</f>
        <v>0</v>
      </c>
      <c r="D7668" s="2" t="str">
        <f t="shared" si="124"/>
        <v>Error?</v>
      </c>
      <c r="E7668" s="2" t="s">
        <v>880</v>
      </c>
    </row>
    <row r="7669" spans="1:5" x14ac:dyDescent="0.2">
      <c r="A7669">
        <v>7608</v>
      </c>
      <c r="B7669" s="138">
        <f>'Acct Summary 7-8'!C63</f>
        <v>0</v>
      </c>
      <c r="D7669" s="2" t="str">
        <f t="shared" si="124"/>
        <v>Error?</v>
      </c>
      <c r="E7669" s="2" t="s">
        <v>880</v>
      </c>
    </row>
    <row r="7670" spans="1:5" x14ac:dyDescent="0.2">
      <c r="A7670">
        <v>7609</v>
      </c>
      <c r="B7670" s="138">
        <f>'Acct Summary 7-8'!D63</f>
        <v>0</v>
      </c>
      <c r="D7670" s="2" t="str">
        <f t="shared" si="124"/>
        <v>Error?</v>
      </c>
      <c r="E7670" s="2" t="s">
        <v>880</v>
      </c>
    </row>
    <row r="7671" spans="1:5" x14ac:dyDescent="0.2">
      <c r="A7671">
        <v>7610</v>
      </c>
      <c r="B7671" s="138">
        <f>'Acct Summary 7-8'!C64</f>
        <v>0</v>
      </c>
      <c r="D7671" s="2" t="str">
        <f t="shared" si="124"/>
        <v>Error?</v>
      </c>
      <c r="E7671" s="2" t="s">
        <v>880</v>
      </c>
    </row>
    <row r="7672" spans="1:5" x14ac:dyDescent="0.2">
      <c r="A7672">
        <v>7611</v>
      </c>
      <c r="B7672" s="138">
        <f>'Acct Summary 7-8'!D64</f>
        <v>0</v>
      </c>
      <c r="D7672" s="2" t="str">
        <f t="shared" si="124"/>
        <v>Error?</v>
      </c>
      <c r="E7672" s="2" t="s">
        <v>880</v>
      </c>
    </row>
    <row r="7673" spans="1:5" x14ac:dyDescent="0.2">
      <c r="A7673">
        <v>7612</v>
      </c>
      <c r="B7673" s="138">
        <f>'Acct Summary 7-8'!C65</f>
        <v>0</v>
      </c>
      <c r="D7673" s="2" t="str">
        <f t="shared" si="124"/>
        <v>Error?</v>
      </c>
      <c r="E7673" s="2" t="s">
        <v>880</v>
      </c>
    </row>
    <row r="7674" spans="1:5" x14ac:dyDescent="0.2">
      <c r="A7674">
        <v>7613</v>
      </c>
      <c r="B7674" s="138">
        <f>'Acct Summary 7-8'!D65</f>
        <v>0</v>
      </c>
      <c r="D7674" s="2" t="str">
        <f t="shared" si="124"/>
        <v>Error?</v>
      </c>
      <c r="E7674" s="2" t="s">
        <v>880</v>
      </c>
    </row>
    <row r="7675" spans="1:5" x14ac:dyDescent="0.2">
      <c r="A7675">
        <v>7614</v>
      </c>
      <c r="B7675" s="138">
        <f>'Acct Summary 7-8'!C67</f>
        <v>0</v>
      </c>
      <c r="D7675" s="2" t="str">
        <f t="shared" si="124"/>
        <v>Error?</v>
      </c>
      <c r="E7675" s="2" t="s">
        <v>880</v>
      </c>
    </row>
    <row r="7676" spans="1:5" x14ac:dyDescent="0.2">
      <c r="A7676">
        <v>7615</v>
      </c>
      <c r="B7676" s="138">
        <f>'Acct Summary 7-8'!D67</f>
        <v>0</v>
      </c>
      <c r="D7676" s="2" t="str">
        <f t="shared" si="124"/>
        <v>Error?</v>
      </c>
      <c r="E7676" s="2" t="s">
        <v>880</v>
      </c>
    </row>
    <row r="7677" spans="1:5" x14ac:dyDescent="0.2">
      <c r="A7677">
        <v>7616</v>
      </c>
      <c r="B7677" s="138">
        <f>'Acct Summary 7-8'!C68</f>
        <v>0</v>
      </c>
      <c r="D7677" s="2" t="str">
        <f t="shared" si="124"/>
        <v>Error?</v>
      </c>
      <c r="E7677" s="2" t="s">
        <v>880</v>
      </c>
    </row>
    <row r="7678" spans="1:5" x14ac:dyDescent="0.2">
      <c r="A7678">
        <v>7617</v>
      </c>
      <c r="B7678" s="138">
        <f>'Acct Summary 7-8'!D68</f>
        <v>0</v>
      </c>
      <c r="D7678" s="2" t="str">
        <f t="shared" si="124"/>
        <v>Error?</v>
      </c>
      <c r="E7678" s="2" t="s">
        <v>880</v>
      </c>
    </row>
    <row r="7679" spans="1:5" x14ac:dyDescent="0.2">
      <c r="A7679">
        <v>7618</v>
      </c>
      <c r="B7679" s="138">
        <f>'Acct Summary 7-8'!C69</f>
        <v>0</v>
      </c>
      <c r="D7679" s="2" t="str">
        <f t="shared" ref="D7679:D7742" si="126">IF(ISBLANK(B7679),"OK",IF(A7679-B7679=0,"OK","Error?"))</f>
        <v>Error?</v>
      </c>
      <c r="E7679" s="2" t="s">
        <v>880</v>
      </c>
    </row>
    <row r="7680" spans="1:5" x14ac:dyDescent="0.2">
      <c r="A7680">
        <v>7619</v>
      </c>
      <c r="B7680" s="138">
        <f>'Acct Summary 7-8'!D69</f>
        <v>0</v>
      </c>
      <c r="D7680" s="2" t="str">
        <f t="shared" si="126"/>
        <v>Error?</v>
      </c>
      <c r="E7680" s="2" t="s">
        <v>880</v>
      </c>
    </row>
    <row r="7681" spans="1:5" x14ac:dyDescent="0.2">
      <c r="A7681">
        <v>7620</v>
      </c>
      <c r="B7681" s="138">
        <f>'Acct Summary 7-8'!C71</f>
        <v>0</v>
      </c>
      <c r="D7681" s="2" t="str">
        <f t="shared" si="126"/>
        <v>Error?</v>
      </c>
      <c r="E7681" s="2" t="s">
        <v>880</v>
      </c>
    </row>
    <row r="7682" spans="1:5" x14ac:dyDescent="0.2">
      <c r="A7682">
        <v>7621</v>
      </c>
      <c r="B7682" s="138">
        <f>'Acct Summary 7-8'!D71</f>
        <v>0</v>
      </c>
      <c r="D7682" s="2" t="str">
        <f t="shared" si="126"/>
        <v>Error?</v>
      </c>
      <c r="E7682" s="2" t="s">
        <v>880</v>
      </c>
    </row>
    <row r="7683" spans="1:5" x14ac:dyDescent="0.2">
      <c r="A7683">
        <v>7622</v>
      </c>
      <c r="B7683" s="138">
        <f>'Acct Summary 7-8'!C72</f>
        <v>0</v>
      </c>
      <c r="D7683" s="2" t="str">
        <f t="shared" si="126"/>
        <v>Error?</v>
      </c>
      <c r="E7683" s="2" t="s">
        <v>880</v>
      </c>
    </row>
    <row r="7684" spans="1:5" x14ac:dyDescent="0.2">
      <c r="A7684">
        <v>7623</v>
      </c>
      <c r="B7684" s="138">
        <f>'Acct Summary 7-8'!D72</f>
        <v>0</v>
      </c>
      <c r="D7684" s="2" t="str">
        <f t="shared" si="126"/>
        <v>Error?</v>
      </c>
      <c r="E7684" s="2" t="s">
        <v>880</v>
      </c>
    </row>
    <row r="7685" spans="1:5" x14ac:dyDescent="0.2">
      <c r="A7685">
        <v>7624</v>
      </c>
      <c r="B7685" s="138">
        <f>'Acct Summary 7-8'!C73</f>
        <v>0</v>
      </c>
      <c r="D7685" s="2" t="str">
        <f t="shared" si="126"/>
        <v>Error?</v>
      </c>
      <c r="E7685" s="2" t="s">
        <v>880</v>
      </c>
    </row>
    <row r="7686" spans="1:5" x14ac:dyDescent="0.2">
      <c r="A7686">
        <v>7625</v>
      </c>
      <c r="B7686" s="138">
        <f>'Acct Summary 7-8'!D73</f>
        <v>0</v>
      </c>
      <c r="D7686" s="2" t="str">
        <f t="shared" si="126"/>
        <v>Error?</v>
      </c>
      <c r="E7686" s="2" t="s">
        <v>880</v>
      </c>
    </row>
    <row r="7687" spans="1:5" x14ac:dyDescent="0.2">
      <c r="A7687">
        <v>7626</v>
      </c>
      <c r="B7687" s="138">
        <f>'Revenues 9-14'!C199</f>
        <v>0</v>
      </c>
      <c r="D7687" s="2" t="str">
        <f t="shared" si="126"/>
        <v>Error?</v>
      </c>
      <c r="E7687" s="2" t="s">
        <v>880</v>
      </c>
    </row>
    <row r="7688" spans="1:5" x14ac:dyDescent="0.2">
      <c r="A7688">
        <v>7627</v>
      </c>
      <c r="B7688" s="138">
        <f>'Expenditures 15-22'!C328</f>
        <v>0</v>
      </c>
      <c r="D7688" s="2" t="str">
        <f t="shared" si="126"/>
        <v>Error?</v>
      </c>
      <c r="E7688" s="2" t="s">
        <v>880</v>
      </c>
    </row>
    <row r="7689" spans="1:5" x14ac:dyDescent="0.2">
      <c r="A7689">
        <v>7628</v>
      </c>
      <c r="B7689" s="138">
        <f>'Expenditures 15-22'!D328</f>
        <v>0</v>
      </c>
      <c r="D7689" s="2" t="str">
        <f t="shared" si="126"/>
        <v>Error?</v>
      </c>
      <c r="E7689" s="2" t="s">
        <v>880</v>
      </c>
    </row>
    <row r="7690" spans="1:5" x14ac:dyDescent="0.2">
      <c r="A7690">
        <v>7629</v>
      </c>
      <c r="B7690" s="138">
        <f>'Expenditures 15-22'!E328</f>
        <v>74853</v>
      </c>
      <c r="D7690" s="2" t="str">
        <f t="shared" si="126"/>
        <v>Error?</v>
      </c>
      <c r="E7690" s="2" t="s">
        <v>880</v>
      </c>
    </row>
    <row r="7691" spans="1:5" x14ac:dyDescent="0.2">
      <c r="A7691">
        <v>7630</v>
      </c>
      <c r="B7691" s="138">
        <f>'Expenditures 15-22'!F328</f>
        <v>0</v>
      </c>
      <c r="D7691" s="2" t="str">
        <f t="shared" si="126"/>
        <v>Error?</v>
      </c>
      <c r="E7691" s="2" t="s">
        <v>880</v>
      </c>
    </row>
    <row r="7692" spans="1:5" x14ac:dyDescent="0.2">
      <c r="A7692">
        <v>7631</v>
      </c>
      <c r="B7692" s="138">
        <f>'Expenditures 15-22'!G328</f>
        <v>0</v>
      </c>
      <c r="D7692" s="2" t="str">
        <f t="shared" si="126"/>
        <v>Error?</v>
      </c>
      <c r="E7692" s="2" t="s">
        <v>880</v>
      </c>
    </row>
    <row r="7693" spans="1:5" x14ac:dyDescent="0.2">
      <c r="A7693">
        <v>7632</v>
      </c>
      <c r="B7693" s="138">
        <f>'Expenditures 15-22'!H328</f>
        <v>0</v>
      </c>
      <c r="D7693" s="2" t="str">
        <f t="shared" si="126"/>
        <v>Error?</v>
      </c>
      <c r="E7693" s="2" t="s">
        <v>880</v>
      </c>
    </row>
    <row r="7694" spans="1:5" x14ac:dyDescent="0.2">
      <c r="A7694">
        <v>7633</v>
      </c>
      <c r="B7694" s="138">
        <f>'Expenditures 15-22'!I328</f>
        <v>0</v>
      </c>
      <c r="D7694" s="2" t="str">
        <f t="shared" si="126"/>
        <v>Error?</v>
      </c>
      <c r="E7694" s="2" t="s">
        <v>880</v>
      </c>
    </row>
    <row r="7695" spans="1:5" x14ac:dyDescent="0.2">
      <c r="A7695">
        <v>7634</v>
      </c>
      <c r="B7695" s="138">
        <f>'Expenditures 15-22'!J328</f>
        <v>0</v>
      </c>
      <c r="D7695" s="2" t="str">
        <f t="shared" si="126"/>
        <v>Error?</v>
      </c>
      <c r="E7695" s="2" t="s">
        <v>880</v>
      </c>
    </row>
    <row r="7696" spans="1:5" x14ac:dyDescent="0.2">
      <c r="A7696">
        <v>7635</v>
      </c>
      <c r="B7696" s="138">
        <f>'Expenditures 15-22'!K328</f>
        <v>74853</v>
      </c>
      <c r="D7696" s="2" t="str">
        <f t="shared" si="126"/>
        <v>Error?</v>
      </c>
      <c r="E7696" s="2" t="s">
        <v>880</v>
      </c>
    </row>
    <row r="7697" spans="1:5" x14ac:dyDescent="0.2">
      <c r="A7697">
        <v>7636</v>
      </c>
      <c r="B7697" s="138">
        <f>'Expenditures 15-22'!C329</f>
        <v>0</v>
      </c>
      <c r="D7697" s="2" t="str">
        <f t="shared" si="126"/>
        <v>Error?</v>
      </c>
      <c r="E7697" s="2" t="s">
        <v>880</v>
      </c>
    </row>
    <row r="7698" spans="1:5" x14ac:dyDescent="0.2">
      <c r="A7698">
        <v>7637</v>
      </c>
      <c r="B7698" s="138">
        <f>'Expenditures 15-22'!D329</f>
        <v>0</v>
      </c>
      <c r="D7698" s="2" t="str">
        <f t="shared" si="126"/>
        <v>Error?</v>
      </c>
      <c r="E7698" s="2" t="s">
        <v>880</v>
      </c>
    </row>
    <row r="7699" spans="1:5" x14ac:dyDescent="0.2">
      <c r="A7699">
        <v>7638</v>
      </c>
      <c r="B7699" s="138">
        <f>'Expenditures 15-22'!E329</f>
        <v>0</v>
      </c>
      <c r="D7699" s="2" t="str">
        <f t="shared" si="126"/>
        <v>Error?</v>
      </c>
      <c r="E7699" s="2" t="s">
        <v>880</v>
      </c>
    </row>
    <row r="7700" spans="1:5" x14ac:dyDescent="0.2">
      <c r="A7700">
        <v>7639</v>
      </c>
      <c r="B7700" s="138">
        <f>'Expenditures 15-22'!F329</f>
        <v>0</v>
      </c>
      <c r="D7700" s="2" t="str">
        <f t="shared" si="126"/>
        <v>Error?</v>
      </c>
      <c r="E7700" s="2" t="s">
        <v>880</v>
      </c>
    </row>
    <row r="7701" spans="1:5" x14ac:dyDescent="0.2">
      <c r="A7701">
        <v>7640</v>
      </c>
      <c r="B7701" s="138">
        <f>'Expenditures 15-22'!G329</f>
        <v>0</v>
      </c>
      <c r="D7701" s="2" t="str">
        <f t="shared" si="126"/>
        <v>Error?</v>
      </c>
      <c r="E7701" s="2" t="s">
        <v>880</v>
      </c>
    </row>
    <row r="7702" spans="1:5" x14ac:dyDescent="0.2">
      <c r="A7702">
        <v>7641</v>
      </c>
      <c r="B7702" s="138">
        <f>'Expenditures 15-22'!H329</f>
        <v>0</v>
      </c>
      <c r="D7702" s="2" t="str">
        <f t="shared" si="126"/>
        <v>Error?</v>
      </c>
      <c r="E7702" s="2" t="s">
        <v>880</v>
      </c>
    </row>
    <row r="7703" spans="1:5" x14ac:dyDescent="0.2">
      <c r="A7703">
        <v>7642</v>
      </c>
      <c r="B7703" s="138">
        <f>'Expenditures 15-22'!I329</f>
        <v>0</v>
      </c>
      <c r="D7703" s="2" t="str">
        <f t="shared" si="126"/>
        <v>Error?</v>
      </c>
      <c r="E7703" s="2" t="s">
        <v>880</v>
      </c>
    </row>
    <row r="7704" spans="1:5" x14ac:dyDescent="0.2">
      <c r="A7704">
        <v>7643</v>
      </c>
      <c r="B7704" s="138">
        <f>'Expenditures 15-22'!J329</f>
        <v>0</v>
      </c>
      <c r="D7704" s="2" t="str">
        <f t="shared" si="126"/>
        <v>Error?</v>
      </c>
      <c r="E7704" s="2" t="s">
        <v>880</v>
      </c>
    </row>
    <row r="7705" spans="1:5" x14ac:dyDescent="0.2">
      <c r="A7705">
        <v>7644</v>
      </c>
      <c r="B7705" s="138">
        <f>'Expenditures 15-22'!K329</f>
        <v>0</v>
      </c>
      <c r="D7705" s="2" t="str">
        <f t="shared" si="126"/>
        <v>Error?</v>
      </c>
      <c r="E7705" s="2" t="s">
        <v>880</v>
      </c>
    </row>
    <row r="7706" spans="1:5" x14ac:dyDescent="0.2">
      <c r="A7706">
        <v>7645</v>
      </c>
      <c r="B7706" s="138">
        <f>'Revenues 9-14'!H170</f>
        <v>0</v>
      </c>
      <c r="D7706" s="2" t="str">
        <f t="shared" si="126"/>
        <v>Error?</v>
      </c>
      <c r="E7706" s="2" t="s">
        <v>880</v>
      </c>
    </row>
    <row r="7707" spans="1:5" x14ac:dyDescent="0.2">
      <c r="A7707">
        <v>7646</v>
      </c>
      <c r="B7707" s="138">
        <f>'Expenditures 15-22'!I64</f>
        <v>0</v>
      </c>
      <c r="D7707" s="2" t="str">
        <f t="shared" si="126"/>
        <v>Error?</v>
      </c>
      <c r="E7707" s="2" t="s">
        <v>880</v>
      </c>
    </row>
    <row r="7708" spans="1:5" x14ac:dyDescent="0.2">
      <c r="A7708">
        <v>7647</v>
      </c>
      <c r="B7708" s="138">
        <f>'Rest Tax Levies-Tort Im 25'!J3</f>
        <v>0</v>
      </c>
      <c r="D7708" s="2" t="str">
        <f t="shared" si="126"/>
        <v>Error?</v>
      </c>
      <c r="E7708" s="2" t="s">
        <v>880</v>
      </c>
    </row>
    <row r="7709" spans="1:5" x14ac:dyDescent="0.2">
      <c r="A7709">
        <v>7648</v>
      </c>
      <c r="B7709" s="138">
        <f>'Rest Tax Levies-Tort Im 25'!K3</f>
        <v>0</v>
      </c>
      <c r="D7709" s="2" t="str">
        <f t="shared" si="126"/>
        <v>Error?</v>
      </c>
      <c r="E7709" s="2" t="s">
        <v>880</v>
      </c>
    </row>
    <row r="7710" spans="1:5" x14ac:dyDescent="0.2">
      <c r="A7710">
        <v>7649</v>
      </c>
      <c r="B7710" s="138">
        <f>'Rest Tax Levies-Tort Im 25'!J6</f>
        <v>0</v>
      </c>
      <c r="D7710" s="2" t="str">
        <f t="shared" si="126"/>
        <v>Error?</v>
      </c>
      <c r="E7710" s="2" t="s">
        <v>880</v>
      </c>
    </row>
    <row r="7711" spans="1:5" x14ac:dyDescent="0.2">
      <c r="A7711">
        <v>7650</v>
      </c>
      <c r="B7711" s="138">
        <f>'Rest Tax Levies-Tort Im 25'!K6</f>
        <v>0</v>
      </c>
      <c r="D7711" s="2" t="str">
        <f t="shared" si="126"/>
        <v>Error?</v>
      </c>
      <c r="E7711" s="2" t="s">
        <v>880</v>
      </c>
    </row>
    <row r="7712" spans="1:5" x14ac:dyDescent="0.2">
      <c r="A7712">
        <v>7651</v>
      </c>
      <c r="B7712" s="138">
        <f>'Rest Tax Levies-Tort Im 25'!K7</f>
        <v>0</v>
      </c>
      <c r="D7712" s="2" t="str">
        <f t="shared" si="126"/>
        <v>Error?</v>
      </c>
      <c r="E7712" s="2" t="s">
        <v>880</v>
      </c>
    </row>
    <row r="7713" spans="1:6" x14ac:dyDescent="0.2">
      <c r="A7713">
        <v>7652</v>
      </c>
      <c r="B7713" s="138">
        <f>'Rest Tax Levies-Tort Im 25'!J8</f>
        <v>0</v>
      </c>
      <c r="D7713" s="2" t="str">
        <f t="shared" si="126"/>
        <v>Error?</v>
      </c>
      <c r="E7713" s="2" t="s">
        <v>880</v>
      </c>
    </row>
    <row r="7714" spans="1:6" x14ac:dyDescent="0.2">
      <c r="A7714">
        <v>7653</v>
      </c>
      <c r="B7714" s="138">
        <f>'Rest Tax Levies-Tort Im 25'!K9</f>
        <v>0</v>
      </c>
      <c r="D7714" s="2" t="str">
        <f t="shared" si="126"/>
        <v>Error?</v>
      </c>
      <c r="E7714" s="2" t="s">
        <v>880</v>
      </c>
    </row>
    <row r="7715" spans="1:6" x14ac:dyDescent="0.2">
      <c r="A7715">
        <v>7654</v>
      </c>
      <c r="B7715" s="138">
        <f>'Rest Tax Levies-Tort Im 25'!J10</f>
        <v>0</v>
      </c>
      <c r="D7715" s="2" t="str">
        <f t="shared" si="126"/>
        <v>Error?</v>
      </c>
      <c r="E7715" s="2" t="s">
        <v>880</v>
      </c>
    </row>
    <row r="7716" spans="1:6" x14ac:dyDescent="0.2">
      <c r="A7716">
        <v>7655</v>
      </c>
      <c r="B7716" s="138">
        <f>'Rest Tax Levies-Tort Im 25'!K10</f>
        <v>0</v>
      </c>
      <c r="D7716" s="2" t="str">
        <f t="shared" si="126"/>
        <v>Error?</v>
      </c>
      <c r="E7716" s="2" t="s">
        <v>880</v>
      </c>
    </row>
    <row r="7717" spans="1:6" x14ac:dyDescent="0.2">
      <c r="A7717">
        <v>7656</v>
      </c>
      <c r="B7717" s="138">
        <f>'Rest Tax Levies-Tort Im 25'!J11</f>
        <v>0</v>
      </c>
      <c r="D7717" s="2" t="str">
        <f t="shared" si="126"/>
        <v>Error?</v>
      </c>
      <c r="E7717" s="2" t="s">
        <v>880</v>
      </c>
    </row>
    <row r="7718" spans="1:6" x14ac:dyDescent="0.2">
      <c r="A7718">
        <v>7657</v>
      </c>
      <c r="B7718" s="138">
        <f>'Rest Tax Levies-Tort Im 25'!J12</f>
        <v>0</v>
      </c>
      <c r="D7718" s="2" t="str">
        <f t="shared" si="126"/>
        <v>Error?</v>
      </c>
      <c r="E7718" s="2" t="s">
        <v>880</v>
      </c>
    </row>
    <row r="7719" spans="1:6" x14ac:dyDescent="0.2">
      <c r="A7719">
        <v>7658</v>
      </c>
      <c r="B7719" s="138">
        <f>'Rest Tax Levies-Tort Im 25'!K12</f>
        <v>0</v>
      </c>
      <c r="D7719" s="2" t="str">
        <f t="shared" si="126"/>
        <v>Error?</v>
      </c>
      <c r="E7719" s="2" t="s">
        <v>880</v>
      </c>
    </row>
    <row r="7720" spans="1:6" x14ac:dyDescent="0.2">
      <c r="A7720">
        <v>7659</v>
      </c>
      <c r="B7720" s="138">
        <f>'Rest Tax Levies-Tort Im 25'!H14</f>
        <v>111544</v>
      </c>
      <c r="D7720" s="2" t="str">
        <f t="shared" si="126"/>
        <v>Error?</v>
      </c>
      <c r="E7720" s="2" t="s">
        <v>880</v>
      </c>
    </row>
    <row r="7721" spans="1:6" x14ac:dyDescent="0.2">
      <c r="A7721">
        <v>7660</v>
      </c>
      <c r="B7721" s="138">
        <f>'Rest Tax Levies-Tort Im 25'!K14</f>
        <v>0</v>
      </c>
      <c r="D7721" s="2" t="str">
        <f t="shared" si="126"/>
        <v>Error?</v>
      </c>
      <c r="E7721" s="2" t="s">
        <v>880</v>
      </c>
    </row>
    <row r="7722" spans="1:6" x14ac:dyDescent="0.2">
      <c r="A7722">
        <v>7661</v>
      </c>
      <c r="B7722" s="138">
        <f>'Rest Tax Levies-Tort Im 25'!J15</f>
        <v>0</v>
      </c>
      <c r="D7722" s="2" t="str">
        <f t="shared" si="126"/>
        <v>Error?</v>
      </c>
      <c r="E7722" s="2" t="s">
        <v>880</v>
      </c>
    </row>
    <row r="7723" spans="1:6" x14ac:dyDescent="0.2">
      <c r="A7723">
        <v>7662</v>
      </c>
      <c r="B7723" s="138">
        <f>'Rest Tax Levies-Tort Im 25'!K15</f>
        <v>0</v>
      </c>
      <c r="D7723" s="2" t="str">
        <f t="shared" si="126"/>
        <v>Error?</v>
      </c>
      <c r="E7723" s="2" t="s">
        <v>880</v>
      </c>
    </row>
    <row r="7724" spans="1:6" x14ac:dyDescent="0.2">
      <c r="A7724">
        <v>7663</v>
      </c>
      <c r="B7724" s="138">
        <f>'Rest Tax Levies-Tort Im 25'!J18</f>
        <v>0</v>
      </c>
      <c r="D7724" s="2" t="str">
        <f t="shared" si="126"/>
        <v>Error?</v>
      </c>
      <c r="E7724" s="2" t="s">
        <v>880</v>
      </c>
      <c r="F7724" s="2"/>
    </row>
    <row r="7725" spans="1:6" x14ac:dyDescent="0.2">
      <c r="A7725">
        <v>7664</v>
      </c>
      <c r="B7725" s="138">
        <f>'Rest Tax Levies-Tort Im 25'!J19</f>
        <v>0</v>
      </c>
      <c r="D7725" s="2" t="str">
        <f t="shared" si="126"/>
        <v>Error?</v>
      </c>
      <c r="E7725" s="2" t="s">
        <v>880</v>
      </c>
    </row>
    <row r="7726" spans="1:6" x14ac:dyDescent="0.2">
      <c r="A7726">
        <v>7665</v>
      </c>
      <c r="B7726" s="138">
        <f>'Rest Tax Levies-Tort Im 25'!J20</f>
        <v>0</v>
      </c>
      <c r="D7726" s="2" t="str">
        <f t="shared" si="126"/>
        <v>Error?</v>
      </c>
      <c r="E7726" s="2" t="s">
        <v>880</v>
      </c>
    </row>
    <row r="7727" spans="1:6" x14ac:dyDescent="0.2">
      <c r="A7727">
        <v>7666</v>
      </c>
      <c r="B7727" s="138">
        <f>'Rest Tax Levies-Tort Im 25'!J21</f>
        <v>0</v>
      </c>
      <c r="D7727" s="2" t="str">
        <f t="shared" si="126"/>
        <v>Error?</v>
      </c>
      <c r="E7727" s="2" t="s">
        <v>880</v>
      </c>
    </row>
    <row r="7728" spans="1:6" x14ac:dyDescent="0.2">
      <c r="A7728">
        <v>7667</v>
      </c>
      <c r="B7728" s="138">
        <f>'Revenues 9-14'!E103</f>
        <v>0</v>
      </c>
      <c r="D7728" s="2" t="str">
        <f t="shared" si="126"/>
        <v>Error?</v>
      </c>
      <c r="E7728" s="2" t="s">
        <v>880</v>
      </c>
    </row>
    <row r="7729" spans="1:6" x14ac:dyDescent="0.2">
      <c r="A7729">
        <v>7668</v>
      </c>
      <c r="B7729" s="138">
        <f>'Rest Tax Levies-Tort Im 25'!K22</f>
        <v>0</v>
      </c>
      <c r="D7729" s="2" t="str">
        <f t="shared" si="126"/>
        <v>Error?</v>
      </c>
      <c r="E7729" s="2" t="s">
        <v>880</v>
      </c>
    </row>
    <row r="7730" spans="1:6" x14ac:dyDescent="0.2">
      <c r="A7730">
        <v>7669</v>
      </c>
      <c r="B7730" s="138">
        <f>'Rest Tax Levies-Tort Im 25'!J23</f>
        <v>0</v>
      </c>
      <c r="D7730" s="2" t="str">
        <f t="shared" si="126"/>
        <v>Error?</v>
      </c>
      <c r="E7730" s="2" t="s">
        <v>880</v>
      </c>
    </row>
    <row r="7731" spans="1:6" x14ac:dyDescent="0.2">
      <c r="A7731">
        <v>7670</v>
      </c>
      <c r="B7731" s="138">
        <f>'Revenues 9-14'!H103</f>
        <v>0</v>
      </c>
      <c r="D7731" s="2" t="str">
        <f t="shared" si="126"/>
        <v>Error?</v>
      </c>
      <c r="E7731" s="2" t="s">
        <v>880</v>
      </c>
    </row>
    <row r="7732" spans="1:6" x14ac:dyDescent="0.2">
      <c r="A7732">
        <v>7671</v>
      </c>
      <c r="B7732" s="138">
        <f>'Rest Tax Levies-Tort Im 25'!J24</f>
        <v>0</v>
      </c>
      <c r="D7732" s="2" t="str">
        <f t="shared" si="126"/>
        <v>Error?</v>
      </c>
      <c r="E7732" s="2" t="s">
        <v>880</v>
      </c>
    </row>
    <row r="7733" spans="1:6" x14ac:dyDescent="0.2">
      <c r="A7733">
        <v>7672</v>
      </c>
      <c r="B7733" s="138">
        <f>'Rest Tax Levies-Tort Im 25'!K24</f>
        <v>0</v>
      </c>
      <c r="D7733" s="2" t="str">
        <f t="shared" si="126"/>
        <v>Error?</v>
      </c>
      <c r="E7733" s="2" t="s">
        <v>880</v>
      </c>
    </row>
    <row r="7734" spans="1:6" x14ac:dyDescent="0.2">
      <c r="A7734">
        <v>7673</v>
      </c>
      <c r="B7734" s="138">
        <f>'Rest Tax Levies-Tort Im 25'!G25</f>
        <v>0</v>
      </c>
      <c r="D7734" s="2" t="str">
        <f t="shared" si="126"/>
        <v>Error?</v>
      </c>
      <c r="E7734" s="2" t="s">
        <v>880</v>
      </c>
    </row>
    <row r="7735" spans="1:6" x14ac:dyDescent="0.2">
      <c r="A7735">
        <v>7674</v>
      </c>
      <c r="B7735" s="138">
        <f>'Rest Tax Levies-Tort Im 25'!H25</f>
        <v>0</v>
      </c>
      <c r="D7735" s="2" t="str">
        <f t="shared" si="126"/>
        <v>Error?</v>
      </c>
      <c r="E7735" s="2" t="s">
        <v>880</v>
      </c>
    </row>
    <row r="7736" spans="1:6" x14ac:dyDescent="0.2">
      <c r="A7736">
        <v>7675</v>
      </c>
      <c r="B7736" s="138">
        <f>'Rest Tax Levies-Tort Im 25'!I25</f>
        <v>0</v>
      </c>
      <c r="D7736" s="2" t="str">
        <f t="shared" si="126"/>
        <v>Error?</v>
      </c>
      <c r="E7736" s="2" t="s">
        <v>880</v>
      </c>
    </row>
    <row r="7737" spans="1:6" x14ac:dyDescent="0.2">
      <c r="A7737">
        <v>7676</v>
      </c>
      <c r="B7737" s="138">
        <f>'Rest Tax Levies-Tort Im 25'!J25</f>
        <v>0</v>
      </c>
      <c r="D7737" s="2" t="str">
        <f t="shared" si="126"/>
        <v>Error?</v>
      </c>
      <c r="E7737" s="2" t="s">
        <v>880</v>
      </c>
    </row>
    <row r="7738" spans="1:6" x14ac:dyDescent="0.2">
      <c r="A7738">
        <v>7677</v>
      </c>
      <c r="B7738" s="138">
        <f>'Rest Tax Levies-Tort Im 25'!K25</f>
        <v>0</v>
      </c>
      <c r="D7738" s="2" t="str">
        <f t="shared" si="126"/>
        <v>Error?</v>
      </c>
      <c r="E7738" s="2" t="s">
        <v>880</v>
      </c>
    </row>
    <row r="7739" spans="1:6" x14ac:dyDescent="0.2">
      <c r="A7739">
        <v>7678</v>
      </c>
      <c r="B7739" s="138">
        <f>'Rest Tax Levies-Tort Im 25'!G26</f>
        <v>0</v>
      </c>
      <c r="D7739" s="2" t="str">
        <f t="shared" si="126"/>
        <v>Error?</v>
      </c>
      <c r="E7739" s="2" t="s">
        <v>880</v>
      </c>
    </row>
    <row r="7740" spans="1:6" x14ac:dyDescent="0.2">
      <c r="A7740">
        <v>7679</v>
      </c>
      <c r="B7740" s="138">
        <f>'Rest Tax Levies-Tort Im 25'!H26</f>
        <v>0</v>
      </c>
      <c r="D7740" s="2" t="str">
        <f t="shared" si="126"/>
        <v>Error?</v>
      </c>
      <c r="E7740" s="2" t="s">
        <v>880</v>
      </c>
    </row>
    <row r="7741" spans="1:6" x14ac:dyDescent="0.2">
      <c r="A7741">
        <v>7680</v>
      </c>
      <c r="B7741" s="138">
        <f>'Rest Tax Levies-Tort Im 25'!I26</f>
        <v>0</v>
      </c>
      <c r="D7741" s="2" t="str">
        <f t="shared" si="126"/>
        <v>Error?</v>
      </c>
      <c r="E7741" s="2" t="s">
        <v>880</v>
      </c>
    </row>
    <row r="7742" spans="1:6" x14ac:dyDescent="0.2">
      <c r="A7742">
        <v>7681</v>
      </c>
      <c r="B7742" s="138">
        <f>'Rest Tax Levies-Tort Im 25'!J26</f>
        <v>0</v>
      </c>
      <c r="D7742" s="2" t="str">
        <f t="shared" si="126"/>
        <v>Error?</v>
      </c>
      <c r="E7742" s="2" t="s">
        <v>880</v>
      </c>
    </row>
    <row r="7743" spans="1:6" x14ac:dyDescent="0.2">
      <c r="A7743">
        <v>7682</v>
      </c>
      <c r="B7743" s="138">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8">
        <f>'Expenditures 15-22'!H364</f>
        <v>0</v>
      </c>
      <c r="D7745" s="2" t="str">
        <f t="shared" si="127"/>
        <v>Error?</v>
      </c>
      <c r="E7745" s="2" t="s">
        <v>880</v>
      </c>
    </row>
    <row r="7746" spans="1:6" x14ac:dyDescent="0.2">
      <c r="A7746">
        <v>7685</v>
      </c>
      <c r="B7746" s="138">
        <f>'Expenditures 15-22'!K364</f>
        <v>0</v>
      </c>
      <c r="D7746" s="2" t="str">
        <f t="shared" si="127"/>
        <v>Error?</v>
      </c>
      <c r="E7746" s="2" t="s">
        <v>880</v>
      </c>
    </row>
    <row r="7747" spans="1:6" x14ac:dyDescent="0.2">
      <c r="A7747">
        <v>7686</v>
      </c>
      <c r="B7747" s="138">
        <f>'Revenues 9-14'!E273</f>
        <v>0</v>
      </c>
      <c r="D7747" s="2" t="str">
        <f t="shared" si="127"/>
        <v>Error?</v>
      </c>
      <c r="E7747" s="2" t="s">
        <v>880</v>
      </c>
      <c r="F7747" s="2" t="s">
        <v>881</v>
      </c>
    </row>
    <row r="7748" spans="1:6" x14ac:dyDescent="0.2">
      <c r="A7748">
        <v>7687</v>
      </c>
      <c r="B7748" s="138">
        <f>'Acct Summary 7-8'!C25</f>
        <v>0</v>
      </c>
      <c r="D7748" s="2" t="str">
        <f t="shared" si="127"/>
        <v>Error?</v>
      </c>
      <c r="E7748" s="4" t="s">
        <v>1399</v>
      </c>
    </row>
    <row r="7749" spans="1:6" x14ac:dyDescent="0.2">
      <c r="A7749">
        <v>7688</v>
      </c>
      <c r="B7749" s="138">
        <f>'Acct Summary 7-8'!D25</f>
        <v>0</v>
      </c>
      <c r="D7749" s="2" t="str">
        <f t="shared" si="127"/>
        <v>Error?</v>
      </c>
      <c r="E7749" s="4" t="s">
        <v>1399</v>
      </c>
    </row>
    <row r="7750" spans="1:6" x14ac:dyDescent="0.2">
      <c r="A7750">
        <v>7689</v>
      </c>
      <c r="B7750" s="138">
        <f>'Acct Summary 7-8'!E25</f>
        <v>0</v>
      </c>
      <c r="D7750" s="2" t="str">
        <f t="shared" si="127"/>
        <v>Error?</v>
      </c>
      <c r="E7750" s="4" t="s">
        <v>1399</v>
      </c>
    </row>
    <row r="7751" spans="1:6" x14ac:dyDescent="0.2">
      <c r="A7751">
        <v>7690</v>
      </c>
      <c r="B7751" s="138">
        <f>'Acct Summary 7-8'!F25</f>
        <v>0</v>
      </c>
      <c r="D7751" s="2" t="str">
        <f t="shared" si="127"/>
        <v>Error?</v>
      </c>
      <c r="E7751" s="4" t="s">
        <v>1399</v>
      </c>
    </row>
    <row r="7752" spans="1:6" x14ac:dyDescent="0.2">
      <c r="A7752">
        <v>7691</v>
      </c>
      <c r="B7752" s="138">
        <f>'Acct Summary 7-8'!G25</f>
        <v>0</v>
      </c>
      <c r="D7752" s="2" t="str">
        <f t="shared" si="127"/>
        <v>Error?</v>
      </c>
      <c r="E7752" s="4" t="s">
        <v>1399</v>
      </c>
    </row>
    <row r="7753" spans="1:6" x14ac:dyDescent="0.2">
      <c r="A7753">
        <v>7692</v>
      </c>
      <c r="B7753" s="138">
        <f>'Acct Summary 7-8'!H25</f>
        <v>0</v>
      </c>
      <c r="D7753" s="2" t="str">
        <f t="shared" si="127"/>
        <v>Error?</v>
      </c>
      <c r="E7753" s="4" t="s">
        <v>1399</v>
      </c>
    </row>
    <row r="7754" spans="1:6" x14ac:dyDescent="0.2">
      <c r="A7754">
        <v>7693</v>
      </c>
      <c r="B7754" s="138">
        <f>'Acct Summary 7-8'!J25</f>
        <v>0</v>
      </c>
      <c r="D7754" s="2" t="str">
        <f t="shared" si="127"/>
        <v>Error?</v>
      </c>
      <c r="E7754" s="4" t="s">
        <v>1399</v>
      </c>
    </row>
    <row r="7755" spans="1:6" x14ac:dyDescent="0.2">
      <c r="A7755">
        <v>7694</v>
      </c>
      <c r="B7755" s="138">
        <f>'Acct Summary 7-8'!K25</f>
        <v>0</v>
      </c>
      <c r="D7755" s="2" t="str">
        <f t="shared" si="127"/>
        <v>Error?</v>
      </c>
      <c r="E7755" s="4" t="s">
        <v>1399</v>
      </c>
    </row>
    <row r="7756" spans="1:6" x14ac:dyDescent="0.2">
      <c r="A7756">
        <v>7695</v>
      </c>
      <c r="B7756" s="138">
        <f>'Aud Quest 2'!E85</f>
        <v>0</v>
      </c>
      <c r="D7756" s="2" t="str">
        <f t="shared" si="127"/>
        <v>Error?</v>
      </c>
      <c r="E7756" s="4" t="s">
        <v>1399</v>
      </c>
      <c r="F7756" t="s">
        <v>1519</v>
      </c>
    </row>
    <row r="7757" spans="1:6" x14ac:dyDescent="0.2">
      <c r="A7757">
        <v>7696</v>
      </c>
      <c r="B7757" s="138">
        <f>'Aud Quest 2'!E87</f>
        <v>0</v>
      </c>
      <c r="D7757" s="2" t="str">
        <f t="shared" si="127"/>
        <v>Error?</v>
      </c>
      <c r="E7757" s="4" t="s">
        <v>1399</v>
      </c>
      <c r="F7757" t="s">
        <v>1519</v>
      </c>
    </row>
    <row r="7758" spans="1:6" x14ac:dyDescent="0.2">
      <c r="A7758">
        <v>7697</v>
      </c>
      <c r="B7758" s="138">
        <f>'Aud Quest 2'!J85</f>
        <v>0</v>
      </c>
      <c r="D7758" s="2" t="str">
        <f t="shared" si="127"/>
        <v>Error?</v>
      </c>
      <c r="E7758" s="4" t="s">
        <v>1399</v>
      </c>
    </row>
    <row r="7759" spans="1:6" x14ac:dyDescent="0.2">
      <c r="A7759">
        <v>7698</v>
      </c>
      <c r="B7759" s="138">
        <f>'Aud Quest 2'!J88</f>
        <v>0</v>
      </c>
      <c r="D7759" s="2" t="str">
        <f t="shared" si="127"/>
        <v>Error?</v>
      </c>
      <c r="E7759" s="4" t="s">
        <v>1399</v>
      </c>
    </row>
    <row r="7760" spans="1:6" x14ac:dyDescent="0.2">
      <c r="A7760">
        <v>7699</v>
      </c>
      <c r="B7760" s="138">
        <f>'Aud Quest 2'!J90</f>
        <v>0</v>
      </c>
      <c r="D7760" s="2" t="str">
        <f t="shared" si="127"/>
        <v>Error?</v>
      </c>
      <c r="E7760" s="4" t="s">
        <v>1399</v>
      </c>
    </row>
    <row r="7761" spans="1:5" x14ac:dyDescent="0.2">
      <c r="A7761">
        <v>7700</v>
      </c>
      <c r="B7761" s="138">
        <f>'Revenues 9-14'!C260</f>
        <v>0</v>
      </c>
      <c r="D7761" s="2" t="str">
        <f t="shared" si="127"/>
        <v>Error?</v>
      </c>
      <c r="E7761" s="4" t="s">
        <v>1493</v>
      </c>
    </row>
    <row r="7762" spans="1:5" x14ac:dyDescent="0.2">
      <c r="A7762">
        <v>7701</v>
      </c>
      <c r="B7762" s="138">
        <f>'Expenditures 15-22'!E6</f>
        <v>0</v>
      </c>
      <c r="D7762" s="2" t="str">
        <f t="shared" si="127"/>
        <v>Error?</v>
      </c>
      <c r="E7762" s="4" t="s">
        <v>1506</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1534</v>
      </c>
    </row>
    <row r="7765" spans="1:5" x14ac:dyDescent="0.2">
      <c r="A7765">
        <v>7704</v>
      </c>
      <c r="B7765" s="138">
        <f>'Revenues 9-14'!C261</f>
        <v>0</v>
      </c>
      <c r="D7765" s="2" t="str">
        <f t="shared" si="127"/>
        <v>Error?</v>
      </c>
      <c r="E7765" s="4" t="s">
        <v>1538</v>
      </c>
    </row>
    <row r="7766" spans="1:5" x14ac:dyDescent="0.2">
      <c r="A7766">
        <v>7705</v>
      </c>
      <c r="B7766" s="138">
        <f>'Revenues 9-14'!D261</f>
        <v>0</v>
      </c>
      <c r="D7766" s="2" t="str">
        <f t="shared" si="127"/>
        <v>Error?</v>
      </c>
      <c r="E7766" s="4" t="s">
        <v>1538</v>
      </c>
    </row>
    <row r="7767" spans="1:5" x14ac:dyDescent="0.2">
      <c r="A7767" s="129">
        <v>7706</v>
      </c>
      <c r="E7767" s="4"/>
    </row>
    <row r="7768" spans="1:5" x14ac:dyDescent="0.2">
      <c r="A7768">
        <v>7707</v>
      </c>
      <c r="B7768" s="138">
        <f>'Revenues 9-14'!F261</f>
        <v>0</v>
      </c>
      <c r="D7768" s="2" t="str">
        <f t="shared" si="127"/>
        <v>Error?</v>
      </c>
      <c r="E7768" s="4" t="s">
        <v>1538</v>
      </c>
    </row>
    <row r="7769" spans="1:5" x14ac:dyDescent="0.2">
      <c r="A7769">
        <v>7708</v>
      </c>
      <c r="B7769" s="138">
        <f>'Revenues 9-14'!G261</f>
        <v>0</v>
      </c>
      <c r="D7769" s="2" t="str">
        <f t="shared" si="127"/>
        <v>Error?</v>
      </c>
      <c r="E7769" s="4" t="s">
        <v>1538</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1539</v>
      </c>
    </row>
    <row r="7773" spans="1:5" x14ac:dyDescent="0.2">
      <c r="A7773">
        <v>7712</v>
      </c>
      <c r="B7773" s="138">
        <f>'Rest Tax Levies-Tort Im 25'!J22</f>
        <v>0</v>
      </c>
      <c r="D7773" s="2" t="str">
        <f t="shared" si="127"/>
        <v>Error?</v>
      </c>
      <c r="E7773" s="4" t="s">
        <v>1633</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29'!D141</f>
        <v>1435413</v>
      </c>
      <c r="D7797" s="2" t="str">
        <f t="shared" si="127"/>
        <v>Error?</v>
      </c>
      <c r="E7797" s="4" t="s">
        <v>2019</v>
      </c>
    </row>
    <row r="7798" spans="1:5" x14ac:dyDescent="0.2">
      <c r="A7798">
        <v>7737</v>
      </c>
      <c r="B7798" s="138">
        <f>'Contracts Paid in CY 29'!F141</f>
        <v>311763</v>
      </c>
      <c r="D7798" s="2" t="str">
        <f t="shared" si="127"/>
        <v>Error?</v>
      </c>
      <c r="E7798" s="4" t="s">
        <v>2019</v>
      </c>
    </row>
    <row r="7799" spans="1:5" x14ac:dyDescent="0.2">
      <c r="A7799">
        <v>7738</v>
      </c>
      <c r="B7799" s="138">
        <f>'Contracts Paid in CY 29'!G141</f>
        <v>1099532</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election activeCell="H34" sqref="H34"/>
    </sheetView>
  </sheetViews>
  <sheetFormatPr defaultColWidth="9.140625" defaultRowHeight="12.75" x14ac:dyDescent="0.2"/>
  <cols>
    <col min="1" max="1" width="7.85546875" style="1171" customWidth="1"/>
    <col min="2" max="2" width="2.28515625" style="1167" customWidth="1"/>
    <col min="3" max="3" width="9.140625" style="1171"/>
    <col min="4" max="4" width="13" style="1171" customWidth="1"/>
    <col min="5" max="5" width="16" style="1171" customWidth="1"/>
    <col min="6" max="6" width="4.140625" style="1171" customWidth="1"/>
    <col min="7" max="7" width="3.7109375" style="1171" customWidth="1"/>
    <col min="8" max="8" width="9.7109375" style="1171" customWidth="1"/>
    <col min="9" max="9" width="10.7109375" style="1171" customWidth="1"/>
    <col min="10" max="10" width="5" style="1171" customWidth="1"/>
    <col min="11" max="11" width="6.5703125" style="1171" customWidth="1"/>
    <col min="12" max="12" width="12.85546875" style="1171" customWidth="1"/>
    <col min="13" max="13" width="2.7109375" style="1171" customWidth="1"/>
    <col min="14" max="14" width="13.140625" style="1171" customWidth="1"/>
    <col min="15" max="15" width="7.140625" style="1171" customWidth="1"/>
    <col min="16" max="16" width="7" style="1171" customWidth="1"/>
    <col min="17" max="17" width="9.7109375" style="1171" customWidth="1"/>
    <col min="18" max="19" width="9.85546875" style="1171" customWidth="1"/>
    <col min="20" max="16384" width="9.140625" style="1171"/>
  </cols>
  <sheetData>
    <row r="1" spans="1:29" x14ac:dyDescent="0.2">
      <c r="A1" s="1166"/>
      <c r="C1" s="1166"/>
      <c r="D1" s="1166"/>
      <c r="E1" s="1166"/>
      <c r="F1" s="1168"/>
      <c r="G1" s="1168"/>
      <c r="H1" s="1166"/>
      <c r="I1" s="1166"/>
      <c r="J1" s="1166"/>
      <c r="K1" s="1166"/>
      <c r="L1" s="1169"/>
      <c r="M1" s="1170"/>
    </row>
    <row r="2" spans="1:29" ht="13.5" customHeight="1" x14ac:dyDescent="0.2">
      <c r="A2" s="2412" t="s">
        <v>1252</v>
      </c>
      <c r="B2" s="2412"/>
      <c r="C2" s="2412"/>
      <c r="D2" s="2412"/>
      <c r="E2" s="2412"/>
      <c r="F2" s="2412"/>
      <c r="G2" s="2412"/>
      <c r="H2" s="2412"/>
      <c r="I2" s="2412"/>
      <c r="J2" s="2412"/>
      <c r="K2" s="2412"/>
      <c r="L2" s="2412"/>
    </row>
    <row r="3" spans="1:29" ht="13.5" customHeight="1" x14ac:dyDescent="0.2">
      <c r="A3" s="2443" t="s">
        <v>1251</v>
      </c>
      <c r="B3" s="2443"/>
      <c r="C3" s="2443"/>
      <c r="D3" s="2443"/>
      <c r="E3" s="2443"/>
      <c r="F3" s="2443"/>
      <c r="G3" s="2443"/>
      <c r="H3" s="2443"/>
      <c r="I3" s="2443"/>
      <c r="J3" s="2443"/>
      <c r="K3" s="2443"/>
      <c r="L3" s="2443"/>
    </row>
    <row r="4" spans="1:29" ht="13.5" customHeight="1" x14ac:dyDescent="0.2">
      <c r="A4" s="2412" t="s">
        <v>1798</v>
      </c>
      <c r="B4" s="2433"/>
      <c r="C4" s="2433"/>
      <c r="D4" s="2433"/>
      <c r="E4" s="2433"/>
      <c r="F4" s="2433"/>
      <c r="G4" s="2433"/>
      <c r="H4" s="2433"/>
      <c r="I4" s="2433"/>
      <c r="J4" s="2433"/>
      <c r="K4" s="2433"/>
      <c r="L4" s="2433"/>
    </row>
    <row r="5" spans="1:29" ht="29.85" customHeight="1" x14ac:dyDescent="0.2">
      <c r="A5" s="1172"/>
      <c r="B5" s="1173"/>
      <c r="C5" s="1172"/>
      <c r="D5" s="1172"/>
      <c r="E5" s="1172"/>
      <c r="F5" s="1172"/>
      <c r="G5" s="1172"/>
      <c r="H5" s="1172"/>
      <c r="I5" s="1172"/>
      <c r="J5" s="1172"/>
      <c r="K5" s="1172"/>
      <c r="L5" s="1172"/>
      <c r="V5" s="1174"/>
      <c r="W5" s="1174"/>
      <c r="X5" s="1174"/>
      <c r="Y5" s="1174"/>
      <c r="Z5" s="1174"/>
      <c r="AA5" s="1174"/>
      <c r="AB5" s="1174"/>
      <c r="AC5" s="1174"/>
    </row>
    <row r="6" spans="1:29" ht="13.5" customHeight="1" x14ac:dyDescent="0.2">
      <c r="A6" s="1175" t="s">
        <v>1250</v>
      </c>
      <c r="B6" s="1176"/>
      <c r="C6" s="1177"/>
      <c r="D6" s="1177"/>
      <c r="E6" s="1178" t="s">
        <v>1249</v>
      </c>
      <c r="F6" s="1179"/>
      <c r="G6" s="1180" t="s">
        <v>1248</v>
      </c>
      <c r="H6" s="1177"/>
      <c r="I6" s="1177"/>
      <c r="J6" s="1177"/>
      <c r="K6" s="1177"/>
      <c r="L6" s="1181"/>
      <c r="V6" s="1174"/>
      <c r="W6" s="1174"/>
      <c r="X6" s="1174"/>
      <c r="Y6" s="1174"/>
      <c r="Z6" s="1174"/>
      <c r="AA6" s="1174"/>
      <c r="AB6" s="1174"/>
      <c r="AC6" s="1174"/>
    </row>
    <row r="7" spans="1:29" ht="16.5" customHeight="1" x14ac:dyDescent="0.2">
      <c r="A7" s="2434" t="str">
        <f>COVER!A17</f>
        <v>Ottawa Township High School</v>
      </c>
      <c r="B7" s="2435"/>
      <c r="C7" s="2435"/>
      <c r="D7" s="2436"/>
      <c r="E7" s="2437">
        <f>COVER!A13</f>
        <v>35050140017</v>
      </c>
      <c r="F7" s="2438"/>
      <c r="G7" s="2444" t="str">
        <f>COVER!T23</f>
        <v>060-003995</v>
      </c>
      <c r="H7" s="2445"/>
      <c r="I7" s="2445"/>
      <c r="J7" s="2445"/>
      <c r="K7" s="2445"/>
      <c r="L7" s="2446"/>
    </row>
    <row r="8" spans="1:29" ht="13.5" customHeight="1" x14ac:dyDescent="0.2">
      <c r="A8" s="1175" t="s">
        <v>1596</v>
      </c>
      <c r="B8" s="1176"/>
      <c r="C8" s="1177"/>
      <c r="D8" s="1177"/>
      <c r="E8" s="1182"/>
      <c r="F8" s="1181"/>
      <c r="G8" s="1183" t="s">
        <v>1247</v>
      </c>
      <c r="H8" s="1184"/>
      <c r="I8" s="1184"/>
      <c r="J8" s="1184"/>
      <c r="K8" s="1184"/>
      <c r="L8" s="1185"/>
    </row>
    <row r="9" spans="1:29" ht="13.5" customHeight="1" x14ac:dyDescent="0.2">
      <c r="A9" s="2447"/>
      <c r="B9" s="2448"/>
      <c r="C9" s="2448"/>
      <c r="D9" s="2448"/>
      <c r="E9" s="2448"/>
      <c r="F9" s="2449"/>
      <c r="G9" s="2418" t="str">
        <f>COVER!T13</f>
        <v>Roenfeldt &amp; Lockas, P.C.</v>
      </c>
      <c r="H9" s="2450"/>
      <c r="I9" s="2450"/>
      <c r="J9" s="2450"/>
      <c r="K9" s="2450"/>
      <c r="L9" s="2451"/>
    </row>
    <row r="10" spans="1:29" ht="13.5" customHeight="1" x14ac:dyDescent="0.2">
      <c r="A10" s="2424" t="str">
        <f>COVER!A38</f>
        <v>Michael Cushing</v>
      </c>
      <c r="B10" s="2425"/>
      <c r="C10" s="2425"/>
      <c r="D10" s="2425"/>
      <c r="E10" s="2425"/>
      <c r="F10" s="2426"/>
      <c r="G10" s="2418" t="str">
        <f>COVER!T17</f>
        <v>1100 Columbus Street</v>
      </c>
      <c r="H10" s="2419"/>
      <c r="I10" s="2419"/>
      <c r="J10" s="2419"/>
      <c r="K10" s="2419"/>
      <c r="L10" s="2420"/>
    </row>
    <row r="11" spans="1:29" ht="13.5" customHeight="1" x14ac:dyDescent="0.2">
      <c r="A11" s="1175" t="s">
        <v>1598</v>
      </c>
      <c r="B11" s="1176"/>
      <c r="C11" s="1177"/>
      <c r="D11" s="1182"/>
      <c r="E11" s="1177"/>
      <c r="F11" s="1181"/>
      <c r="G11" s="2418" t="str">
        <f>COVER!T19</f>
        <v>Ottawa</v>
      </c>
      <c r="H11" s="2419"/>
      <c r="I11" s="2419"/>
      <c r="J11" s="2419"/>
      <c r="K11" s="2419"/>
      <c r="L11" s="2420"/>
    </row>
    <row r="12" spans="1:29" ht="13.5" customHeight="1" x14ac:dyDescent="0.2">
      <c r="A12" s="2427" t="s">
        <v>1597</v>
      </c>
      <c r="B12" s="2428"/>
      <c r="C12" s="2428"/>
      <c r="D12" s="2428"/>
      <c r="E12" s="2428"/>
      <c r="F12" s="2429"/>
      <c r="G12" s="2421"/>
      <c r="H12" s="2422"/>
      <c r="I12" s="2422"/>
      <c r="J12" s="2422"/>
      <c r="K12" s="2422"/>
      <c r="L12" s="2423"/>
    </row>
    <row r="13" spans="1:29" ht="13.5" customHeight="1" x14ac:dyDescent="0.2">
      <c r="A13" s="2418"/>
      <c r="B13" s="2419"/>
      <c r="C13" s="2419"/>
      <c r="D13" s="2419"/>
      <c r="E13" s="2419"/>
      <c r="F13" s="2420"/>
      <c r="G13" s="2413" t="s">
        <v>1599</v>
      </c>
      <c r="H13" s="2414"/>
      <c r="I13" s="2430" t="str">
        <f>COVER!T25</f>
        <v>admin@roenfeldtlockas.com</v>
      </c>
      <c r="J13" s="2431"/>
      <c r="K13" s="2431"/>
      <c r="L13" s="2432"/>
    </row>
    <row r="14" spans="1:29" ht="13.5" customHeight="1" x14ac:dyDescent="0.2">
      <c r="A14" s="2418" t="str">
        <f>COVER!A19</f>
        <v>211 East Main Street</v>
      </c>
      <c r="B14" s="2419"/>
      <c r="C14" s="2419"/>
      <c r="D14" s="2419"/>
      <c r="E14" s="2419"/>
      <c r="F14" s="2420"/>
      <c r="G14" s="1186" t="s">
        <v>1246</v>
      </c>
      <c r="H14" s="1184"/>
      <c r="I14" s="1184"/>
      <c r="J14" s="1184"/>
      <c r="K14" s="1184"/>
      <c r="L14" s="1185"/>
    </row>
    <row r="15" spans="1:29" ht="13.5" customHeight="1" x14ac:dyDescent="0.2">
      <c r="A15" s="2418" t="str">
        <f>COVER!A21</f>
        <v>Ottawa</v>
      </c>
      <c r="B15" s="2419"/>
      <c r="C15" s="2419"/>
      <c r="D15" s="2419"/>
      <c r="E15" s="2419"/>
      <c r="F15" s="2420"/>
      <c r="G15" s="2415" t="str">
        <f>COVER!T15</f>
        <v>Duane K. Lockas, C.P.A.</v>
      </c>
      <c r="H15" s="2416"/>
      <c r="I15" s="2416"/>
      <c r="J15" s="2416"/>
      <c r="K15" s="2416"/>
      <c r="L15" s="2417"/>
    </row>
    <row r="16" spans="1:29" ht="12.2" customHeight="1" x14ac:dyDescent="0.2">
      <c r="A16" s="2440">
        <f>COVER!A25</f>
        <v>61350</v>
      </c>
      <c r="B16" s="2441"/>
      <c r="C16" s="2441"/>
      <c r="D16" s="2441"/>
      <c r="E16" s="2441"/>
      <c r="F16" s="2442"/>
      <c r="G16" s="2452"/>
      <c r="H16" s="2453"/>
      <c r="I16" s="2453"/>
      <c r="J16" s="2453"/>
      <c r="K16" s="2453"/>
      <c r="L16" s="2454"/>
    </row>
    <row r="17" spans="1:13" ht="12.2" customHeight="1" x14ac:dyDescent="0.2">
      <c r="A17" s="2455"/>
      <c r="B17" s="2441"/>
      <c r="C17" s="2441"/>
      <c r="D17" s="2441"/>
      <c r="E17" s="2441"/>
      <c r="F17" s="2442"/>
      <c r="G17" s="1186" t="s">
        <v>1245</v>
      </c>
      <c r="H17" s="1184"/>
      <c r="I17" s="1184"/>
      <c r="J17" s="1184"/>
      <c r="K17" s="1188" t="s">
        <v>1244</v>
      </c>
      <c r="L17" s="1181"/>
      <c r="M17" s="1174"/>
    </row>
    <row r="18" spans="1:13" ht="12.2" customHeight="1" x14ac:dyDescent="0.2">
      <c r="A18" s="2424"/>
      <c r="B18" s="2425"/>
      <c r="C18" s="2425"/>
      <c r="D18" s="2425"/>
      <c r="E18" s="2425"/>
      <c r="F18" s="2426"/>
      <c r="G18" s="2434" t="str">
        <f>COVER!T21</f>
        <v>815-433-0464</v>
      </c>
      <c r="H18" s="2435"/>
      <c r="I18" s="2435"/>
      <c r="J18" s="2435"/>
      <c r="K18" s="2434" t="str">
        <f>COVER!X21</f>
        <v>815-433-6464</v>
      </c>
      <c r="L18" s="2439"/>
    </row>
    <row r="19" spans="1:13" ht="12.2" customHeight="1" x14ac:dyDescent="0.2">
      <c r="A19" s="1189"/>
      <c r="C19" s="1189"/>
      <c r="D19" s="1189"/>
      <c r="E19" s="1189"/>
      <c r="F19" s="1189"/>
      <c r="G19" s="1189"/>
      <c r="H19" s="1189"/>
      <c r="I19" s="1189"/>
      <c r="J19" s="1189"/>
      <c r="K19" s="1189"/>
      <c r="L19" s="1189"/>
    </row>
    <row r="20" spans="1:13" ht="12.2" customHeight="1" x14ac:dyDescent="0.2">
      <c r="A20" s="1189"/>
      <c r="C20" s="1189"/>
      <c r="D20" s="1189"/>
      <c r="E20" s="1189"/>
      <c r="F20" s="1189"/>
      <c r="G20" s="1189"/>
      <c r="H20" s="1189"/>
      <c r="I20" s="1189"/>
      <c r="J20" s="1189" t="s">
        <v>1230</v>
      </c>
      <c r="K20" s="1167" t="s">
        <v>1230</v>
      </c>
    </row>
    <row r="21" spans="1:13" ht="12.2" customHeight="1" x14ac:dyDescent="0.2">
      <c r="A21" s="1190" t="s">
        <v>1799</v>
      </c>
    </row>
    <row r="22" spans="1:13" ht="12.2" customHeight="1" x14ac:dyDescent="0.2">
      <c r="A22" s="1191"/>
    </row>
    <row r="23" spans="1:13" ht="12.2" customHeight="1" x14ac:dyDescent="0.2">
      <c r="A23" s="1191"/>
      <c r="B23" s="1192"/>
      <c r="C23" s="1193" t="s">
        <v>1243</v>
      </c>
    </row>
    <row r="24" spans="1:13" ht="10.15" customHeight="1" x14ac:dyDescent="0.2">
      <c r="A24" s="1191"/>
      <c r="C24" s="1193" t="s">
        <v>1242</v>
      </c>
    </row>
    <row r="25" spans="1:13" ht="9" customHeight="1" x14ac:dyDescent="0.2">
      <c r="B25" s="1194" t="s">
        <v>1230</v>
      </c>
      <c r="C25" s="1195"/>
    </row>
    <row r="26" spans="1:13" s="1189" customFormat="1" ht="12.2" customHeight="1" x14ac:dyDescent="0.2">
      <c r="B26" s="1192"/>
      <c r="C26" s="1193" t="s">
        <v>1800</v>
      </c>
    </row>
    <row r="27" spans="1:13" s="1189" customFormat="1" ht="9" customHeight="1" x14ac:dyDescent="0.2">
      <c r="B27" s="1194"/>
      <c r="C27" s="1193"/>
    </row>
    <row r="28" spans="1:13" s="1189" customFormat="1" ht="12.2" customHeight="1" x14ac:dyDescent="0.2">
      <c r="A28" s="1196"/>
      <c r="B28" s="1192"/>
      <c r="C28" s="1193" t="s">
        <v>1801</v>
      </c>
    </row>
    <row r="29" spans="1:13" s="1189" customFormat="1" ht="9" customHeight="1" x14ac:dyDescent="0.2">
      <c r="A29" s="1196"/>
      <c r="B29" s="1194"/>
      <c r="C29" s="1193"/>
    </row>
    <row r="30" spans="1:13" s="1189" customFormat="1" ht="12.2" customHeight="1" x14ac:dyDescent="0.2">
      <c r="B30" s="1192"/>
      <c r="C30" s="1193" t="s">
        <v>1642</v>
      </c>
      <c r="D30" s="1187"/>
      <c r="E30" s="1187"/>
    </row>
    <row r="31" spans="1:13" s="1189" customFormat="1" ht="9" customHeight="1" x14ac:dyDescent="0.2">
      <c r="B31" s="1194"/>
      <c r="C31" s="1193"/>
      <c r="D31" s="1187"/>
      <c r="E31" s="1187"/>
    </row>
    <row r="32" spans="1:13" s="1189" customFormat="1" ht="12.2" customHeight="1" x14ac:dyDescent="0.2">
      <c r="B32" s="1192"/>
      <c r="C32" s="1193" t="s">
        <v>1643</v>
      </c>
      <c r="D32" s="1187"/>
      <c r="E32" s="1187"/>
    </row>
    <row r="33" spans="1:8" s="1189" customFormat="1" ht="10.9" customHeight="1" x14ac:dyDescent="0.2">
      <c r="B33" s="1194"/>
      <c r="C33" s="1197" t="s">
        <v>1802</v>
      </c>
      <c r="D33" s="1187"/>
      <c r="E33" s="1187"/>
    </row>
    <row r="34" spans="1:8" ht="9" customHeight="1" x14ac:dyDescent="0.2">
      <c r="B34" s="1194"/>
      <c r="C34" s="1197"/>
    </row>
    <row r="35" spans="1:8" s="1189" customFormat="1" ht="13.5" customHeight="1" x14ac:dyDescent="0.2">
      <c r="B35" s="1192"/>
      <c r="C35" s="1193" t="s">
        <v>1644</v>
      </c>
    </row>
    <row r="36" spans="1:8" s="1189" customFormat="1" ht="10.9" customHeight="1" x14ac:dyDescent="0.2">
      <c r="B36" s="1194"/>
      <c r="C36" s="1197" t="s">
        <v>1645</v>
      </c>
    </row>
    <row r="37" spans="1:8" ht="9" customHeight="1" x14ac:dyDescent="0.2">
      <c r="B37" s="1194"/>
      <c r="C37" s="1197"/>
    </row>
    <row r="38" spans="1:8" s="1189" customFormat="1" ht="12.2" customHeight="1" x14ac:dyDescent="0.2">
      <c r="B38" s="1192"/>
      <c r="C38" s="1193" t="s">
        <v>1646</v>
      </c>
    </row>
    <row r="39" spans="1:8" ht="9" customHeight="1" x14ac:dyDescent="0.2">
      <c r="B39" s="1194"/>
      <c r="C39" s="1197"/>
    </row>
    <row r="40" spans="1:8" s="1189" customFormat="1" ht="13.5" customHeight="1" x14ac:dyDescent="0.2">
      <c r="B40" s="1192"/>
      <c r="C40" s="1193" t="s">
        <v>1647</v>
      </c>
    </row>
    <row r="41" spans="1:8" ht="9" customHeight="1" x14ac:dyDescent="0.2">
      <c r="A41" s="1198"/>
      <c r="B41" s="1194"/>
      <c r="C41" s="1197"/>
    </row>
    <row r="42" spans="1:8" s="1189" customFormat="1" ht="13.5" customHeight="1" x14ac:dyDescent="0.2">
      <c r="B42" s="1192"/>
      <c r="C42" s="1193" t="s">
        <v>1946</v>
      </c>
      <c r="D42" s="1187"/>
      <c r="E42" s="1187"/>
      <c r="F42" s="1187"/>
      <c r="G42" s="1187"/>
      <c r="H42" s="1187"/>
    </row>
    <row r="43" spans="1:8" s="1189" customFormat="1" ht="12.95" customHeight="1" x14ac:dyDescent="0.2">
      <c r="B43" s="1194"/>
      <c r="C43" s="1184"/>
      <c r="D43" s="1187"/>
      <c r="E43" s="1187"/>
      <c r="F43" s="1187"/>
      <c r="G43" s="1187"/>
      <c r="H43" s="1187"/>
    </row>
    <row r="44" spans="1:8" s="1189" customFormat="1" ht="13.5" customHeight="1" x14ac:dyDescent="0.2">
      <c r="A44" s="1190" t="s">
        <v>1241</v>
      </c>
      <c r="B44" s="1194"/>
      <c r="D44" s="1187"/>
      <c r="E44" s="1187"/>
      <c r="F44" s="1187"/>
      <c r="G44" s="1187"/>
      <c r="H44" s="1187"/>
    </row>
    <row r="45" spans="1:8" ht="12" customHeight="1" x14ac:dyDescent="0.2">
      <c r="B45" s="1194"/>
      <c r="D45" s="1199"/>
      <c r="E45" s="1199"/>
      <c r="F45" s="1199"/>
      <c r="G45" s="1199"/>
      <c r="H45" s="1199"/>
    </row>
    <row r="46" spans="1:8" s="1189" customFormat="1" ht="12.2" customHeight="1" x14ac:dyDescent="0.2">
      <c r="B46" s="1192"/>
      <c r="C46" s="1200" t="s">
        <v>1648</v>
      </c>
      <c r="D46" s="1187"/>
      <c r="E46" s="1187"/>
      <c r="F46" s="1187"/>
      <c r="G46" s="1187"/>
      <c r="H46" s="1187"/>
    </row>
    <row r="47" spans="1:8" ht="9" customHeight="1" x14ac:dyDescent="0.2"/>
    <row r="48" spans="1:8" ht="12.2" customHeight="1" x14ac:dyDescent="0.2">
      <c r="B48" s="1201"/>
      <c r="C48" s="1202" t="s">
        <v>1649</v>
      </c>
    </row>
    <row r="49" spans="1:12" ht="9" customHeight="1" x14ac:dyDescent="0.2"/>
    <row r="50" spans="1:12" ht="6" customHeight="1" x14ac:dyDescent="0.2">
      <c r="C50" s="1202"/>
    </row>
    <row r="51" spans="1:12" ht="12.2" customHeight="1" x14ac:dyDescent="0.2">
      <c r="A51" s="1204" t="s">
        <v>1803</v>
      </c>
    </row>
    <row r="52" spans="1:12" ht="12.2" customHeight="1" x14ac:dyDescent="0.2">
      <c r="A52" s="1199"/>
    </row>
    <row r="53" spans="1:12" ht="12.2" customHeight="1" x14ac:dyDescent="0.2"/>
    <row r="54" spans="1:12" ht="12.2" customHeight="1" x14ac:dyDescent="0.2"/>
    <row r="55" spans="1:12" ht="12.2" customHeight="1" x14ac:dyDescent="0.2"/>
    <row r="56" spans="1:12" ht="12.2" customHeight="1" x14ac:dyDescent="0.2">
      <c r="A56" s="1203"/>
    </row>
    <row r="59" spans="1:12" ht="12.75" customHeight="1" x14ac:dyDescent="0.2"/>
    <row r="60" spans="1:12" ht="36" customHeight="1" x14ac:dyDescent="0.2">
      <c r="L60" s="116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08" customWidth="1"/>
    <col min="2" max="2" width="2.7109375" style="1212" customWidth="1"/>
    <col min="3" max="3" width="3.28515625" style="1222" customWidth="1"/>
    <col min="4" max="4" width="97.7109375" style="1212" customWidth="1"/>
    <col min="5" max="5" width="4.140625" style="1212" customWidth="1"/>
    <col min="6" max="16384" width="10.7109375" style="1212"/>
  </cols>
  <sheetData>
    <row r="1" spans="1:11" s="1205" customFormat="1" ht="12.75" x14ac:dyDescent="0.2">
      <c r="A1" s="2456" t="str">
        <f>'Single Audit Cover'!A7</f>
        <v>Ottawa Township High School</v>
      </c>
      <c r="B1" s="2433"/>
      <c r="C1" s="2433"/>
      <c r="D1" s="2433"/>
    </row>
    <row r="2" spans="1:11" s="1205" customFormat="1" ht="12.75" x14ac:dyDescent="0.2">
      <c r="A2" s="2457">
        <f>'Single Audit Cover'!E7</f>
        <v>35050140017</v>
      </c>
      <c r="B2" s="2458"/>
      <c r="C2" s="2458"/>
      <c r="D2" s="2458"/>
    </row>
    <row r="3" spans="1:11" s="1205" customFormat="1" ht="12.75" x14ac:dyDescent="0.2">
      <c r="A3" s="2456" t="s">
        <v>1592</v>
      </c>
      <c r="B3" s="2433"/>
      <c r="C3" s="2433"/>
      <c r="D3" s="2433"/>
    </row>
    <row r="4" spans="1:11" s="1205" customFormat="1" ht="4.5" customHeight="1" x14ac:dyDescent="0.2">
      <c r="A4" s="1206"/>
      <c r="B4" s="1207"/>
      <c r="C4" s="1207"/>
      <c r="D4" s="1207"/>
    </row>
    <row r="5" spans="1:11" x14ac:dyDescent="0.2">
      <c r="B5" s="1209" t="s">
        <v>1593</v>
      </c>
      <c r="C5" s="1210"/>
      <c r="D5" s="1211"/>
    </row>
    <row r="6" spans="1:11" x14ac:dyDescent="0.2">
      <c r="B6" s="1209" t="s">
        <v>1286</v>
      </c>
      <c r="C6" s="1210"/>
      <c r="D6" s="1211"/>
    </row>
    <row r="7" spans="1:11" x14ac:dyDescent="0.2">
      <c r="B7" s="1209" t="s">
        <v>1594</v>
      </c>
      <c r="C7" s="1210"/>
      <c r="D7" s="1211"/>
    </row>
    <row r="8" spans="1:11" ht="4.5" customHeight="1" x14ac:dyDescent="0.2">
      <c r="B8" s="1209"/>
      <c r="C8" s="1210"/>
      <c r="D8" s="1211"/>
    </row>
    <row r="9" spans="1:11" x14ac:dyDescent="0.2">
      <c r="B9" s="1213" t="s">
        <v>1285</v>
      </c>
      <c r="C9" s="1214"/>
      <c r="D9" s="1211"/>
    </row>
    <row r="10" spans="1:11" ht="4.5" customHeight="1" x14ac:dyDescent="0.2">
      <c r="B10" s="1213"/>
      <c r="C10" s="1214"/>
      <c r="D10" s="1211"/>
    </row>
    <row r="11" spans="1:11" x14ac:dyDescent="0.2">
      <c r="B11" s="1215"/>
      <c r="C11" s="1216">
        <v>1</v>
      </c>
      <c r="D11" s="1217" t="s">
        <v>1804</v>
      </c>
      <c r="E11" s="1218"/>
      <c r="F11" s="1218"/>
      <c r="G11" s="1218"/>
      <c r="H11" s="1218"/>
      <c r="I11" s="1218"/>
      <c r="J11" s="1218"/>
      <c r="K11" s="1218"/>
    </row>
    <row r="12" spans="1:11" ht="3" customHeight="1" x14ac:dyDescent="0.2">
      <c r="B12" s="1219"/>
      <c r="C12" s="1216"/>
      <c r="D12" s="1217"/>
      <c r="E12" s="1218"/>
      <c r="F12" s="1218"/>
      <c r="G12" s="1218"/>
      <c r="H12" s="1218"/>
      <c r="I12" s="1218"/>
      <c r="J12" s="1218"/>
      <c r="K12" s="1218"/>
    </row>
    <row r="13" spans="1:11" x14ac:dyDescent="0.2">
      <c r="B13" s="1215"/>
      <c r="C13" s="1216">
        <f>C11+1</f>
        <v>2</v>
      </c>
      <c r="D13" s="1220" t="s">
        <v>1805</v>
      </c>
      <c r="E13" s="1218"/>
      <c r="F13" s="1218"/>
      <c r="G13" s="1218"/>
      <c r="H13" s="1218"/>
      <c r="I13" s="1218"/>
      <c r="J13" s="1218"/>
      <c r="K13" s="1218"/>
    </row>
    <row r="14" spans="1:11" ht="3" customHeight="1" x14ac:dyDescent="0.2">
      <c r="B14" s="1219"/>
      <c r="C14" s="1216"/>
      <c r="D14" s="1220"/>
      <c r="E14" s="1218"/>
      <c r="F14" s="1218"/>
      <c r="G14" s="1218"/>
      <c r="H14" s="1218"/>
      <c r="I14" s="1218"/>
      <c r="J14" s="1218"/>
      <c r="K14" s="1218"/>
    </row>
    <row r="15" spans="1:11" x14ac:dyDescent="0.2">
      <c r="B15" s="1215"/>
      <c r="C15" s="1216">
        <f>C13+1</f>
        <v>3</v>
      </c>
      <c r="D15" s="1217" t="s">
        <v>1806</v>
      </c>
      <c r="E15" s="1218"/>
      <c r="F15" s="1218"/>
      <c r="G15" s="1218"/>
      <c r="H15" s="1218"/>
      <c r="I15" s="1218"/>
      <c r="J15" s="1218"/>
      <c r="K15" s="1218"/>
    </row>
    <row r="16" spans="1:11" ht="10.5" customHeight="1" x14ac:dyDescent="0.2">
      <c r="B16" s="1221"/>
      <c r="D16" s="1220" t="s">
        <v>1284</v>
      </c>
      <c r="E16" s="1218"/>
      <c r="F16" s="1218"/>
      <c r="G16" s="1218"/>
      <c r="H16" s="1218"/>
      <c r="I16" s="1218"/>
      <c r="J16" s="1218"/>
      <c r="K16" s="1218"/>
    </row>
    <row r="17" spans="1:11" ht="3" customHeight="1" x14ac:dyDescent="0.2">
      <c r="B17" s="1221"/>
      <c r="D17" s="1220"/>
      <c r="E17" s="1218"/>
      <c r="F17" s="1218"/>
      <c r="G17" s="1218"/>
      <c r="H17" s="1218"/>
      <c r="I17" s="1218"/>
      <c r="J17" s="1218"/>
      <c r="K17" s="1218"/>
    </row>
    <row r="18" spans="1:11" x14ac:dyDescent="0.2">
      <c r="B18" s="1215"/>
      <c r="C18" s="1216">
        <f>C15+1</f>
        <v>4</v>
      </c>
      <c r="D18" s="1223" t="s">
        <v>1807</v>
      </c>
      <c r="E18" s="1218"/>
      <c r="F18" s="1218"/>
      <c r="G18" s="1218"/>
      <c r="H18" s="1218"/>
      <c r="I18" s="1218"/>
      <c r="J18" s="1218"/>
      <c r="K18" s="1218"/>
    </row>
    <row r="19" spans="1:11" ht="9.75" customHeight="1" x14ac:dyDescent="0.2">
      <c r="A19" s="1212"/>
      <c r="B19" s="1221"/>
      <c r="D19" s="1220" t="s">
        <v>1283</v>
      </c>
      <c r="E19" s="1218"/>
      <c r="F19" s="1218"/>
      <c r="G19" s="1218"/>
      <c r="H19" s="1218"/>
      <c r="I19" s="1218"/>
      <c r="J19" s="1218"/>
      <c r="K19" s="1218"/>
    </row>
    <row r="20" spans="1:11" ht="3" customHeight="1" x14ac:dyDescent="0.2">
      <c r="A20" s="1212"/>
      <c r="B20" s="1221"/>
      <c r="D20" s="1220"/>
      <c r="E20" s="1218"/>
      <c r="F20" s="1218"/>
      <c r="G20" s="1218"/>
      <c r="H20" s="1218"/>
      <c r="I20" s="1218"/>
      <c r="J20" s="1218"/>
      <c r="K20" s="1218"/>
    </row>
    <row r="21" spans="1:11" x14ac:dyDescent="0.2">
      <c r="A21" s="1212"/>
      <c r="B21" s="1215"/>
      <c r="C21" s="1216">
        <f>C18+1</f>
        <v>5</v>
      </c>
      <c r="D21" s="1220" t="s">
        <v>1282</v>
      </c>
      <c r="E21" s="1218"/>
      <c r="F21" s="1218"/>
      <c r="G21" s="1218"/>
      <c r="H21" s="1218"/>
      <c r="I21" s="1218"/>
      <c r="J21" s="1218"/>
      <c r="K21" s="1218"/>
    </row>
    <row r="22" spans="1:11" ht="10.5" customHeight="1" x14ac:dyDescent="0.2">
      <c r="A22" s="1212"/>
      <c r="B22" s="1221"/>
      <c r="D22" s="1220" t="s">
        <v>1281</v>
      </c>
      <c r="E22" s="1218"/>
      <c r="F22" s="1218"/>
      <c r="G22" s="1218"/>
      <c r="H22" s="1218"/>
      <c r="I22" s="1218"/>
      <c r="J22" s="1218"/>
      <c r="K22" s="1218"/>
    </row>
    <row r="23" spans="1:11" ht="3" customHeight="1" x14ac:dyDescent="0.2">
      <c r="A23" s="1212"/>
      <c r="B23" s="1221"/>
      <c r="D23" s="1220"/>
      <c r="E23" s="1218"/>
      <c r="F23" s="1218"/>
      <c r="G23" s="1218"/>
      <c r="H23" s="1218"/>
      <c r="I23" s="1218"/>
      <c r="J23" s="1218"/>
      <c r="K23" s="1218"/>
    </row>
    <row r="24" spans="1:11" x14ac:dyDescent="0.2">
      <c r="A24" s="1212"/>
      <c r="B24" s="1215"/>
      <c r="C24" s="1216">
        <f>C21+1</f>
        <v>6</v>
      </c>
      <c r="D24" s="1224" t="s">
        <v>1828</v>
      </c>
      <c r="E24" s="1218"/>
      <c r="F24" s="1218"/>
      <c r="G24" s="1218"/>
      <c r="H24" s="1218"/>
      <c r="I24" s="1218"/>
      <c r="J24" s="1218"/>
      <c r="K24" s="1218"/>
    </row>
    <row r="25" spans="1:11" x14ac:dyDescent="0.2">
      <c r="A25" s="1212"/>
      <c r="B25" s="1221"/>
      <c r="D25" s="1220" t="s">
        <v>1808</v>
      </c>
      <c r="E25" s="1218"/>
      <c r="F25" s="1218"/>
      <c r="G25" s="1218"/>
      <c r="H25" s="1218"/>
      <c r="I25" s="1218"/>
      <c r="J25" s="1218"/>
      <c r="K25" s="1218"/>
    </row>
    <row r="26" spans="1:11" x14ac:dyDescent="0.2">
      <c r="A26" s="1212"/>
      <c r="B26" s="1221"/>
      <c r="D26" s="1225" t="s">
        <v>1809</v>
      </c>
      <c r="E26" s="1218"/>
      <c r="F26" s="1218"/>
      <c r="G26" s="1218"/>
      <c r="H26" s="1218"/>
      <c r="I26" s="1218"/>
      <c r="J26" s="1218"/>
      <c r="K26" s="1218"/>
    </row>
    <row r="27" spans="1:11" ht="3" customHeight="1" x14ac:dyDescent="0.2">
      <c r="A27" s="1212"/>
      <c r="B27" s="1221"/>
      <c r="D27" s="1225"/>
      <c r="E27" s="1218"/>
      <c r="F27" s="1218"/>
      <c r="G27" s="1218"/>
      <c r="H27" s="1218"/>
      <c r="I27" s="1218"/>
      <c r="J27" s="1218"/>
      <c r="K27" s="1218"/>
    </row>
    <row r="28" spans="1:11" x14ac:dyDescent="0.2">
      <c r="A28" s="1212"/>
      <c r="B28" s="1215"/>
      <c r="C28" s="1222">
        <f>C24+1</f>
        <v>7</v>
      </c>
      <c r="D28" s="1225" t="s">
        <v>1650</v>
      </c>
      <c r="E28" s="1218"/>
      <c r="F28" s="1218"/>
      <c r="G28" s="1218"/>
      <c r="H28" s="1218"/>
      <c r="I28" s="1218"/>
      <c r="J28" s="1218"/>
      <c r="K28" s="1218"/>
    </row>
    <row r="29" spans="1:11" ht="10.5" customHeight="1" x14ac:dyDescent="0.2">
      <c r="A29" s="1212"/>
      <c r="D29" s="1226" t="s">
        <v>1651</v>
      </c>
    </row>
    <row r="30" spans="1:11" ht="6" customHeight="1" x14ac:dyDescent="0.2">
      <c r="A30" s="1212"/>
      <c r="D30" s="1211"/>
    </row>
    <row r="31" spans="1:11" x14ac:dyDescent="0.2">
      <c r="A31" s="1212"/>
      <c r="B31" s="1213" t="s">
        <v>1280</v>
      </c>
      <c r="C31" s="1214"/>
      <c r="D31" s="1211"/>
    </row>
    <row r="32" spans="1:11" ht="4.5" customHeight="1" x14ac:dyDescent="0.2">
      <c r="A32" s="1212"/>
      <c r="B32" s="1213"/>
      <c r="C32" s="1214"/>
      <c r="D32" s="1211"/>
    </row>
    <row r="33" spans="1:5" x14ac:dyDescent="0.2">
      <c r="A33" s="1212"/>
      <c r="B33" s="1215"/>
      <c r="C33" s="1216">
        <v>8</v>
      </c>
      <c r="D33" s="1227" t="s">
        <v>1279</v>
      </c>
    </row>
    <row r="34" spans="1:5" ht="10.5" customHeight="1" x14ac:dyDescent="0.2">
      <c r="A34" s="1212"/>
      <c r="B34" s="1228"/>
      <c r="C34" s="1216"/>
      <c r="D34" s="1227" t="s">
        <v>1652</v>
      </c>
    </row>
    <row r="35" spans="1:5" ht="3" customHeight="1" x14ac:dyDescent="0.2">
      <c r="A35" s="1212"/>
      <c r="B35" s="1221"/>
      <c r="D35" s="1211"/>
    </row>
    <row r="36" spans="1:5" x14ac:dyDescent="0.2">
      <c r="A36" s="1212"/>
      <c r="B36" s="1215"/>
      <c r="C36" s="1216">
        <f>C33+1</f>
        <v>9</v>
      </c>
      <c r="D36" s="1227" t="s">
        <v>1278</v>
      </c>
    </row>
    <row r="37" spans="1:5" ht="10.5" customHeight="1" x14ac:dyDescent="0.2">
      <c r="A37" s="1212"/>
      <c r="B37" s="1221"/>
      <c r="D37" s="1227" t="s">
        <v>1652</v>
      </c>
    </row>
    <row r="38" spans="1:5" ht="3" customHeight="1" x14ac:dyDescent="0.2">
      <c r="A38" s="1212"/>
      <c r="B38" s="1229"/>
      <c r="C38" s="1230"/>
      <c r="D38" s="1211"/>
    </row>
    <row r="39" spans="1:5" x14ac:dyDescent="0.2">
      <c r="A39" s="1212"/>
      <c r="B39" s="1231"/>
      <c r="C39" s="1222">
        <f>C36+1</f>
        <v>10</v>
      </c>
      <c r="D39" s="1211" t="s">
        <v>1277</v>
      </c>
    </row>
    <row r="40" spans="1:5" ht="10.5" customHeight="1" x14ac:dyDescent="0.2">
      <c r="A40" s="1212"/>
      <c r="B40" s="1232"/>
      <c r="C40" s="1230"/>
      <c r="D40" s="1211" t="s">
        <v>1653</v>
      </c>
    </row>
    <row r="41" spans="1:5" ht="3" customHeight="1" x14ac:dyDescent="0.2">
      <c r="A41" s="1212"/>
      <c r="B41" s="1229"/>
      <c r="C41" s="1230"/>
      <c r="D41" s="1211"/>
    </row>
    <row r="42" spans="1:5" ht="10.5" customHeight="1" x14ac:dyDescent="0.2">
      <c r="A42" s="1212"/>
      <c r="B42" s="1231"/>
      <c r="C42" s="1222">
        <v>11</v>
      </c>
      <c r="D42" s="1233" t="s">
        <v>1654</v>
      </c>
      <c r="E42" s="312"/>
    </row>
    <row r="43" spans="1:5" ht="3" customHeight="1" x14ac:dyDescent="0.2">
      <c r="A43" s="1212"/>
      <c r="B43" s="1229"/>
      <c r="C43" s="1230"/>
      <c r="D43" s="1211"/>
    </row>
    <row r="44" spans="1:5" x14ac:dyDescent="0.2">
      <c r="A44" s="1212"/>
      <c r="B44" s="1215"/>
      <c r="C44" s="1216">
        <f>C42+1</f>
        <v>12</v>
      </c>
      <c r="D44" s="1227" t="s">
        <v>1276</v>
      </c>
    </row>
    <row r="45" spans="1:5" ht="10.5" customHeight="1" x14ac:dyDescent="0.2">
      <c r="A45" s="1212"/>
      <c r="B45" s="1228"/>
      <c r="C45" s="1216"/>
      <c r="D45" s="1227" t="s">
        <v>1275</v>
      </c>
    </row>
    <row r="46" spans="1:5" ht="10.5" customHeight="1" x14ac:dyDescent="0.2">
      <c r="A46" s="1212"/>
      <c r="B46" s="1229"/>
      <c r="C46" s="1230"/>
      <c r="D46" s="1227" t="s">
        <v>1274</v>
      </c>
    </row>
    <row r="47" spans="1:5" ht="3" customHeight="1" x14ac:dyDescent="0.2">
      <c r="A47" s="1212"/>
      <c r="B47" s="1229"/>
      <c r="C47" s="1230"/>
      <c r="D47" s="1227"/>
    </row>
    <row r="48" spans="1:5" x14ac:dyDescent="0.2">
      <c r="A48" s="1212"/>
      <c r="B48" s="1215"/>
      <c r="C48" s="1216">
        <f>C44+1</f>
        <v>13</v>
      </c>
      <c r="D48" s="1227" t="s">
        <v>1655</v>
      </c>
    </row>
    <row r="49" spans="1:4" ht="3" customHeight="1" x14ac:dyDescent="0.2">
      <c r="A49" s="1212"/>
      <c r="B49" s="1219"/>
      <c r="C49" s="1216"/>
      <c r="D49" s="1227"/>
    </row>
    <row r="50" spans="1:4" x14ac:dyDescent="0.2">
      <c r="A50" s="1212"/>
      <c r="B50" s="1215"/>
      <c r="C50" s="1216">
        <f>C48+1</f>
        <v>14</v>
      </c>
      <c r="D50" s="1227" t="s">
        <v>1273</v>
      </c>
    </row>
    <row r="51" spans="1:4" ht="3" customHeight="1" x14ac:dyDescent="0.2">
      <c r="A51" s="1212"/>
      <c r="B51" s="1219"/>
      <c r="C51" s="1216"/>
      <c r="D51" s="1227"/>
    </row>
    <row r="52" spans="1:4" x14ac:dyDescent="0.2">
      <c r="A52" s="1212"/>
      <c r="B52" s="1215"/>
      <c r="C52" s="1216">
        <f>C50+1</f>
        <v>15</v>
      </c>
      <c r="D52" s="1227" t="s">
        <v>1272</v>
      </c>
    </row>
    <row r="53" spans="1:4" ht="3" customHeight="1" x14ac:dyDescent="0.2">
      <c r="A53" s="1212"/>
      <c r="B53" s="1219"/>
      <c r="C53" s="1216"/>
      <c r="D53" s="1227"/>
    </row>
    <row r="54" spans="1:4" x14ac:dyDescent="0.2">
      <c r="A54" s="1212"/>
      <c r="B54" s="1215"/>
      <c r="C54" s="1216">
        <f>C52+1</f>
        <v>16</v>
      </c>
      <c r="D54" s="1227" t="s">
        <v>1271</v>
      </c>
    </row>
    <row r="55" spans="1:4" ht="3" customHeight="1" x14ac:dyDescent="0.2">
      <c r="A55" s="1212"/>
      <c r="B55" s="1219"/>
      <c r="C55" s="1216"/>
      <c r="D55" s="1227"/>
    </row>
    <row r="56" spans="1:4" x14ac:dyDescent="0.2">
      <c r="A56" s="1212"/>
      <c r="B56" s="1215"/>
      <c r="C56" s="1216">
        <f>C54+1</f>
        <v>17</v>
      </c>
      <c r="D56" s="1211" t="s">
        <v>1810</v>
      </c>
    </row>
    <row r="57" spans="1:4" ht="10.5" customHeight="1" x14ac:dyDescent="0.2">
      <c r="A57" s="1212"/>
      <c r="D57" s="1227" t="s">
        <v>1811</v>
      </c>
    </row>
    <row r="58" spans="1:4" x14ac:dyDescent="0.2">
      <c r="A58" s="1212"/>
      <c r="C58" s="1234"/>
      <c r="D58" s="1227" t="s">
        <v>1812</v>
      </c>
    </row>
    <row r="59" spans="1:4" ht="10.5" customHeight="1" x14ac:dyDescent="0.2">
      <c r="A59" s="1212"/>
      <c r="D59" s="1211" t="s">
        <v>1270</v>
      </c>
    </row>
    <row r="60" spans="1:4" ht="10.5" customHeight="1" x14ac:dyDescent="0.2">
      <c r="A60" s="1212"/>
      <c r="D60" s="1235" t="s">
        <v>1680</v>
      </c>
    </row>
    <row r="61" spans="1:4" ht="10.5" customHeight="1" x14ac:dyDescent="0.2">
      <c r="A61" s="1212"/>
      <c r="C61" s="1234"/>
      <c r="D61" s="1227" t="s">
        <v>1813</v>
      </c>
    </row>
    <row r="62" spans="1:4" ht="10.5" customHeight="1" x14ac:dyDescent="0.2">
      <c r="A62" s="1212"/>
      <c r="D62" s="1236" t="s">
        <v>1269</v>
      </c>
    </row>
    <row r="63" spans="1:4" ht="10.5" customHeight="1" x14ac:dyDescent="0.2">
      <c r="A63" s="1212"/>
      <c r="D63" s="1211" t="s">
        <v>1656</v>
      </c>
    </row>
    <row r="64" spans="1:4" ht="10.5" customHeight="1" x14ac:dyDescent="0.2">
      <c r="A64" s="1212"/>
      <c r="D64" s="1235" t="s">
        <v>1679</v>
      </c>
    </row>
    <row r="65" spans="1:4" x14ac:dyDescent="0.2">
      <c r="A65" s="1212"/>
      <c r="C65" s="1234"/>
      <c r="D65" s="1227" t="s">
        <v>1814</v>
      </c>
    </row>
    <row r="66" spans="1:4" ht="10.5" customHeight="1" x14ac:dyDescent="0.2">
      <c r="A66" s="1212"/>
      <c r="D66" s="1237" t="s">
        <v>1268</v>
      </c>
    </row>
    <row r="67" spans="1:4" ht="10.5" customHeight="1" x14ac:dyDescent="0.2">
      <c r="A67" s="1212"/>
      <c r="D67" s="1211" t="s">
        <v>1657</v>
      </c>
    </row>
    <row r="68" spans="1:4" ht="10.5" customHeight="1" x14ac:dyDescent="0.2">
      <c r="A68" s="1212"/>
      <c r="D68" s="1235" t="s">
        <v>1679</v>
      </c>
    </row>
    <row r="69" spans="1:4" ht="10.5" customHeight="1" x14ac:dyDescent="0.2">
      <c r="A69" s="1212"/>
      <c r="C69" s="1234"/>
      <c r="D69" s="1227" t="s">
        <v>1815</v>
      </c>
    </row>
    <row r="70" spans="1:4" x14ac:dyDescent="0.2">
      <c r="A70" s="1212"/>
      <c r="D70" s="1236" t="s">
        <v>1267</v>
      </c>
    </row>
    <row r="71" spans="1:4" ht="3" customHeight="1" x14ac:dyDescent="0.2">
      <c r="A71" s="1212"/>
      <c r="D71" s="1211"/>
    </row>
    <row r="72" spans="1:4" x14ac:dyDescent="0.2">
      <c r="A72" s="1212"/>
      <c r="B72" s="1215"/>
      <c r="C72" s="1216">
        <f>C56+1</f>
        <v>18</v>
      </c>
      <c r="D72" s="1237" t="s">
        <v>1816</v>
      </c>
    </row>
    <row r="73" spans="1:4" ht="3" customHeight="1" x14ac:dyDescent="0.2">
      <c r="A73" s="1212"/>
      <c r="B73" s="1219"/>
      <c r="C73" s="1216"/>
      <c r="D73" s="1237"/>
    </row>
    <row r="74" spans="1:4" x14ac:dyDescent="0.2">
      <c r="A74" s="1212"/>
      <c r="B74" s="1215"/>
      <c r="C74" s="1216">
        <f>C72+1</f>
        <v>19</v>
      </c>
      <c r="D74" s="1227" t="s">
        <v>1266</v>
      </c>
    </row>
    <row r="75" spans="1:4" ht="3" customHeight="1" x14ac:dyDescent="0.2">
      <c r="A75" s="1212"/>
      <c r="B75" s="1219"/>
      <c r="C75" s="1216"/>
      <c r="D75" s="1227"/>
    </row>
    <row r="76" spans="1:4" x14ac:dyDescent="0.2">
      <c r="A76" s="1212"/>
      <c r="B76" s="1215"/>
      <c r="C76" s="1216">
        <f>C74+1</f>
        <v>20</v>
      </c>
      <c r="D76" s="1238" t="s">
        <v>1817</v>
      </c>
    </row>
    <row r="77" spans="1:4" ht="3" customHeight="1" x14ac:dyDescent="0.2">
      <c r="A77" s="1212"/>
      <c r="B77" s="1219"/>
      <c r="C77" s="1216"/>
      <c r="D77" s="1238"/>
    </row>
    <row r="78" spans="1:4" x14ac:dyDescent="0.2">
      <c r="A78" s="1212"/>
      <c r="B78" s="1215"/>
      <c r="C78" s="1216">
        <f>C76+1</f>
        <v>21</v>
      </c>
      <c r="D78" s="1211" t="s">
        <v>1818</v>
      </c>
    </row>
    <row r="79" spans="1:4" ht="3" customHeight="1" x14ac:dyDescent="0.2">
      <c r="A79" s="1212"/>
      <c r="B79" s="1219"/>
      <c r="C79" s="1216"/>
      <c r="D79" s="1211"/>
    </row>
    <row r="80" spans="1:4" x14ac:dyDescent="0.2">
      <c r="A80" s="1212"/>
      <c r="B80" s="1215"/>
      <c r="C80" s="1216">
        <f>C78+1</f>
        <v>22</v>
      </c>
      <c r="D80" s="1239" t="s">
        <v>1819</v>
      </c>
    </row>
    <row r="81" spans="1:4" ht="3" customHeight="1" x14ac:dyDescent="0.2">
      <c r="A81" s="1212"/>
      <c r="B81" s="1219"/>
      <c r="C81" s="1216"/>
      <c r="D81" s="1239"/>
    </row>
    <row r="82" spans="1:4" x14ac:dyDescent="0.2">
      <c r="A82" s="1212"/>
      <c r="B82" s="1215"/>
      <c r="C82" s="1216">
        <f>C80+1</f>
        <v>23</v>
      </c>
      <c r="D82" s="1238" t="s">
        <v>1820</v>
      </c>
    </row>
    <row r="83" spans="1:4" ht="10.5" customHeight="1" x14ac:dyDescent="0.2">
      <c r="A83" s="1212"/>
      <c r="B83" s="1221"/>
      <c r="D83" s="1227" t="s">
        <v>1265</v>
      </c>
    </row>
    <row r="84" spans="1:4" ht="3" customHeight="1" x14ac:dyDescent="0.2">
      <c r="A84" s="1212"/>
      <c r="B84" s="1221"/>
      <c r="D84" s="1227"/>
    </row>
    <row r="85" spans="1:4" x14ac:dyDescent="0.2">
      <c r="A85" s="1212"/>
      <c r="B85" s="1215"/>
      <c r="C85" s="1216">
        <f>C82+1</f>
        <v>24</v>
      </c>
      <c r="D85" s="1227" t="s">
        <v>1264</v>
      </c>
    </row>
    <row r="86" spans="1:4" ht="3" customHeight="1" x14ac:dyDescent="0.2">
      <c r="A86" s="1212"/>
      <c r="B86" s="1219"/>
      <c r="C86" s="1216"/>
      <c r="D86" s="1227"/>
    </row>
    <row r="87" spans="1:4" x14ac:dyDescent="0.2">
      <c r="A87" s="1212"/>
      <c r="B87" s="1215"/>
      <c r="C87" s="1216">
        <f>C85+1</f>
        <v>25</v>
      </c>
      <c r="D87" s="1227" t="s">
        <v>1263</v>
      </c>
    </row>
    <row r="88" spans="1:4" ht="3" customHeight="1" x14ac:dyDescent="0.2">
      <c r="A88" s="1212"/>
      <c r="B88" s="1219"/>
      <c r="C88" s="1216"/>
      <c r="D88" s="1227"/>
    </row>
    <row r="89" spans="1:4" x14ac:dyDescent="0.2">
      <c r="A89" s="1212"/>
      <c r="B89" s="1215"/>
      <c r="C89" s="1216">
        <f>C87+1</f>
        <v>26</v>
      </c>
      <c r="D89" s="1227" t="s">
        <v>1262</v>
      </c>
    </row>
    <row r="90" spans="1:4" ht="3" customHeight="1" x14ac:dyDescent="0.2">
      <c r="A90" s="1212"/>
      <c r="B90" s="1219"/>
      <c r="C90" s="1216"/>
      <c r="D90" s="1227"/>
    </row>
    <row r="91" spans="1:4" x14ac:dyDescent="0.2">
      <c r="A91" s="1212"/>
      <c r="B91" s="1215"/>
      <c r="C91" s="1216">
        <f>C89+1</f>
        <v>27</v>
      </c>
      <c r="D91" s="1227" t="s">
        <v>1821</v>
      </c>
    </row>
    <row r="92" spans="1:4" x14ac:dyDescent="0.2">
      <c r="A92" s="1212"/>
      <c r="B92" s="1240"/>
      <c r="C92" s="1234"/>
      <c r="D92" s="1227" t="s">
        <v>1261</v>
      </c>
    </row>
    <row r="93" spans="1:4" ht="4.5" customHeight="1" x14ac:dyDescent="0.2">
      <c r="A93" s="1212"/>
      <c r="D93" s="1211"/>
    </row>
    <row r="94" spans="1:4" x14ac:dyDescent="0.2">
      <c r="A94" s="1212"/>
      <c r="B94" s="1213" t="s">
        <v>1658</v>
      </c>
      <c r="C94" s="1214"/>
      <c r="D94" s="1211"/>
    </row>
    <row r="95" spans="1:4" ht="4.5" customHeight="1" x14ac:dyDescent="0.2">
      <c r="A95" s="1212"/>
      <c r="B95" s="1213"/>
      <c r="C95" s="1214"/>
      <c r="D95" s="1211"/>
    </row>
    <row r="96" spans="1:4" x14ac:dyDescent="0.2">
      <c r="A96" s="1212"/>
      <c r="B96" s="1215"/>
      <c r="C96" s="1216">
        <f>C91+1</f>
        <v>28</v>
      </c>
      <c r="D96" s="1227" t="s">
        <v>1822</v>
      </c>
    </row>
    <row r="97" spans="1:4" ht="3" customHeight="1" x14ac:dyDescent="0.2">
      <c r="A97" s="1212"/>
      <c r="B97" s="1219"/>
      <c r="C97" s="1216"/>
      <c r="D97" s="1227"/>
    </row>
    <row r="98" spans="1:4" x14ac:dyDescent="0.2">
      <c r="A98" s="1212"/>
      <c r="B98" s="1215"/>
      <c r="C98" s="1216">
        <f>C96+1</f>
        <v>29</v>
      </c>
      <c r="D98" s="1241" t="s">
        <v>1823</v>
      </c>
    </row>
    <row r="99" spans="1:4" ht="3" customHeight="1" x14ac:dyDescent="0.2">
      <c r="A99" s="1212"/>
      <c r="B99" s="1219"/>
      <c r="C99" s="1216"/>
      <c r="D99" s="1241"/>
    </row>
    <row r="100" spans="1:4" x14ac:dyDescent="0.2">
      <c r="A100" s="1212"/>
      <c r="B100" s="1215"/>
      <c r="C100" s="1216">
        <f>C98+1</f>
        <v>30</v>
      </c>
      <c r="D100" s="1227" t="s">
        <v>1824</v>
      </c>
    </row>
    <row r="101" spans="1:4" ht="3" customHeight="1" x14ac:dyDescent="0.2">
      <c r="A101" s="1212"/>
      <c r="B101" s="1219"/>
      <c r="C101" s="1216"/>
      <c r="D101" s="1242"/>
    </row>
    <row r="102" spans="1:4" x14ac:dyDescent="0.2">
      <c r="A102" s="1212"/>
      <c r="B102" s="1215"/>
      <c r="C102" s="1216">
        <f>C100+1</f>
        <v>31</v>
      </c>
      <c r="D102" s="1227" t="s">
        <v>1659</v>
      </c>
    </row>
    <row r="103" spans="1:4" ht="4.5" customHeight="1" x14ac:dyDescent="0.2">
      <c r="A103" s="1212"/>
      <c r="B103" s="312"/>
      <c r="C103" s="1216"/>
      <c r="D103" s="1227"/>
    </row>
    <row r="104" spans="1:4" ht="14.1" customHeight="1" x14ac:dyDescent="0.2">
      <c r="A104" s="1212"/>
      <c r="B104" s="1243" t="s">
        <v>1260</v>
      </c>
    </row>
    <row r="105" spans="1:4" ht="4.5" customHeight="1" x14ac:dyDescent="0.2">
      <c r="A105" s="1212"/>
      <c r="B105" s="1243"/>
    </row>
    <row r="106" spans="1:4" x14ac:dyDescent="0.2">
      <c r="A106" s="1212"/>
      <c r="B106" s="1215"/>
      <c r="C106" s="1216">
        <f>C102+1</f>
        <v>32</v>
      </c>
      <c r="D106" s="1211" t="s">
        <v>1660</v>
      </c>
    </row>
    <row r="107" spans="1:4" ht="3" customHeight="1" x14ac:dyDescent="0.2">
      <c r="A107" s="1212"/>
      <c r="B107" s="1219"/>
      <c r="C107" s="1216"/>
      <c r="D107" s="1211"/>
    </row>
    <row r="108" spans="1:4" x14ac:dyDescent="0.2">
      <c r="A108" s="1212"/>
      <c r="B108" s="1215"/>
      <c r="C108" s="1216">
        <v>33</v>
      </c>
      <c r="D108" s="1211" t="s">
        <v>1825</v>
      </c>
    </row>
    <row r="109" spans="1:4" ht="3" customHeight="1" x14ac:dyDescent="0.2">
      <c r="A109" s="1212"/>
      <c r="B109" s="1219"/>
      <c r="C109" s="1216"/>
      <c r="D109" s="1211"/>
    </row>
    <row r="110" spans="1:4" x14ac:dyDescent="0.2">
      <c r="A110" s="1212"/>
      <c r="B110" s="1215"/>
      <c r="C110" s="1216">
        <f>C108+1</f>
        <v>34</v>
      </c>
      <c r="D110" s="1211" t="s">
        <v>1259</v>
      </c>
    </row>
    <row r="111" spans="1:4" ht="3" customHeight="1" x14ac:dyDescent="0.2">
      <c r="A111" s="1212"/>
      <c r="B111" s="1219"/>
      <c r="C111" s="1216"/>
      <c r="D111" s="1211"/>
    </row>
    <row r="112" spans="1:4" x14ac:dyDescent="0.2">
      <c r="A112" s="1212"/>
      <c r="B112" s="1215"/>
      <c r="C112" s="1216">
        <f>C110+1</f>
        <v>35</v>
      </c>
      <c r="D112" s="1211" t="s">
        <v>1258</v>
      </c>
    </row>
    <row r="113" spans="1:4" ht="11.25" customHeight="1" x14ac:dyDescent="0.2">
      <c r="A113" s="1212"/>
      <c r="B113" s="1244"/>
      <c r="C113" s="1216"/>
      <c r="D113" s="1245" t="s">
        <v>1257</v>
      </c>
    </row>
    <row r="114" spans="1:4" ht="3" customHeight="1" x14ac:dyDescent="0.2">
      <c r="A114" s="1212"/>
      <c r="B114" s="1246"/>
      <c r="C114" s="1216"/>
      <c r="D114" s="1245"/>
    </row>
    <row r="115" spans="1:4" x14ac:dyDescent="0.2">
      <c r="A115" s="1212"/>
      <c r="B115" s="1215"/>
      <c r="C115" s="1216">
        <f>C112+1</f>
        <v>36</v>
      </c>
      <c r="D115" s="1227" t="s">
        <v>1256</v>
      </c>
    </row>
    <row r="116" spans="1:4" ht="3" customHeight="1" x14ac:dyDescent="0.2">
      <c r="A116" s="1212"/>
      <c r="B116" s="1219"/>
      <c r="C116" s="1216"/>
      <c r="D116" s="1227"/>
    </row>
    <row r="117" spans="1:4" x14ac:dyDescent="0.2">
      <c r="A117" s="1212"/>
      <c r="B117" s="1215"/>
      <c r="C117" s="1216">
        <f>C115+1</f>
        <v>37</v>
      </c>
      <c r="D117" s="1227" t="s">
        <v>1826</v>
      </c>
    </row>
    <row r="118" spans="1:4" ht="3" customHeight="1" x14ac:dyDescent="0.2">
      <c r="A118" s="1212"/>
      <c r="B118" s="1219"/>
      <c r="C118" s="1216"/>
      <c r="D118" s="1227"/>
    </row>
    <row r="119" spans="1:4" x14ac:dyDescent="0.2">
      <c r="A119" s="1212"/>
      <c r="B119" s="1215"/>
      <c r="C119" s="1216">
        <f>C117+1</f>
        <v>38</v>
      </c>
      <c r="D119" s="1227" t="s">
        <v>1827</v>
      </c>
    </row>
    <row r="120" spans="1:4" ht="10.5" customHeight="1" x14ac:dyDescent="0.2">
      <c r="A120" s="1212"/>
      <c r="B120" s="1240"/>
      <c r="C120" s="1216"/>
      <c r="D120" s="1227" t="s">
        <v>1255</v>
      </c>
    </row>
    <row r="121" spans="1:4" ht="10.5" customHeight="1" x14ac:dyDescent="0.2">
      <c r="A121" s="1212"/>
      <c r="B121" s="1240"/>
      <c r="C121" s="1216"/>
      <c r="D121" s="1227" t="s">
        <v>1254</v>
      </c>
    </row>
    <row r="122" spans="1:4" ht="3" customHeight="1" x14ac:dyDescent="0.2">
      <c r="A122" s="1212"/>
      <c r="B122" s="1240"/>
      <c r="C122" s="1216"/>
      <c r="D122" s="1227"/>
    </row>
    <row r="123" spans="1:4" x14ac:dyDescent="0.2">
      <c r="A123" s="1212"/>
      <c r="B123" s="1215"/>
      <c r="C123" s="1216">
        <f>C119+1</f>
        <v>39</v>
      </c>
      <c r="D123" s="1237" t="s">
        <v>1947</v>
      </c>
    </row>
    <row r="124" spans="1:4" x14ac:dyDescent="0.2">
      <c r="A124" s="1212"/>
      <c r="B124" s="312"/>
      <c r="C124" s="1216"/>
      <c r="D124" s="1227" t="s">
        <v>1253</v>
      </c>
    </row>
    <row r="125" spans="1:4" ht="4.5" customHeight="1" x14ac:dyDescent="0.2">
      <c r="A125" s="1212"/>
      <c r="D125" s="1211"/>
    </row>
    <row r="126" spans="1:4" x14ac:dyDescent="0.2">
      <c r="A126" s="1212"/>
      <c r="B126" s="1247"/>
      <c r="C126" s="1216"/>
      <c r="D126" s="1227"/>
    </row>
    <row r="127" spans="1:4" x14ac:dyDescent="0.2">
      <c r="A127" s="1212"/>
      <c r="D127" s="122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48" customWidth="1"/>
    <col min="3" max="3" width="1.28515625" style="1248" customWidth="1"/>
    <col min="4" max="4" width="24.42578125" style="1249" customWidth="1"/>
    <col min="5" max="5" width="5" style="317" customWidth="1"/>
    <col min="6" max="16384" width="15.7109375" style="317"/>
  </cols>
  <sheetData>
    <row r="1" spans="1:5" x14ac:dyDescent="0.2">
      <c r="A1" s="2460" t="str">
        <f>'Single Audit Cover'!A7</f>
        <v>Ottawa Township High School</v>
      </c>
      <c r="B1" s="2460"/>
      <c r="C1" s="2460"/>
      <c r="D1" s="2460"/>
      <c r="E1" s="2460"/>
    </row>
    <row r="2" spans="1:5" x14ac:dyDescent="0.2">
      <c r="A2" s="2461">
        <f>'Single Audit Cover'!E7</f>
        <v>35050140017</v>
      </c>
      <c r="B2" s="2461"/>
      <c r="C2" s="2461"/>
      <c r="D2" s="2461"/>
      <c r="E2" s="2461"/>
    </row>
    <row r="3" spans="1:5" ht="4.5" customHeight="1" x14ac:dyDescent="0.2"/>
    <row r="4" spans="1:5" x14ac:dyDescent="0.2">
      <c r="A4" s="2460" t="s">
        <v>1306</v>
      </c>
      <c r="B4" s="2460"/>
      <c r="C4" s="2460"/>
      <c r="D4" s="2460"/>
      <c r="E4" s="2460"/>
    </row>
    <row r="5" spans="1:5" x14ac:dyDescent="0.2">
      <c r="A5" s="2463" t="str">
        <f>'Single Audit Cover'!A4</f>
        <v>Year Ending June 30, 2018</v>
      </c>
      <c r="B5" s="2463"/>
      <c r="C5" s="2463"/>
      <c r="D5" s="2463"/>
      <c r="E5" s="2463"/>
    </row>
    <row r="6" spans="1:5" x14ac:dyDescent="0.2">
      <c r="A6" s="2460" t="s">
        <v>1305</v>
      </c>
      <c r="B6" s="2460"/>
      <c r="C6" s="2460"/>
      <c r="D6" s="2460"/>
      <c r="E6" s="2460"/>
    </row>
    <row r="8" spans="1:5" x14ac:dyDescent="0.2">
      <c r="A8" s="1250" t="s">
        <v>1304</v>
      </c>
    </row>
    <row r="10" spans="1:5" x14ac:dyDescent="0.2">
      <c r="A10" s="1251" t="s">
        <v>1303</v>
      </c>
      <c r="B10" s="1252" t="s">
        <v>1302</v>
      </c>
      <c r="C10" s="1252"/>
      <c r="D10" s="1253">
        <f>SUM('Acct Summary 7-8'!C7:K7)</f>
        <v>651277</v>
      </c>
    </row>
    <row r="11" spans="1:5" ht="18" customHeight="1" x14ac:dyDescent="0.2">
      <c r="A11" s="1251" t="s">
        <v>1301</v>
      </c>
      <c r="B11" s="1252"/>
      <c r="C11" s="1252"/>
    </row>
    <row r="12" spans="1:5" x14ac:dyDescent="0.2">
      <c r="A12" s="1251" t="s">
        <v>1300</v>
      </c>
      <c r="B12" s="1252" t="s">
        <v>1299</v>
      </c>
      <c r="C12" s="1252"/>
      <c r="D12" s="1254">
        <f>SUM('Revenues 9-14'!C112:D112,'Revenues 9-14'!F112:G112)</f>
        <v>0</v>
      </c>
    </row>
    <row r="13" spans="1:5" x14ac:dyDescent="0.2">
      <c r="A13" s="1251" t="s">
        <v>1298</v>
      </c>
      <c r="B13" s="1252"/>
      <c r="C13" s="1252"/>
    </row>
    <row r="14" spans="1:5" x14ac:dyDescent="0.2">
      <c r="A14" s="1251" t="s">
        <v>1829</v>
      </c>
      <c r="B14" s="1252"/>
      <c r="C14" s="1252"/>
      <c r="D14" s="1254">
        <f>'ICR Computation 30'!E11</f>
        <v>0</v>
      </c>
    </row>
    <row r="15" spans="1:5" x14ac:dyDescent="0.2">
      <c r="A15" s="1251"/>
      <c r="B15" s="1252"/>
      <c r="C15" s="1252"/>
    </row>
    <row r="16" spans="1:5" x14ac:dyDescent="0.2">
      <c r="A16" s="1251" t="s">
        <v>1955</v>
      </c>
      <c r="B16" s="1252"/>
      <c r="C16" s="1252"/>
    </row>
    <row r="17" spans="1:4" x14ac:dyDescent="0.2">
      <c r="A17" s="1251" t="s">
        <v>1600</v>
      </c>
      <c r="B17" s="1252" t="s">
        <v>1297</v>
      </c>
      <c r="C17" s="1252"/>
      <c r="D17" s="1254">
        <f>-SUM('Revenues 9-14'!C271:D271,'Revenues 9-14'!F271:G271)</f>
        <v>-11637</v>
      </c>
    </row>
    <row r="19" spans="1:4" ht="13.5" thickBot="1" x14ac:dyDescent="0.25">
      <c r="A19" s="1255" t="s">
        <v>1296</v>
      </c>
      <c r="D19" s="1256">
        <f>SUM(D10:D17)</f>
        <v>639640</v>
      </c>
    </row>
    <row r="20" spans="1:4" ht="21.75" customHeight="1" thickTop="1" x14ac:dyDescent="0.2"/>
    <row r="21" spans="1:4" x14ac:dyDescent="0.2">
      <c r="A21" s="1250" t="s">
        <v>1295</v>
      </c>
    </row>
    <row r="22" spans="1:4" ht="8.25" customHeight="1" x14ac:dyDescent="0.2"/>
    <row r="23" spans="1:4" x14ac:dyDescent="0.2">
      <c r="A23" s="1257" t="s">
        <v>1289</v>
      </c>
    </row>
    <row r="24" spans="1:4" x14ac:dyDescent="0.2">
      <c r="A24" s="2462"/>
      <c r="B24" s="2462"/>
      <c r="D24" s="1258"/>
    </row>
    <row r="25" spans="1:4" x14ac:dyDescent="0.2">
      <c r="A25" s="2459"/>
      <c r="B25" s="2459"/>
      <c r="D25" s="1258"/>
    </row>
    <row r="26" spans="1:4" x14ac:dyDescent="0.2">
      <c r="A26" s="2459"/>
      <c r="B26" s="2459"/>
      <c r="D26" s="1258"/>
    </row>
    <row r="27" spans="1:4" x14ac:dyDescent="0.2">
      <c r="A27" s="2459"/>
      <c r="B27" s="2459"/>
      <c r="D27" s="1258"/>
    </row>
    <row r="28" spans="1:4" x14ac:dyDescent="0.2">
      <c r="A28" s="2459"/>
      <c r="B28" s="2459"/>
      <c r="D28" s="1258"/>
    </row>
    <row r="29" spans="1:4" x14ac:dyDescent="0.2">
      <c r="A29" s="2459"/>
      <c r="B29" s="2459"/>
      <c r="D29" s="1258"/>
    </row>
    <row r="30" spans="1:4" x14ac:dyDescent="0.2">
      <c r="A30" s="2459"/>
      <c r="B30" s="2459"/>
      <c r="D30" s="1258"/>
    </row>
    <row r="32" spans="1:4" x14ac:dyDescent="0.2">
      <c r="A32" s="1250" t="s">
        <v>1294</v>
      </c>
      <c r="D32" s="1253">
        <f>SUM(D19:D30)</f>
        <v>639640</v>
      </c>
    </row>
    <row r="33" spans="1:4" x14ac:dyDescent="0.2">
      <c r="D33" s="1259"/>
    </row>
    <row r="34" spans="1:4" x14ac:dyDescent="0.2">
      <c r="A34" s="317" t="s">
        <v>1293</v>
      </c>
    </row>
    <row r="35" spans="1:4" x14ac:dyDescent="0.2">
      <c r="A35" s="317" t="s">
        <v>1292</v>
      </c>
      <c r="B35" s="1248" t="s">
        <v>1291</v>
      </c>
      <c r="D35" s="1260"/>
    </row>
    <row r="37" spans="1:4" x14ac:dyDescent="0.2">
      <c r="A37" s="1250" t="s">
        <v>1290</v>
      </c>
    </row>
    <row r="39" spans="1:4" ht="13.35" customHeight="1" x14ac:dyDescent="0.2">
      <c r="A39" s="1257" t="s">
        <v>1289</v>
      </c>
    </row>
    <row r="40" spans="1:4" x14ac:dyDescent="0.2">
      <c r="A40" s="2459"/>
      <c r="B40" s="2459"/>
      <c r="D40" s="1258"/>
    </row>
    <row r="41" spans="1:4" x14ac:dyDescent="0.2">
      <c r="A41" s="2459"/>
      <c r="B41" s="2459"/>
      <c r="D41" s="1261"/>
    </row>
    <row r="42" spans="1:4" x14ac:dyDescent="0.2">
      <c r="A42" s="2459"/>
      <c r="B42" s="2459"/>
      <c r="D42" s="1261"/>
    </row>
    <row r="43" spans="1:4" x14ac:dyDescent="0.2">
      <c r="A43" s="2459"/>
      <c r="B43" s="2459"/>
      <c r="D43" s="1261"/>
    </row>
    <row r="44" spans="1:4" x14ac:dyDescent="0.2">
      <c r="A44" s="2459"/>
      <c r="B44" s="2459"/>
      <c r="D44" s="1261"/>
    </row>
    <row r="45" spans="1:4" x14ac:dyDescent="0.2">
      <c r="A45" s="2459"/>
      <c r="B45" s="2459"/>
      <c r="D45" s="1261"/>
    </row>
    <row r="47" spans="1:4" x14ac:dyDescent="0.2">
      <c r="B47" s="1262" t="s">
        <v>1288</v>
      </c>
      <c r="C47" s="1262"/>
      <c r="D47" s="1263">
        <f>SUM(D35:D45)</f>
        <v>0</v>
      </c>
    </row>
    <row r="49" spans="2:4" x14ac:dyDescent="0.2">
      <c r="B49" s="1262" t="s">
        <v>1287</v>
      </c>
      <c r="C49" s="1262"/>
      <c r="D49" s="1263">
        <f>D32-D47</f>
        <v>639640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48" customWidth="1"/>
    <col min="4" max="4" width="16.7109375" style="1248" customWidth="1"/>
    <col min="5" max="5" width="7.5703125" style="317" customWidth="1"/>
    <col min="6" max="6" width="2.7109375" style="317" customWidth="1"/>
    <col min="7" max="7" width="3.28515625" style="317" customWidth="1"/>
    <col min="8" max="16384" width="8" style="317"/>
  </cols>
  <sheetData>
    <row r="1" spans="1:7" ht="13.5" customHeight="1" x14ac:dyDescent="0.2">
      <c r="A1" s="2473" t="str">
        <f>'Single Audit Cover'!A7</f>
        <v>Ottawa Township High School</v>
      </c>
      <c r="B1" s="2473"/>
      <c r="C1" s="2473"/>
      <c r="D1" s="2473"/>
      <c r="E1" s="2473"/>
      <c r="F1" s="2473"/>
    </row>
    <row r="2" spans="1:7" ht="13.5" customHeight="1" x14ac:dyDescent="0.2">
      <c r="A2" s="2474">
        <f>'Single Audit Cover'!E7</f>
        <v>35050140017</v>
      </c>
      <c r="B2" s="2474"/>
      <c r="C2" s="2474"/>
      <c r="D2" s="2474"/>
      <c r="E2" s="2474"/>
      <c r="F2" s="2474"/>
      <c r="G2" s="1265"/>
    </row>
    <row r="3" spans="1:7" ht="15.75" customHeight="1" x14ac:dyDescent="0.2">
      <c r="A3" s="2475" t="s">
        <v>1332</v>
      </c>
      <c r="B3" s="2475"/>
      <c r="C3" s="2475"/>
      <c r="D3" s="2475"/>
      <c r="E3" s="2475"/>
      <c r="F3" s="2475"/>
    </row>
    <row r="4" spans="1:7" ht="13.5" customHeight="1" x14ac:dyDescent="0.2">
      <c r="A4" s="2476" t="str">
        <f>'Single Audit Cover'!A4</f>
        <v>Year Ending June 30, 2018</v>
      </c>
      <c r="B4" s="2476"/>
      <c r="C4" s="2476"/>
      <c r="D4" s="2476"/>
      <c r="E4" s="2476"/>
      <c r="F4" s="2476"/>
    </row>
    <row r="5" spans="1:7" ht="8.25" customHeight="1" x14ac:dyDescent="0.2">
      <c r="C5" s="317"/>
      <c r="D5" s="317"/>
    </row>
    <row r="6" spans="1:7" ht="13.5" customHeight="1" x14ac:dyDescent="0.2">
      <c r="A6" s="1266" t="s">
        <v>1830</v>
      </c>
      <c r="C6" s="317"/>
      <c r="D6" s="317"/>
    </row>
    <row r="7" spans="1:7" ht="60.95" customHeight="1" x14ac:dyDescent="0.2">
      <c r="A7" s="2472" t="s">
        <v>1831</v>
      </c>
      <c r="B7" s="2472"/>
      <c r="C7" s="2472"/>
      <c r="D7" s="2472"/>
      <c r="E7" s="2472"/>
      <c r="F7" s="2472"/>
    </row>
    <row r="8" spans="1:7" ht="12" customHeight="1" x14ac:dyDescent="0.2">
      <c r="A8" s="1266"/>
      <c r="B8" s="1272"/>
      <c r="C8" s="1272"/>
      <c r="D8" s="1272"/>
    </row>
    <row r="9" spans="1:7" ht="15" customHeight="1" x14ac:dyDescent="0.2">
      <c r="A9" s="1267" t="s">
        <v>1832</v>
      </c>
      <c r="B9" s="1270"/>
      <c r="C9" s="1270"/>
      <c r="D9" s="1270"/>
      <c r="E9" s="1268"/>
      <c r="F9" s="1268"/>
      <c r="G9" s="1268"/>
    </row>
    <row r="10" spans="1:7" ht="15" customHeight="1" x14ac:dyDescent="0.2">
      <c r="A10" s="1269" t="s">
        <v>1627</v>
      </c>
      <c r="B10" s="1270"/>
      <c r="C10" s="1271"/>
      <c r="D10" s="1270" t="s">
        <v>1628</v>
      </c>
      <c r="E10" s="1271"/>
      <c r="F10" s="1270" t="s">
        <v>101</v>
      </c>
      <c r="G10" s="1268"/>
    </row>
    <row r="11" spans="1:7" ht="12" customHeight="1" x14ac:dyDescent="0.2">
      <c r="A11" s="1269"/>
      <c r="B11" s="1270"/>
      <c r="C11" s="1915"/>
      <c r="D11" s="1270"/>
      <c r="E11" s="1915"/>
      <c r="F11" s="1270"/>
      <c r="G11" s="1268"/>
    </row>
    <row r="12" spans="1:7" x14ac:dyDescent="0.2">
      <c r="A12" s="1266" t="s">
        <v>1668</v>
      </c>
      <c r="C12" s="1250"/>
      <c r="D12" s="1250"/>
    </row>
    <row r="13" spans="1:7" ht="15" customHeight="1" x14ac:dyDescent="0.2">
      <c r="A13" s="2472" t="s">
        <v>1833</v>
      </c>
      <c r="B13" s="2472"/>
      <c r="C13" s="2472"/>
      <c r="D13" s="2472"/>
      <c r="E13" s="2472"/>
      <c r="F13" s="2472"/>
    </row>
    <row r="14" spans="1:7" ht="9.75" customHeight="1" x14ac:dyDescent="0.2">
      <c r="C14" s="1250"/>
      <c r="D14" s="1250"/>
    </row>
    <row r="15" spans="1:7" ht="13.5" customHeight="1" x14ac:dyDescent="0.2">
      <c r="C15" s="1859" t="s">
        <v>1331</v>
      </c>
      <c r="D15" s="2470" t="s">
        <v>1330</v>
      </c>
      <c r="E15" s="2470"/>
      <c r="F15" s="2470"/>
    </row>
    <row r="16" spans="1:7" ht="13.5" customHeight="1" x14ac:dyDescent="0.2">
      <c r="A16" s="1272"/>
      <c r="B16" s="1266" t="s">
        <v>1329</v>
      </c>
      <c r="C16" s="1859" t="s">
        <v>1328</v>
      </c>
      <c r="D16" s="2471" t="s">
        <v>1669</v>
      </c>
      <c r="E16" s="2471"/>
      <c r="F16" s="2471"/>
    </row>
    <row r="17" spans="1:6" ht="20.45" customHeight="1" x14ac:dyDescent="0.2">
      <c r="A17" s="1273"/>
      <c r="B17" s="1274"/>
      <c r="C17" s="1275"/>
      <c r="D17" s="2465"/>
      <c r="E17" s="2465"/>
      <c r="F17" s="2465"/>
    </row>
    <row r="18" spans="1:6" ht="20.65" customHeight="1" x14ac:dyDescent="0.2">
      <c r="A18" s="1273"/>
      <c r="B18" s="1274"/>
      <c r="C18" s="1275"/>
      <c r="D18" s="2465"/>
      <c r="E18" s="2465"/>
      <c r="F18" s="2465"/>
    </row>
    <row r="19" spans="1:6" ht="20.65" customHeight="1" x14ac:dyDescent="0.2">
      <c r="A19" s="1273"/>
      <c r="B19" s="1274"/>
      <c r="C19" s="1275"/>
      <c r="D19" s="2465"/>
      <c r="E19" s="2465"/>
      <c r="F19" s="2465"/>
    </row>
    <row r="20" spans="1:6" ht="20.65" customHeight="1" x14ac:dyDescent="0.2">
      <c r="A20" s="1273"/>
      <c r="B20" s="1274"/>
      <c r="C20" s="1275"/>
      <c r="D20" s="2465"/>
      <c r="E20" s="2465"/>
      <c r="F20" s="2465"/>
    </row>
    <row r="21" spans="1:6" ht="20.65" customHeight="1" x14ac:dyDescent="0.2">
      <c r="A21" s="1273"/>
      <c r="B21" s="1274"/>
      <c r="C21" s="1275"/>
      <c r="D21" s="2465"/>
      <c r="E21" s="2465"/>
      <c r="F21" s="2465"/>
    </row>
    <row r="22" spans="1:6" ht="20.65" customHeight="1" x14ac:dyDescent="0.2">
      <c r="A22" s="1273"/>
      <c r="B22" s="1274"/>
      <c r="C22" s="1275"/>
      <c r="D22" s="2465"/>
      <c r="E22" s="2465"/>
      <c r="F22" s="2465"/>
    </row>
    <row r="23" spans="1:6" ht="20.65" customHeight="1" x14ac:dyDescent="0.2">
      <c r="A23" s="1273"/>
      <c r="B23" s="1274"/>
      <c r="C23" s="1275"/>
      <c r="D23" s="2465"/>
      <c r="E23" s="2465"/>
      <c r="F23" s="2465"/>
    </row>
    <row r="24" spans="1:6" ht="20.65" customHeight="1" x14ac:dyDescent="0.2">
      <c r="A24" s="1273"/>
      <c r="B24" s="1274"/>
      <c r="C24" s="1275"/>
      <c r="D24" s="2465"/>
      <c r="E24" s="2465"/>
      <c r="F24" s="2465"/>
    </row>
    <row r="25" spans="1:6" ht="20.65" customHeight="1" x14ac:dyDescent="0.2">
      <c r="A25" s="1273"/>
      <c r="B25" s="1274"/>
      <c r="C25" s="1275"/>
      <c r="D25" s="2465"/>
      <c r="E25" s="2465"/>
      <c r="F25" s="2465"/>
    </row>
    <row r="26" spans="1:6" ht="20.65" customHeight="1" x14ac:dyDescent="0.2">
      <c r="A26" s="1273"/>
      <c r="B26" s="1274"/>
      <c r="C26" s="1275"/>
      <c r="D26" s="2465"/>
      <c r="E26" s="2465"/>
      <c r="F26" s="2465"/>
    </row>
    <row r="27" spans="1:6" ht="20.65" customHeight="1" x14ac:dyDescent="0.2">
      <c r="A27" s="1273"/>
      <c r="B27" s="1274"/>
      <c r="C27" s="1275"/>
      <c r="D27" s="2465"/>
      <c r="E27" s="2465"/>
      <c r="F27" s="2465"/>
    </row>
    <row r="28" spans="1:6" ht="20.65" customHeight="1" x14ac:dyDescent="0.2">
      <c r="A28" s="1273"/>
      <c r="B28" s="1274"/>
      <c r="C28" s="1275"/>
      <c r="D28" s="2465"/>
      <c r="E28" s="2465"/>
      <c r="F28" s="2465"/>
    </row>
    <row r="29" spans="1:6" ht="20.65" customHeight="1" x14ac:dyDescent="0.2">
      <c r="A29" s="1273"/>
      <c r="B29" s="1274"/>
      <c r="C29" s="1275"/>
      <c r="D29" s="2465"/>
      <c r="E29" s="2465"/>
      <c r="F29" s="2465"/>
    </row>
    <row r="30" spans="1:6" ht="12" customHeight="1" x14ac:dyDescent="0.2">
      <c r="A30" s="328"/>
      <c r="B30" s="328"/>
      <c r="C30" s="1468"/>
      <c r="D30" s="1916"/>
      <c r="E30" s="1276"/>
    </row>
    <row r="31" spans="1:6" ht="12" customHeight="1" x14ac:dyDescent="0.2">
      <c r="A31" s="1277" t="s">
        <v>1629</v>
      </c>
      <c r="B31" s="328"/>
      <c r="C31" s="1468"/>
      <c r="D31" s="1916"/>
      <c r="E31" s="1276"/>
    </row>
    <row r="32" spans="1:6" ht="30" customHeight="1" x14ac:dyDescent="0.2">
      <c r="A32" s="2466" t="s">
        <v>1834</v>
      </c>
      <c r="B32" s="2466"/>
      <c r="C32" s="2466"/>
      <c r="D32" s="2466"/>
      <c r="E32" s="2466"/>
      <c r="F32" s="2466"/>
    </row>
    <row r="33" spans="1:6" ht="13.5" customHeight="1" x14ac:dyDescent="0.2">
      <c r="A33" s="328" t="s">
        <v>1508</v>
      </c>
      <c r="B33" s="328"/>
      <c r="C33" s="1278">
        <v>0</v>
      </c>
      <c r="D33" s="1916"/>
      <c r="E33" s="1276"/>
    </row>
    <row r="34" spans="1:6" ht="13.5" customHeight="1" x14ac:dyDescent="0.2">
      <c r="A34" s="328" t="s">
        <v>1948</v>
      </c>
      <c r="B34" s="328"/>
      <c r="C34" s="1279">
        <v>0</v>
      </c>
      <c r="D34" s="1916" t="s">
        <v>1670</v>
      </c>
      <c r="E34" s="2467">
        <f>+C33+C34</f>
        <v>0</v>
      </c>
      <c r="F34" s="2468"/>
    </row>
    <row r="35" spans="1:6" ht="12" customHeight="1" x14ac:dyDescent="0.2">
      <c r="A35" s="328"/>
      <c r="B35" s="328"/>
      <c r="C35" s="1917"/>
      <c r="D35" s="1916"/>
      <c r="E35" s="1280"/>
      <c r="F35" s="1281"/>
    </row>
    <row r="36" spans="1:6" ht="13.5" customHeight="1" x14ac:dyDescent="0.2">
      <c r="A36" s="1277" t="s">
        <v>1630</v>
      </c>
      <c r="B36" s="328"/>
      <c r="C36" s="1468"/>
      <c r="D36" s="1916"/>
      <c r="E36" s="1276"/>
    </row>
    <row r="37" spans="1:6" ht="14.25" customHeight="1" x14ac:dyDescent="0.2">
      <c r="A37" s="328" t="s">
        <v>1562</v>
      </c>
      <c r="B37" s="328"/>
      <c r="C37" s="1918"/>
      <c r="D37" s="1916"/>
      <c r="E37" s="1276"/>
    </row>
    <row r="38" spans="1:6" ht="14.25" customHeight="1" x14ac:dyDescent="0.2">
      <c r="A38" s="328"/>
      <c r="B38" s="328" t="s">
        <v>1509</v>
      </c>
      <c r="C38" s="1282"/>
      <c r="D38" s="1916"/>
      <c r="E38" s="1276"/>
    </row>
    <row r="39" spans="1:6" ht="14.25" customHeight="1" x14ac:dyDescent="0.2">
      <c r="A39" s="328"/>
      <c r="B39" s="328" t="s">
        <v>1510</v>
      </c>
      <c r="C39" s="1282"/>
      <c r="D39" s="1916"/>
      <c r="E39" s="1276"/>
    </row>
    <row r="40" spans="1:6" ht="14.25" customHeight="1" x14ac:dyDescent="0.2">
      <c r="A40" s="328"/>
      <c r="B40" s="328" t="s">
        <v>1511</v>
      </c>
      <c r="C40" s="1282"/>
      <c r="D40" s="1916"/>
      <c r="E40" s="1276"/>
    </row>
    <row r="41" spans="1:6" ht="14.25" customHeight="1" x14ac:dyDescent="0.2">
      <c r="A41" s="328"/>
      <c r="B41" s="328" t="s">
        <v>1512</v>
      </c>
      <c r="C41" s="1282"/>
      <c r="D41" s="1916"/>
      <c r="E41" s="1276"/>
    </row>
    <row r="42" spans="1:6" ht="14.25" customHeight="1" x14ac:dyDescent="0.2">
      <c r="A42" s="328" t="s">
        <v>1513</v>
      </c>
      <c r="B42" s="328"/>
      <c r="C42" s="1914"/>
      <c r="D42" s="1916"/>
      <c r="E42" s="1276"/>
    </row>
    <row r="43" spans="1:6" ht="14.25" customHeight="1" x14ac:dyDescent="0.2">
      <c r="A43" s="328" t="s">
        <v>1514</v>
      </c>
      <c r="B43" s="328"/>
      <c r="C43" s="1283"/>
      <c r="D43" s="1916"/>
      <c r="E43" s="1276"/>
    </row>
    <row r="44" spans="1:6" ht="14.25" customHeight="1" x14ac:dyDescent="0.2">
      <c r="A44" s="328"/>
      <c r="B44" s="328"/>
      <c r="C44" s="1918" t="s">
        <v>1515</v>
      </c>
      <c r="D44" s="1916"/>
      <c r="E44" s="1276"/>
    </row>
    <row r="45" spans="1:6" ht="13.5" customHeight="1" x14ac:dyDescent="0.2">
      <c r="B45" s="322"/>
      <c r="C45" s="1284"/>
      <c r="D45" s="1284"/>
    </row>
    <row r="46" spans="1:6" x14ac:dyDescent="0.2">
      <c r="A46" s="1285" t="s">
        <v>1835</v>
      </c>
      <c r="C46" s="317"/>
      <c r="D46" s="317"/>
    </row>
    <row r="47" spans="1:6" s="322" customFormat="1" ht="11.25" customHeight="1" x14ac:dyDescent="0.2">
      <c r="A47" s="1286"/>
      <c r="B47" s="1287"/>
      <c r="C47" s="1287"/>
      <c r="D47" s="1287"/>
      <c r="E47" s="1287"/>
      <c r="F47" s="1287"/>
    </row>
    <row r="48" spans="1:6" s="322" customFormat="1" ht="6" customHeight="1" x14ac:dyDescent="0.2">
      <c r="A48" s="1288"/>
    </row>
    <row r="49" spans="1:5" s="1290" customFormat="1" ht="23.25" customHeight="1" x14ac:dyDescent="0.2">
      <c r="A49" s="1289">
        <v>5</v>
      </c>
      <c r="B49" s="2469" t="s">
        <v>1671</v>
      </c>
      <c r="C49" s="2469"/>
      <c r="D49" s="2469"/>
      <c r="E49" s="1389"/>
    </row>
    <row r="50" spans="1:5" s="1290" customFormat="1" ht="3.75" customHeight="1" x14ac:dyDescent="0.2">
      <c r="A50" s="1289"/>
      <c r="B50" s="1858"/>
      <c r="C50" s="1858"/>
      <c r="D50" s="1858"/>
      <c r="E50" s="1389"/>
    </row>
    <row r="51" spans="1:5" s="1290" customFormat="1" ht="20.25" customHeight="1" x14ac:dyDescent="0.2">
      <c r="A51" s="1291">
        <v>6</v>
      </c>
      <c r="B51" s="2464" t="s">
        <v>1631</v>
      </c>
      <c r="C51" s="2464"/>
      <c r="D51" s="2464"/>
    </row>
    <row r="52" spans="1:5" ht="14.25" customHeight="1" x14ac:dyDescent="0.2">
      <c r="A52" s="1291"/>
      <c r="B52" s="2464"/>
      <c r="C52" s="2464"/>
      <c r="D52" s="2464"/>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47" customWidth="1"/>
    <col min="4" max="4" width="12.7109375" style="1348" customWidth="1"/>
    <col min="5" max="6" width="11.7109375" style="317" customWidth="1"/>
    <col min="7" max="7" width="11.7109375" style="1248" customWidth="1"/>
    <col min="8" max="8" width="13.7109375" style="1248" bestFit="1" customWidth="1"/>
    <col min="9" max="9" width="11.7109375" style="1248" customWidth="1"/>
    <col min="10" max="10" width="13.7109375" style="1248" customWidth="1"/>
    <col min="11" max="12" width="11.7109375" style="1248" customWidth="1"/>
    <col min="13" max="13" width="11.7109375" style="317" customWidth="1"/>
    <col min="14" max="14" width="2.7109375" style="317" customWidth="1"/>
    <col min="15" max="16384" width="33.5703125" style="317"/>
  </cols>
  <sheetData>
    <row r="1" spans="2:14" ht="11.85" customHeight="1" x14ac:dyDescent="0.2">
      <c r="B1" s="2443" t="str">
        <f>'Single Audit Cover'!A7</f>
        <v>Ottawa Township High School</v>
      </c>
      <c r="C1" s="2477"/>
      <c r="D1" s="2477"/>
      <c r="E1" s="2477"/>
      <c r="F1" s="2477"/>
      <c r="G1" s="2477"/>
      <c r="H1" s="2477"/>
      <c r="I1" s="2477"/>
      <c r="J1" s="2477"/>
      <c r="K1" s="2477"/>
      <c r="L1" s="2477"/>
      <c r="M1" s="2477"/>
    </row>
    <row r="2" spans="2:14" ht="15" x14ac:dyDescent="0.2">
      <c r="B2" s="2474">
        <f>'Single Audit Cover'!E7</f>
        <v>35050140017</v>
      </c>
      <c r="C2" s="2474"/>
      <c r="D2" s="2474"/>
      <c r="E2" s="2474"/>
      <c r="F2" s="2474"/>
      <c r="G2" s="2474"/>
      <c r="H2" s="2474"/>
      <c r="I2" s="2474"/>
      <c r="J2" s="2474"/>
      <c r="K2" s="2474"/>
      <c r="L2" s="2474"/>
      <c r="M2" s="2474"/>
      <c r="N2" s="1292"/>
    </row>
    <row r="3" spans="2:14" ht="15" x14ac:dyDescent="0.2">
      <c r="B3" s="2478" t="s">
        <v>1280</v>
      </c>
      <c r="C3" s="2478"/>
      <c r="D3" s="2478"/>
      <c r="E3" s="2478"/>
      <c r="F3" s="2478"/>
      <c r="G3" s="2478"/>
      <c r="H3" s="2478"/>
      <c r="I3" s="2478"/>
      <c r="J3" s="2478"/>
      <c r="K3" s="2478"/>
      <c r="L3" s="2478"/>
      <c r="M3" s="2478"/>
      <c r="N3" s="1292"/>
    </row>
    <row r="4" spans="2:14" ht="15" x14ac:dyDescent="0.2">
      <c r="B4" s="2479" t="str">
        <f>'Single Audit Cover'!A4</f>
        <v>Year Ending June 30, 2018</v>
      </c>
      <c r="C4" s="2479"/>
      <c r="D4" s="2479"/>
      <c r="E4" s="2479"/>
      <c r="F4" s="2479"/>
      <c r="G4" s="2479"/>
      <c r="H4" s="2479"/>
      <c r="I4" s="2479"/>
      <c r="J4" s="2479"/>
      <c r="K4" s="2479"/>
      <c r="L4" s="2479"/>
      <c r="M4" s="2479"/>
      <c r="N4" s="1292"/>
    </row>
    <row r="6" spans="2:14" x14ac:dyDescent="0.2">
      <c r="B6" s="1293"/>
      <c r="C6" s="1294"/>
      <c r="D6" s="1295" t="s">
        <v>1326</v>
      </c>
      <c r="E6" s="1296" t="s">
        <v>547</v>
      </c>
      <c r="F6" s="1297"/>
      <c r="G6" s="1298" t="s">
        <v>1836</v>
      </c>
      <c r="H6" s="1296"/>
      <c r="I6" s="1296"/>
      <c r="J6" s="1296"/>
      <c r="K6" s="1299"/>
      <c r="L6" s="1300"/>
      <c r="M6" s="1301"/>
    </row>
    <row r="7" spans="2:14" x14ac:dyDescent="0.2">
      <c r="B7" s="1302" t="s">
        <v>1661</v>
      </c>
      <c r="C7" s="1303"/>
      <c r="D7" s="1304"/>
      <c r="E7" s="1305"/>
      <c r="F7" s="1306"/>
      <c r="G7" s="1305"/>
      <c r="H7" s="1307" t="s">
        <v>1323</v>
      </c>
      <c r="I7" s="1305"/>
      <c r="J7" s="1308" t="s">
        <v>1323</v>
      </c>
      <c r="K7" s="1309"/>
      <c r="L7" s="1310" t="s">
        <v>1321</v>
      </c>
      <c r="M7" s="1311"/>
    </row>
    <row r="8" spans="2:14" x14ac:dyDescent="0.2">
      <c r="B8" s="1677"/>
      <c r="C8" s="1303" t="s">
        <v>1325</v>
      </c>
      <c r="D8" s="1304" t="s">
        <v>1324</v>
      </c>
      <c r="E8" s="1312" t="s">
        <v>1323</v>
      </c>
      <c r="F8" s="1313" t="s">
        <v>1323</v>
      </c>
      <c r="G8" s="1314" t="s">
        <v>1323</v>
      </c>
      <c r="H8" s="1307" t="s">
        <v>1662</v>
      </c>
      <c r="I8" s="1309" t="s">
        <v>1323</v>
      </c>
      <c r="J8" s="1308" t="s">
        <v>1949</v>
      </c>
      <c r="K8" s="1309" t="s">
        <v>1322</v>
      </c>
      <c r="L8" s="1310" t="s">
        <v>1318</v>
      </c>
      <c r="M8" s="1311" t="s">
        <v>30</v>
      </c>
    </row>
    <row r="9" spans="2:14" ht="14.25" x14ac:dyDescent="0.2">
      <c r="B9" s="1315" t="s">
        <v>1320</v>
      </c>
      <c r="C9" s="1303" t="s">
        <v>1837</v>
      </c>
      <c r="D9" s="1304" t="s">
        <v>1838</v>
      </c>
      <c r="E9" s="1312" t="s">
        <v>1662</v>
      </c>
      <c r="F9" s="1313" t="s">
        <v>1949</v>
      </c>
      <c r="G9" s="1314" t="s">
        <v>1662</v>
      </c>
      <c r="H9" s="1307" t="s">
        <v>1663</v>
      </c>
      <c r="I9" s="1309" t="s">
        <v>1949</v>
      </c>
      <c r="J9" s="1308" t="s">
        <v>1663</v>
      </c>
      <c r="K9" s="1309" t="s">
        <v>1319</v>
      </c>
      <c r="L9" s="1316" t="s">
        <v>1664</v>
      </c>
      <c r="M9" s="1311"/>
    </row>
    <row r="10" spans="2:14" ht="11.85" customHeight="1" x14ac:dyDescent="0.2">
      <c r="B10" s="1315" t="s">
        <v>1317</v>
      </c>
      <c r="C10" s="1317" t="s">
        <v>1316</v>
      </c>
      <c r="D10" s="1318" t="s">
        <v>1315</v>
      </c>
      <c r="E10" s="1319" t="s">
        <v>1314</v>
      </c>
      <c r="F10" s="1320" t="s">
        <v>1313</v>
      </c>
      <c r="G10" s="1321" t="s">
        <v>1312</v>
      </c>
      <c r="H10" s="1322" t="s">
        <v>1327</v>
      </c>
      <c r="I10" s="1323" t="s">
        <v>1311</v>
      </c>
      <c r="J10" s="1324" t="s">
        <v>1327</v>
      </c>
      <c r="K10" s="1325" t="s">
        <v>1310</v>
      </c>
      <c r="L10" s="1325" t="s">
        <v>1309</v>
      </c>
      <c r="M10" s="1326" t="s">
        <v>1308</v>
      </c>
    </row>
    <row r="11" spans="2:14" ht="20.100000000000001" customHeight="1" x14ac:dyDescent="0.2">
      <c r="B11" s="1327"/>
      <c r="C11" s="1328"/>
      <c r="D11" s="1329"/>
      <c r="E11" s="1330"/>
      <c r="F11" s="1330"/>
      <c r="G11" s="1330"/>
      <c r="H11" s="1330"/>
      <c r="I11" s="1330"/>
      <c r="J11" s="1330"/>
      <c r="K11" s="1330"/>
      <c r="L11" s="1330">
        <f>+G11+I11+K11</f>
        <v>0</v>
      </c>
      <c r="M11" s="1330"/>
    </row>
    <row r="12" spans="2:14" ht="20.100000000000001" customHeight="1" x14ac:dyDescent="0.2">
      <c r="B12" s="1327"/>
      <c r="C12" s="1331"/>
      <c r="D12" s="1332"/>
      <c r="E12" s="1333"/>
      <c r="F12" s="1333"/>
      <c r="G12" s="1333"/>
      <c r="H12" s="1333"/>
      <c r="I12" s="1333"/>
      <c r="J12" s="1333"/>
      <c r="K12" s="1333"/>
      <c r="L12" s="1330">
        <f t="shared" ref="L12:L27" si="0">+G12+I12+K12</f>
        <v>0</v>
      </c>
      <c r="M12" s="1333"/>
    </row>
    <row r="13" spans="2:14" ht="20.100000000000001" customHeight="1" x14ac:dyDescent="0.2">
      <c r="B13" s="1327"/>
      <c r="C13" s="1331"/>
      <c r="D13" s="1332"/>
      <c r="E13" s="1333"/>
      <c r="F13" s="1333"/>
      <c r="G13" s="1333"/>
      <c r="H13" s="1333"/>
      <c r="I13" s="1333"/>
      <c r="J13" s="1333"/>
      <c r="K13" s="1333"/>
      <c r="L13" s="1330">
        <f t="shared" si="0"/>
        <v>0</v>
      </c>
      <c r="M13" s="1333"/>
    </row>
    <row r="14" spans="2:14" ht="20.100000000000001" customHeight="1" x14ac:dyDescent="0.2">
      <c r="B14" s="1327"/>
      <c r="C14" s="1331"/>
      <c r="D14" s="1332"/>
      <c r="E14" s="1333"/>
      <c r="F14" s="1333"/>
      <c r="G14" s="1333"/>
      <c r="H14" s="1333"/>
      <c r="I14" s="1333"/>
      <c r="J14" s="1333"/>
      <c r="K14" s="1333"/>
      <c r="L14" s="1330">
        <f t="shared" si="0"/>
        <v>0</v>
      </c>
      <c r="M14" s="1333"/>
    </row>
    <row r="15" spans="2:14" ht="20.100000000000001" customHeight="1" x14ac:dyDescent="0.2">
      <c r="B15" s="1327" t="s">
        <v>1230</v>
      </c>
      <c r="C15" s="1331"/>
      <c r="D15" s="1332"/>
      <c r="E15" s="1333"/>
      <c r="F15" s="1333"/>
      <c r="G15" s="1333"/>
      <c r="H15" s="1333"/>
      <c r="I15" s="1333"/>
      <c r="J15" s="1333"/>
      <c r="K15" s="1333"/>
      <c r="L15" s="1330">
        <f t="shared" si="0"/>
        <v>0</v>
      </c>
      <c r="M15" s="1333"/>
    </row>
    <row r="16" spans="2:14" ht="20.100000000000001" customHeight="1" x14ac:dyDescent="0.2">
      <c r="B16" s="1327"/>
      <c r="C16" s="1331"/>
      <c r="D16" s="1332"/>
      <c r="E16" s="1333"/>
      <c r="F16" s="1333"/>
      <c r="G16" s="1333"/>
      <c r="H16" s="1333"/>
      <c r="I16" s="1333"/>
      <c r="J16" s="1333"/>
      <c r="K16" s="1333"/>
      <c r="L16" s="1330">
        <f t="shared" si="0"/>
        <v>0</v>
      </c>
      <c r="M16" s="1333"/>
    </row>
    <row r="17" spans="2:14" ht="20.100000000000001" customHeight="1" x14ac:dyDescent="0.2">
      <c r="B17" s="1327"/>
      <c r="C17" s="1331"/>
      <c r="D17" s="1332"/>
      <c r="E17" s="1333"/>
      <c r="F17" s="1333"/>
      <c r="G17" s="1333"/>
      <c r="H17" s="1333"/>
      <c r="I17" s="1333"/>
      <c r="J17" s="1333"/>
      <c r="K17" s="1333"/>
      <c r="L17" s="1330">
        <f t="shared" si="0"/>
        <v>0</v>
      </c>
      <c r="M17" s="1333"/>
    </row>
    <row r="18" spans="2:14" ht="20.100000000000001" customHeight="1" x14ac:dyDescent="0.2">
      <c r="B18" s="1327"/>
      <c r="C18" s="1331"/>
      <c r="D18" s="1332"/>
      <c r="E18" s="1333"/>
      <c r="F18" s="1333"/>
      <c r="G18" s="1333"/>
      <c r="H18" s="1333"/>
      <c r="I18" s="1333"/>
      <c r="J18" s="1333"/>
      <c r="K18" s="1333"/>
      <c r="L18" s="1330">
        <f t="shared" si="0"/>
        <v>0</v>
      </c>
      <c r="M18" s="1333"/>
    </row>
    <row r="19" spans="2:14" ht="20.100000000000001" customHeight="1" x14ac:dyDescent="0.2">
      <c r="B19" s="1327"/>
      <c r="C19" s="1331"/>
      <c r="D19" s="1332"/>
      <c r="E19" s="1333"/>
      <c r="F19" s="1333"/>
      <c r="G19" s="1333"/>
      <c r="H19" s="1333"/>
      <c r="I19" s="1333"/>
      <c r="J19" s="1333"/>
      <c r="K19" s="1333"/>
      <c r="L19" s="1330">
        <f t="shared" si="0"/>
        <v>0</v>
      </c>
      <c r="M19" s="1333"/>
    </row>
    <row r="20" spans="2:14" ht="20.100000000000001" customHeight="1" x14ac:dyDescent="0.2">
      <c r="B20" s="1327"/>
      <c r="C20" s="1331"/>
      <c r="D20" s="1332"/>
      <c r="E20" s="1333"/>
      <c r="F20" s="1333"/>
      <c r="G20" s="1333"/>
      <c r="H20" s="1333"/>
      <c r="I20" s="1333"/>
      <c r="J20" s="1333"/>
      <c r="K20" s="1333"/>
      <c r="L20" s="1330">
        <f t="shared" si="0"/>
        <v>0</v>
      </c>
      <c r="M20" s="1333"/>
    </row>
    <row r="21" spans="2:14" ht="20.100000000000001" customHeight="1" x14ac:dyDescent="0.2">
      <c r="B21" s="1327"/>
      <c r="C21" s="1331"/>
      <c r="D21" s="1332"/>
      <c r="E21" s="1333"/>
      <c r="F21" s="1333"/>
      <c r="G21" s="1333"/>
      <c r="H21" s="1333"/>
      <c r="I21" s="1333"/>
      <c r="J21" s="1333"/>
      <c r="K21" s="1333"/>
      <c r="L21" s="1330">
        <f t="shared" si="0"/>
        <v>0</v>
      </c>
      <c r="M21" s="1333"/>
    </row>
    <row r="22" spans="2:14" ht="20.100000000000001" customHeight="1" x14ac:dyDescent="0.2">
      <c r="B22" s="1327"/>
      <c r="C22" s="1331"/>
      <c r="D22" s="1332"/>
      <c r="E22" s="1333"/>
      <c r="F22" s="1333"/>
      <c r="G22" s="1333"/>
      <c r="H22" s="1333"/>
      <c r="I22" s="1333"/>
      <c r="J22" s="1333"/>
      <c r="K22" s="1333"/>
      <c r="L22" s="1330">
        <f t="shared" si="0"/>
        <v>0</v>
      </c>
      <c r="M22" s="1333"/>
    </row>
    <row r="23" spans="2:14" ht="20.100000000000001" customHeight="1" x14ac:dyDescent="0.2">
      <c r="B23" s="1327"/>
      <c r="C23" s="1331"/>
      <c r="D23" s="1332"/>
      <c r="E23" s="1333"/>
      <c r="F23" s="1333"/>
      <c r="G23" s="1333"/>
      <c r="H23" s="1333"/>
      <c r="I23" s="1333"/>
      <c r="J23" s="1333"/>
      <c r="K23" s="1333"/>
      <c r="L23" s="1330">
        <f t="shared" si="0"/>
        <v>0</v>
      </c>
      <c r="M23" s="1333"/>
    </row>
    <row r="24" spans="2:14" ht="20.100000000000001" customHeight="1" x14ac:dyDescent="0.2">
      <c r="B24" s="1327"/>
      <c r="C24" s="1331"/>
      <c r="D24" s="1332"/>
      <c r="E24" s="1333"/>
      <c r="F24" s="1333"/>
      <c r="G24" s="1333"/>
      <c r="H24" s="1333"/>
      <c r="I24" s="1333"/>
      <c r="J24" s="1333"/>
      <c r="K24" s="1333"/>
      <c r="L24" s="1330">
        <f t="shared" si="0"/>
        <v>0</v>
      </c>
      <c r="M24" s="1333"/>
    </row>
    <row r="25" spans="2:14" ht="20.100000000000001" customHeight="1" x14ac:dyDescent="0.2">
      <c r="B25" s="1327"/>
      <c r="C25" s="1331"/>
      <c r="D25" s="1332"/>
      <c r="E25" s="1333"/>
      <c r="F25" s="1333"/>
      <c r="G25" s="1333"/>
      <c r="H25" s="1333"/>
      <c r="I25" s="1333"/>
      <c r="J25" s="1333"/>
      <c r="K25" s="1333"/>
      <c r="L25" s="1330">
        <f t="shared" si="0"/>
        <v>0</v>
      </c>
      <c r="M25" s="1333"/>
    </row>
    <row r="26" spans="2:14" ht="20.100000000000001" customHeight="1" x14ac:dyDescent="0.2">
      <c r="B26" s="1327"/>
      <c r="C26" s="1331"/>
      <c r="D26" s="1332"/>
      <c r="E26" s="1333"/>
      <c r="F26" s="1333"/>
      <c r="G26" s="1333"/>
      <c r="H26" s="1333"/>
      <c r="I26" s="1333"/>
      <c r="J26" s="1333"/>
      <c r="K26" s="1333"/>
      <c r="L26" s="1330">
        <f t="shared" si="0"/>
        <v>0</v>
      </c>
      <c r="M26" s="1333"/>
    </row>
    <row r="27" spans="2:14" ht="20.100000000000001" customHeight="1" x14ac:dyDescent="0.2">
      <c r="B27" s="1327"/>
      <c r="C27" s="1331"/>
      <c r="D27" s="1332"/>
      <c r="E27" s="1333"/>
      <c r="F27" s="1333"/>
      <c r="G27" s="1333"/>
      <c r="H27" s="1333"/>
      <c r="I27" s="1333"/>
      <c r="J27" s="1333"/>
      <c r="K27" s="1333"/>
      <c r="L27" s="1330">
        <f t="shared" si="0"/>
        <v>0</v>
      </c>
      <c r="M27" s="1333"/>
      <c r="N27" s="1334"/>
    </row>
    <row r="28" spans="2:14" ht="12.75" customHeight="1" x14ac:dyDescent="0.2">
      <c r="B28" s="1335"/>
      <c r="C28" s="1336"/>
      <c r="D28" s="1337"/>
      <c r="E28" s="1338"/>
      <c r="F28" s="1338"/>
      <c r="G28" s="1338"/>
      <c r="H28" s="1338"/>
      <c r="I28" s="1338"/>
      <c r="J28" s="1338"/>
      <c r="K28" s="1338"/>
      <c r="L28" s="1338"/>
      <c r="M28" s="1338"/>
      <c r="N28" s="1334"/>
    </row>
    <row r="29" spans="2:14" x14ac:dyDescent="0.2">
      <c r="B29" s="1247"/>
      <c r="C29" s="1339"/>
      <c r="D29" s="1340"/>
      <c r="E29" s="1247"/>
      <c r="F29" s="1247"/>
      <c r="G29" s="1240"/>
      <c r="H29" s="1240"/>
      <c r="I29" s="1240"/>
      <c r="J29" s="1240"/>
      <c r="K29" s="1240"/>
      <c r="L29" s="1240"/>
      <c r="M29" s="1247"/>
      <c r="N29" s="1334"/>
    </row>
    <row r="30" spans="2:14" ht="13.5" customHeight="1" x14ac:dyDescent="0.2">
      <c r="B30" s="1272" t="s">
        <v>1839</v>
      </c>
      <c r="C30" s="1339"/>
      <c r="D30" s="1340"/>
      <c r="E30" s="1247"/>
      <c r="F30" s="1247"/>
      <c r="G30" s="1240"/>
      <c r="H30" s="1240"/>
      <c r="I30" s="1240"/>
      <c r="J30" s="1240"/>
      <c r="K30" s="1240"/>
      <c r="L30" s="1240"/>
      <c r="M30" s="1247"/>
      <c r="N30" s="1334"/>
    </row>
    <row r="31" spans="2:14" ht="8.25" customHeight="1" x14ac:dyDescent="0.2">
      <c r="B31" s="1272"/>
      <c r="C31" s="1339"/>
      <c r="D31" s="1340"/>
      <c r="E31" s="1247"/>
      <c r="F31" s="1247"/>
      <c r="G31" s="1240"/>
      <c r="H31" s="1240"/>
      <c r="I31" s="1240"/>
      <c r="J31" s="1240"/>
      <c r="K31" s="1240"/>
      <c r="L31" s="1240"/>
      <c r="M31" s="1247"/>
      <c r="N31" s="1334"/>
    </row>
    <row r="32" spans="2:14" x14ac:dyDescent="0.2">
      <c r="B32" s="1341" t="s">
        <v>1950</v>
      </c>
      <c r="C32" s="1342"/>
      <c r="D32" s="1343"/>
      <c r="E32" s="1344"/>
      <c r="F32" s="1344"/>
      <c r="G32" s="1344"/>
      <c r="H32" s="1344"/>
      <c r="I32" s="317"/>
      <c r="J32" s="317"/>
    </row>
    <row r="33" spans="2:13" x14ac:dyDescent="0.2">
      <c r="B33" s="1267"/>
      <c r="C33" s="1345"/>
      <c r="D33" s="1346"/>
      <c r="E33" s="1268"/>
      <c r="F33" s="1268"/>
      <c r="G33" s="317"/>
      <c r="H33" s="317"/>
      <c r="I33" s="317"/>
      <c r="J33" s="317"/>
    </row>
    <row r="34" spans="2:13" ht="13.5" customHeight="1" x14ac:dyDescent="0.2">
      <c r="B34" s="1266" t="s">
        <v>1307</v>
      </c>
      <c r="G34" s="317"/>
      <c r="H34" s="317"/>
      <c r="I34" s="317"/>
      <c r="J34" s="317"/>
    </row>
    <row r="35" spans="2:13" ht="13.5" customHeight="1" x14ac:dyDescent="0.2">
      <c r="B35" s="1349"/>
      <c r="C35" s="1350"/>
      <c r="D35" s="1351"/>
      <c r="E35" s="1287"/>
      <c r="F35" s="1287"/>
      <c r="G35" s="1287"/>
      <c r="H35" s="1287"/>
      <c r="I35" s="1287"/>
      <c r="J35" s="1287"/>
      <c r="K35" s="1352"/>
      <c r="L35" s="1352"/>
      <c r="M35" s="1287"/>
    </row>
    <row r="36" spans="2:13" ht="9.6" customHeight="1" x14ac:dyDescent="0.2">
      <c r="B36" s="1353"/>
      <c r="G36" s="317"/>
      <c r="H36" s="317"/>
      <c r="I36" s="317"/>
      <c r="J36" s="317"/>
    </row>
    <row r="37" spans="2:13" ht="11.25" customHeight="1" x14ac:dyDescent="0.2">
      <c r="B37" s="1354" t="s">
        <v>1840</v>
      </c>
      <c r="C37" s="1355"/>
      <c r="D37" s="1355"/>
      <c r="E37" s="1355"/>
      <c r="F37" s="1355"/>
      <c r="G37" s="1355"/>
      <c r="H37" s="1355"/>
      <c r="I37" s="1356"/>
      <c r="J37" s="1356"/>
      <c r="K37" s="1356"/>
      <c r="L37" s="1356"/>
      <c r="M37" s="1356"/>
    </row>
    <row r="38" spans="2:13" ht="11.25" customHeight="1" x14ac:dyDescent="0.2">
      <c r="B38" s="1357" t="s">
        <v>1665</v>
      </c>
      <c r="C38" s="1356"/>
      <c r="D38" s="1356"/>
      <c r="E38" s="1356"/>
      <c r="F38" s="1356"/>
      <c r="G38" s="1356"/>
      <c r="H38" s="1356"/>
      <c r="I38" s="1356"/>
      <c r="J38" s="1356"/>
      <c r="K38" s="1356"/>
      <c r="L38" s="1356"/>
      <c r="M38" s="1356"/>
    </row>
    <row r="39" spans="2:13" ht="3.95" customHeight="1" x14ac:dyDescent="0.2">
      <c r="B39" s="1357"/>
      <c r="C39" s="1356"/>
      <c r="D39" s="1356"/>
      <c r="E39" s="1356"/>
      <c r="F39" s="1356"/>
      <c r="G39" s="1356"/>
      <c r="H39" s="1356"/>
      <c r="I39" s="1356"/>
      <c r="J39" s="1356"/>
      <c r="K39" s="1356"/>
      <c r="L39" s="1356"/>
      <c r="M39" s="1356"/>
    </row>
    <row r="40" spans="2:13" ht="11.25" customHeight="1" x14ac:dyDescent="0.2">
      <c r="B40" s="1354" t="s">
        <v>1841</v>
      </c>
      <c r="C40" s="1356"/>
      <c r="D40" s="1356"/>
      <c r="E40" s="1356"/>
      <c r="F40" s="1356"/>
      <c r="G40" s="1356"/>
      <c r="H40" s="1356"/>
      <c r="I40" s="1356"/>
      <c r="J40" s="1356"/>
      <c r="K40" s="1356"/>
      <c r="L40" s="1356"/>
      <c r="M40" s="1356"/>
    </row>
    <row r="41" spans="2:13" ht="11.25" customHeight="1" x14ac:dyDescent="0.2">
      <c r="B41" s="1290" t="s">
        <v>1666</v>
      </c>
      <c r="C41" s="1358"/>
      <c r="D41" s="1359"/>
      <c r="E41" s="1290"/>
      <c r="F41" s="1290"/>
      <c r="G41" s="1290"/>
      <c r="H41" s="1290"/>
      <c r="I41" s="1290"/>
      <c r="J41" s="1290"/>
      <c r="K41" s="1360"/>
      <c r="L41" s="1360"/>
      <c r="M41" s="1290"/>
    </row>
    <row r="42" spans="2:13" ht="3.95" customHeight="1" x14ac:dyDescent="0.2">
      <c r="B42" s="1290"/>
      <c r="C42" s="1358"/>
      <c r="D42" s="1359"/>
      <c r="E42" s="1290"/>
      <c r="F42" s="1290"/>
      <c r="G42" s="1290"/>
      <c r="H42" s="1290"/>
      <c r="I42" s="1290"/>
      <c r="J42" s="1290"/>
      <c r="K42" s="1360"/>
      <c r="L42" s="1360"/>
      <c r="M42" s="1290"/>
    </row>
    <row r="43" spans="2:13" ht="11.25" customHeight="1" x14ac:dyDescent="0.2">
      <c r="B43" s="1361" t="s">
        <v>1842</v>
      </c>
      <c r="C43" s="1358"/>
      <c r="D43" s="1359"/>
      <c r="E43" s="1290"/>
      <c r="F43" s="1290"/>
      <c r="G43" s="1290"/>
      <c r="H43" s="1290"/>
      <c r="I43" s="1290"/>
      <c r="J43" s="1290"/>
      <c r="K43" s="1360"/>
      <c r="L43" s="1360"/>
      <c r="M43" s="1290"/>
    </row>
    <row r="44" spans="2:13" ht="3.95" customHeight="1" x14ac:dyDescent="0.2">
      <c r="B44" s="1361"/>
      <c r="C44" s="1358"/>
      <c r="D44" s="1359"/>
      <c r="E44" s="1290"/>
      <c r="F44" s="1290"/>
      <c r="G44" s="1290"/>
      <c r="H44" s="1290"/>
      <c r="I44" s="1290"/>
      <c r="J44" s="1290"/>
      <c r="K44" s="1360"/>
      <c r="L44" s="1360"/>
      <c r="M44" s="1290"/>
    </row>
    <row r="45" spans="2:13" ht="11.25" customHeight="1" x14ac:dyDescent="0.2">
      <c r="B45" s="1362" t="s">
        <v>1843</v>
      </c>
      <c r="C45" s="1358"/>
      <c r="D45" s="1359"/>
      <c r="E45" s="1290"/>
      <c r="F45" s="1290"/>
      <c r="G45" s="1290"/>
      <c r="H45" s="1290"/>
      <c r="I45" s="1290"/>
      <c r="J45" s="1290"/>
      <c r="K45" s="1360"/>
      <c r="L45" s="1360"/>
      <c r="M45" s="1290"/>
    </row>
    <row r="46" spans="2:13" ht="11.25" customHeight="1" x14ac:dyDescent="0.2">
      <c r="B46" s="1290" t="s">
        <v>1667</v>
      </c>
      <c r="G46" s="317"/>
      <c r="H46" s="317"/>
      <c r="I46" s="317"/>
      <c r="J46" s="317"/>
    </row>
    <row r="47" spans="2:13" ht="11.1" customHeight="1" x14ac:dyDescent="0.2">
      <c r="B47" s="1290"/>
      <c r="G47" s="317"/>
      <c r="H47" s="317"/>
      <c r="I47" s="317"/>
      <c r="J47" s="317"/>
    </row>
    <row r="48" spans="2:13" ht="11.1" customHeight="1" x14ac:dyDescent="0.2">
      <c r="B48" s="1290"/>
      <c r="G48" s="317"/>
      <c r="H48" s="317"/>
      <c r="I48" s="317"/>
      <c r="J48" s="317"/>
    </row>
    <row r="49" spans="7:13" ht="13.5" customHeight="1" x14ac:dyDescent="0.2">
      <c r="M49" s="1363"/>
    </row>
    <row r="50" spans="7:13" ht="13.5" customHeight="1" x14ac:dyDescent="0.2">
      <c r="M50" s="1363"/>
    </row>
    <row r="51" spans="7:13" ht="13.5" customHeight="1" x14ac:dyDescent="0.2">
      <c r="M51" s="136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3" colorId="8" zoomScale="110" zoomScaleNormal="110" workbookViewId="0">
      <selection activeCell="P51" sqref="P51:P52"/>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85" t="s">
        <v>1229</v>
      </c>
      <c r="B2" s="2085"/>
      <c r="C2" s="2085"/>
      <c r="D2" s="2085"/>
      <c r="E2" s="2085"/>
      <c r="F2" s="2085"/>
      <c r="G2" s="2085"/>
      <c r="H2" s="2085"/>
      <c r="I2" s="2085"/>
      <c r="J2" s="2085"/>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893</v>
      </c>
      <c r="B7" s="212"/>
      <c r="C7" s="213"/>
      <c r="D7" s="215"/>
    </row>
    <row r="8" spans="1:11" x14ac:dyDescent="0.2">
      <c r="A8" s="216"/>
      <c r="B8" s="217"/>
      <c r="D8" s="218"/>
    </row>
    <row r="9" spans="1:11" s="181" customFormat="1" x14ac:dyDescent="0.2">
      <c r="A9" s="219"/>
      <c r="B9" s="220"/>
      <c r="C9" s="179">
        <v>1</v>
      </c>
      <c r="D9" s="221" t="s">
        <v>1638</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1025</v>
      </c>
    </row>
    <row r="16" spans="1:11" s="181" customFormat="1" x14ac:dyDescent="0.2">
      <c r="A16" s="219"/>
      <c r="B16" s="226"/>
      <c r="C16" s="227">
        <v>6</v>
      </c>
      <c r="D16" s="231" t="s">
        <v>1533</v>
      </c>
    </row>
    <row r="17" spans="1:4" s="181" customFormat="1" ht="6" hidden="1" customHeight="1" x14ac:dyDescent="0.2">
      <c r="A17" s="219"/>
      <c r="B17" s="229"/>
      <c r="C17" s="227"/>
      <c r="D17" s="232"/>
    </row>
    <row r="18" spans="1:4" s="181" customFormat="1" ht="12" customHeight="1" x14ac:dyDescent="0.2">
      <c r="A18" s="219"/>
      <c r="B18" s="226"/>
      <c r="C18" s="227">
        <v>7</v>
      </c>
      <c r="D18" s="231" t="s">
        <v>1532</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1635</v>
      </c>
    </row>
    <row r="22" spans="1:4" s="181" customFormat="1" x14ac:dyDescent="0.2">
      <c r="A22" s="219"/>
      <c r="B22" s="226"/>
      <c r="C22" s="227">
        <v>9</v>
      </c>
      <c r="D22" s="231" t="s">
        <v>1726</v>
      </c>
    </row>
    <row r="23" spans="1:4" s="181" customFormat="1" x14ac:dyDescent="0.2">
      <c r="A23" s="219"/>
      <c r="B23" s="234"/>
      <c r="C23" s="227"/>
      <c r="D23" s="235" t="s">
        <v>1636</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1637</v>
      </c>
    </row>
    <row r="27" spans="1:4" s="181" customFormat="1" x14ac:dyDescent="0.2">
      <c r="A27" s="219"/>
      <c r="B27" s="226"/>
      <c r="C27" s="227">
        <v>12</v>
      </c>
      <c r="D27" s="231" t="s">
        <v>1639</v>
      </c>
    </row>
    <row r="28" spans="1:4" s="181" customFormat="1" x14ac:dyDescent="0.2">
      <c r="A28" s="219"/>
      <c r="B28" s="229"/>
      <c r="C28" s="227"/>
      <c r="D28" s="225"/>
    </row>
    <row r="29" spans="1:4" s="181" customFormat="1" x14ac:dyDescent="0.2">
      <c r="A29" s="219"/>
      <c r="B29" s="226"/>
      <c r="C29" s="227">
        <v>13</v>
      </c>
      <c r="D29" s="231" t="s">
        <v>545</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1895</v>
      </c>
    </row>
    <row r="33" spans="1:9" s="181" customFormat="1" ht="12" customHeight="1" x14ac:dyDescent="0.2">
      <c r="A33" s="219"/>
      <c r="B33" s="236"/>
      <c r="C33" s="227"/>
      <c r="D33" s="238" t="s">
        <v>1230</v>
      </c>
    </row>
    <row r="34" spans="1:9" s="181" customFormat="1" ht="8.25" hidden="1" customHeight="1" x14ac:dyDescent="0.2">
      <c r="A34" s="219"/>
      <c r="B34" s="229"/>
      <c r="C34" s="227"/>
      <c r="D34" s="239"/>
    </row>
    <row r="35" spans="1:9" s="181" customFormat="1" x14ac:dyDescent="0.2">
      <c r="A35" s="2099" t="s">
        <v>1730</v>
      </c>
      <c r="B35" s="2100"/>
      <c r="C35" s="2100"/>
      <c r="D35" s="2100"/>
      <c r="E35" s="2101"/>
      <c r="F35" s="2101"/>
      <c r="G35" s="2101"/>
      <c r="H35" s="2101"/>
      <c r="I35" s="2101"/>
    </row>
    <row r="36" spans="1:9" s="181" customFormat="1" x14ac:dyDescent="0.2">
      <c r="A36" s="219"/>
      <c r="B36" s="229"/>
      <c r="C36" s="227"/>
      <c r="D36" s="239"/>
    </row>
    <row r="37" spans="1:9" s="181" customFormat="1" x14ac:dyDescent="0.2">
      <c r="A37" s="219"/>
      <c r="B37" s="226"/>
      <c r="C37" s="227">
        <v>15</v>
      </c>
      <c r="D37" s="231" t="s">
        <v>379</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381</v>
      </c>
    </row>
    <row r="41" spans="1:9" s="181" customFormat="1" x14ac:dyDescent="0.2">
      <c r="A41" s="219"/>
      <c r="B41" s="229"/>
      <c r="C41" s="227"/>
      <c r="D41" s="240" t="s">
        <v>629</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318</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9" t="s">
        <v>330</v>
      </c>
      <c r="B47" s="2102"/>
      <c r="C47" s="2102"/>
      <c r="D47" s="2102"/>
      <c r="E47" s="2103"/>
      <c r="F47" s="2103"/>
      <c r="G47" s="2103"/>
      <c r="H47" s="2103"/>
      <c r="I47" s="2103"/>
    </row>
    <row r="48" spans="1:9" s="181" customFormat="1" x14ac:dyDescent="0.2">
      <c r="A48" s="219"/>
      <c r="B48" s="229"/>
      <c r="C48" s="227"/>
      <c r="D48" s="239"/>
    </row>
    <row r="49" spans="1:10" s="181" customFormat="1" x14ac:dyDescent="0.2">
      <c r="A49" s="219"/>
      <c r="B49" s="226"/>
      <c r="C49" s="227">
        <v>19</v>
      </c>
      <c r="D49" s="243" t="s">
        <v>380</v>
      </c>
    </row>
    <row r="50" spans="1:10" s="181" customFormat="1" x14ac:dyDescent="0.2">
      <c r="A50" s="219"/>
      <c r="B50" s="226"/>
      <c r="C50" s="227">
        <v>20</v>
      </c>
      <c r="D50" s="243" t="s">
        <v>1736</v>
      </c>
    </row>
    <row r="51" spans="1:10" x14ac:dyDescent="0.2">
      <c r="B51" s="244"/>
      <c r="C51" s="245">
        <v>21</v>
      </c>
      <c r="D51" s="218" t="s">
        <v>1108</v>
      </c>
    </row>
    <row r="52" spans="1:10" x14ac:dyDescent="0.2">
      <c r="B52" s="246"/>
      <c r="C52" s="245"/>
      <c r="D52" s="240" t="s">
        <v>894</v>
      </c>
    </row>
    <row r="53" spans="1:10" s="181" customFormat="1" ht="15.75" customHeight="1" x14ac:dyDescent="0.2">
      <c r="A53" s="219"/>
      <c r="B53" s="220"/>
      <c r="C53" s="179">
        <v>22</v>
      </c>
      <c r="D53" s="247" t="s">
        <v>1536</v>
      </c>
      <c r="E53" s="248"/>
      <c r="F53" s="249"/>
      <c r="G53" s="249" t="s">
        <v>1535</v>
      </c>
      <c r="H53" s="250"/>
      <c r="I53" s="237" t="s">
        <v>1561</v>
      </c>
    </row>
    <row r="54" spans="1:10" s="181" customFormat="1" x14ac:dyDescent="0.2">
      <c r="A54" s="219"/>
      <c r="B54" s="220"/>
      <c r="C54" s="179">
        <v>23</v>
      </c>
      <c r="D54" s="243" t="s">
        <v>1428</v>
      </c>
      <c r="E54" s="248"/>
      <c r="F54" s="249"/>
    </row>
    <row r="55" spans="1:10" s="181" customFormat="1" x14ac:dyDescent="0.2">
      <c r="A55" s="214"/>
      <c r="B55" s="251"/>
      <c r="C55" s="251"/>
      <c r="D55" s="231" t="s">
        <v>1894</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6"/>
      <c r="C57" s="2107"/>
      <c r="D57" s="2107"/>
      <c r="E57" s="2107"/>
      <c r="F57" s="2107"/>
      <c r="G57" s="2107"/>
      <c r="H57" s="2107"/>
      <c r="I57" s="2107"/>
      <c r="J57" s="2108"/>
    </row>
    <row r="58" spans="1:10" s="181" customFormat="1" x14ac:dyDescent="0.2">
      <c r="A58" s="253"/>
      <c r="B58" s="2109"/>
      <c r="C58" s="2110"/>
      <c r="D58" s="2110"/>
      <c r="E58" s="2110"/>
      <c r="F58" s="2110"/>
      <c r="G58" s="2110"/>
      <c r="H58" s="2110"/>
      <c r="I58" s="2110"/>
      <c r="J58" s="2111"/>
    </row>
    <row r="59" spans="1:10" s="181" customFormat="1" x14ac:dyDescent="0.2">
      <c r="A59" s="253"/>
      <c r="B59" s="2109"/>
      <c r="C59" s="2110"/>
      <c r="D59" s="2110"/>
      <c r="E59" s="2110"/>
      <c r="F59" s="2110"/>
      <c r="G59" s="2110"/>
      <c r="H59" s="2110"/>
      <c r="I59" s="2110"/>
      <c r="J59" s="2111"/>
    </row>
    <row r="60" spans="1:10" s="181" customFormat="1" x14ac:dyDescent="0.2">
      <c r="A60" s="253"/>
      <c r="B60" s="2109"/>
      <c r="C60" s="2110"/>
      <c r="D60" s="2110"/>
      <c r="E60" s="2110"/>
      <c r="F60" s="2110"/>
      <c r="G60" s="2110"/>
      <c r="H60" s="2110"/>
      <c r="I60" s="2110"/>
      <c r="J60" s="2111"/>
    </row>
    <row r="61" spans="1:10" s="181" customFormat="1" x14ac:dyDescent="0.2">
      <c r="A61" s="253"/>
      <c r="B61" s="2109"/>
      <c r="C61" s="2110"/>
      <c r="D61" s="2110"/>
      <c r="E61" s="2110"/>
      <c r="F61" s="2110"/>
      <c r="G61" s="2110"/>
      <c r="H61" s="2110"/>
      <c r="I61" s="2110"/>
      <c r="J61" s="2111"/>
    </row>
    <row r="62" spans="1:10" s="181" customFormat="1" x14ac:dyDescent="0.2">
      <c r="A62" s="253"/>
      <c r="B62" s="2109"/>
      <c r="C62" s="2110"/>
      <c r="D62" s="2110"/>
      <c r="E62" s="2110"/>
      <c r="F62" s="2110"/>
      <c r="G62" s="2110"/>
      <c r="H62" s="2110"/>
      <c r="I62" s="2110"/>
      <c r="J62" s="2111"/>
    </row>
    <row r="63" spans="1:10" s="181" customFormat="1" x14ac:dyDescent="0.2">
      <c r="A63" s="253"/>
      <c r="B63" s="2109"/>
      <c r="C63" s="2110"/>
      <c r="D63" s="2110"/>
      <c r="E63" s="2110"/>
      <c r="F63" s="2110"/>
      <c r="G63" s="2110"/>
      <c r="H63" s="2110"/>
      <c r="I63" s="2110"/>
      <c r="J63" s="2111"/>
    </row>
    <row r="64" spans="1:10" s="181" customFormat="1" x14ac:dyDescent="0.2">
      <c r="A64" s="253"/>
      <c r="B64" s="2109"/>
      <c r="C64" s="2110"/>
      <c r="D64" s="2110"/>
      <c r="E64" s="2110"/>
      <c r="F64" s="2110"/>
      <c r="G64" s="2110"/>
      <c r="H64" s="2110"/>
      <c r="I64" s="2110"/>
      <c r="J64" s="2111"/>
    </row>
    <row r="65" spans="1:10" s="181" customFormat="1" x14ac:dyDescent="0.2">
      <c r="A65" s="253"/>
      <c r="B65" s="2109"/>
      <c r="C65" s="2110"/>
      <c r="D65" s="2110"/>
      <c r="E65" s="2110"/>
      <c r="F65" s="2110"/>
      <c r="G65" s="2110"/>
      <c r="H65" s="2110"/>
      <c r="I65" s="2110"/>
      <c r="J65" s="2111"/>
    </row>
    <row r="66" spans="1:10" s="181" customFormat="1" x14ac:dyDescent="0.2">
      <c r="A66" s="253"/>
      <c r="B66" s="2109"/>
      <c r="C66" s="2110"/>
      <c r="D66" s="2110"/>
      <c r="E66" s="2110"/>
      <c r="F66" s="2110"/>
      <c r="G66" s="2110"/>
      <c r="H66" s="2110"/>
      <c r="I66" s="2110"/>
      <c r="J66" s="2111"/>
    </row>
    <row r="67" spans="1:10" s="181" customFormat="1" ht="9" customHeight="1" x14ac:dyDescent="0.2">
      <c r="A67" s="254"/>
      <c r="B67" s="2112"/>
      <c r="C67" s="2113"/>
      <c r="D67" s="2113"/>
      <c r="E67" s="2113"/>
      <c r="F67" s="2113"/>
      <c r="G67" s="2113"/>
      <c r="H67" s="2113"/>
      <c r="I67" s="2113"/>
      <c r="J67" s="2114"/>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9" t="s">
        <v>1389</v>
      </c>
      <c r="B70" s="2102"/>
      <c r="C70" s="2102"/>
      <c r="D70" s="2102"/>
      <c r="E70" s="2103"/>
      <c r="F70" s="2103"/>
      <c r="G70" s="2103"/>
      <c r="H70" s="2103"/>
      <c r="I70" s="2103"/>
    </row>
    <row r="71" spans="1:10" s="181" customFormat="1" x14ac:dyDescent="0.2">
      <c r="A71" s="219"/>
      <c r="C71" s="257"/>
      <c r="D71" s="258" t="s">
        <v>1388</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2070</v>
      </c>
      <c r="B73" s="255"/>
      <c r="C73" s="256"/>
      <c r="D73" s="256"/>
      <c r="E73" s="256"/>
      <c r="F73" s="256"/>
      <c r="G73" s="256"/>
      <c r="H73" s="256"/>
    </row>
    <row r="74" spans="1:10" s="181" customFormat="1" x14ac:dyDescent="0.2">
      <c r="A74" s="259" t="s">
        <v>1496</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1497</v>
      </c>
      <c r="B76" s="255"/>
      <c r="C76" s="256"/>
      <c r="D76" s="256"/>
      <c r="E76" s="256"/>
      <c r="F76" s="256"/>
      <c r="G76" s="256"/>
      <c r="H76" s="256"/>
    </row>
    <row r="77" spans="1:10" s="181" customFormat="1" x14ac:dyDescent="0.2">
      <c r="C77" s="179">
        <v>24</v>
      </c>
      <c r="D77" s="247" t="s">
        <v>1744</v>
      </c>
      <c r="G77" s="297" t="s">
        <v>2020</v>
      </c>
      <c r="I77" s="185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04" t="s">
        <v>1386</v>
      </c>
      <c r="B83" s="2104"/>
      <c r="C83" s="2104"/>
      <c r="D83" s="2105"/>
      <c r="E83" s="263" t="s">
        <v>1423</v>
      </c>
      <c r="F83" s="263" t="s">
        <v>1424</v>
      </c>
      <c r="G83" s="263" t="s">
        <v>1425</v>
      </c>
      <c r="H83" s="263" t="s">
        <v>1426</v>
      </c>
      <c r="I83" s="263" t="s">
        <v>1427</v>
      </c>
      <c r="J83" s="264" t="s">
        <v>158</v>
      </c>
    </row>
    <row r="84" spans="1:10" s="181" customFormat="1" ht="13.5" customHeight="1" thickTop="1" x14ac:dyDescent="0.2">
      <c r="A84" s="265" t="s">
        <v>1518</v>
      </c>
      <c r="B84" s="266"/>
      <c r="C84" s="267"/>
      <c r="D84" s="268"/>
      <c r="E84" s="269"/>
      <c r="F84" s="269"/>
      <c r="G84" s="269"/>
      <c r="H84" s="269"/>
      <c r="I84" s="269"/>
      <c r="J84" s="270"/>
    </row>
    <row r="85" spans="1:10" s="181" customFormat="1" ht="13.5" customHeight="1" x14ac:dyDescent="0.2">
      <c r="A85" s="271" t="s">
        <v>2068</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1387</v>
      </c>
      <c r="B87" s="283"/>
      <c r="C87" s="284"/>
      <c r="D87" s="281"/>
      <c r="E87" s="269"/>
      <c r="F87" s="269"/>
      <c r="G87" s="269"/>
      <c r="H87" s="269"/>
      <c r="I87" s="269"/>
      <c r="J87" s="270"/>
    </row>
    <row r="88" spans="1:10" s="181" customFormat="1" ht="13.5" customHeight="1" x14ac:dyDescent="0.2">
      <c r="A88" s="285" t="s">
        <v>2068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2069</v>
      </c>
      <c r="C93" s="179"/>
      <c r="E93" s="260"/>
      <c r="F93" s="296"/>
      <c r="H93" s="297"/>
    </row>
    <row r="94" spans="1:10" s="181" customFormat="1" x14ac:dyDescent="0.2">
      <c r="A94" s="299" t="s">
        <v>1397</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1230</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1227</v>
      </c>
      <c r="C101" s="310"/>
      <c r="D101" s="310"/>
      <c r="E101" s="304"/>
      <c r="F101" s="304"/>
      <c r="G101" s="304"/>
      <c r="H101" s="304"/>
      <c r="I101" s="304"/>
    </row>
    <row r="102" spans="1:9" s="181" customFormat="1" x14ac:dyDescent="0.2">
      <c r="A102" s="316"/>
      <c r="B102" s="2086"/>
      <c r="C102" s="2087"/>
      <c r="D102" s="2087"/>
      <c r="E102" s="2087"/>
      <c r="F102" s="2087"/>
      <c r="G102" s="2087"/>
      <c r="H102" s="2087"/>
      <c r="I102" s="2088"/>
    </row>
    <row r="103" spans="1:9" s="181" customFormat="1" ht="11.25" customHeight="1" x14ac:dyDescent="0.2">
      <c r="A103" s="316"/>
      <c r="B103" s="2089"/>
      <c r="C103" s="2090"/>
      <c r="D103" s="2090"/>
      <c r="E103" s="2090"/>
      <c r="F103" s="2090"/>
      <c r="G103" s="2090"/>
      <c r="H103" s="2090"/>
      <c r="I103" s="2091"/>
    </row>
    <row r="104" spans="1:9" s="181" customFormat="1" ht="11.25" customHeight="1" x14ac:dyDescent="0.2">
      <c r="A104" s="316"/>
      <c r="B104" s="2089"/>
      <c r="C104" s="2090"/>
      <c r="D104" s="2090"/>
      <c r="E104" s="2090"/>
      <c r="F104" s="2090"/>
      <c r="G104" s="2090"/>
      <c r="H104" s="2090"/>
      <c r="I104" s="2091"/>
    </row>
    <row r="105" spans="1:9" s="181" customFormat="1" x14ac:dyDescent="0.2">
      <c r="A105" s="316"/>
      <c r="B105" s="2089"/>
      <c r="C105" s="2090"/>
      <c r="D105" s="2090"/>
      <c r="E105" s="2090"/>
      <c r="F105" s="2090"/>
      <c r="G105" s="2090"/>
      <c r="H105" s="2090"/>
      <c r="I105" s="2091"/>
    </row>
    <row r="106" spans="1:9" s="181" customFormat="1" ht="11.25" customHeight="1" x14ac:dyDescent="0.2">
      <c r="A106" s="316"/>
      <c r="B106" s="2089"/>
      <c r="C106" s="2090"/>
      <c r="D106" s="2090"/>
      <c r="E106" s="2090"/>
      <c r="F106" s="2090"/>
      <c r="G106" s="2090"/>
      <c r="H106" s="2090"/>
      <c r="I106" s="2091"/>
    </row>
    <row r="107" spans="1:9" s="181" customFormat="1" ht="11.25" customHeight="1" x14ac:dyDescent="0.2">
      <c r="A107" s="316"/>
      <c r="B107" s="2089"/>
      <c r="C107" s="2090"/>
      <c r="D107" s="2090"/>
      <c r="E107" s="2090"/>
      <c r="F107" s="2090"/>
      <c r="G107" s="2090"/>
      <c r="H107" s="2090"/>
      <c r="I107" s="2091"/>
    </row>
    <row r="108" spans="1:9" s="181" customFormat="1" ht="11.25" customHeight="1" x14ac:dyDescent="0.2">
      <c r="A108" s="316"/>
      <c r="B108" s="2089"/>
      <c r="C108" s="2090"/>
      <c r="D108" s="2090"/>
      <c r="E108" s="2090"/>
      <c r="F108" s="2090"/>
      <c r="G108" s="2090"/>
      <c r="H108" s="2090"/>
      <c r="I108" s="2091"/>
    </row>
    <row r="109" spans="1:9" s="181" customFormat="1" ht="11.25" customHeight="1" x14ac:dyDescent="0.2">
      <c r="A109" s="316"/>
      <c r="B109" s="2089"/>
      <c r="C109" s="2090"/>
      <c r="D109" s="2090"/>
      <c r="E109" s="2090"/>
      <c r="F109" s="2090"/>
      <c r="G109" s="2090"/>
      <c r="H109" s="2090"/>
      <c r="I109" s="2091"/>
    </row>
    <row r="110" spans="1:9" s="181" customFormat="1" ht="11.25" customHeight="1" x14ac:dyDescent="0.2">
      <c r="A110" s="316"/>
      <c r="B110" s="2089"/>
      <c r="C110" s="2090"/>
      <c r="D110" s="2090"/>
      <c r="E110" s="2090"/>
      <c r="F110" s="2090"/>
      <c r="G110" s="2090"/>
      <c r="H110" s="2090"/>
      <c r="I110" s="2091"/>
    </row>
    <row r="111" spans="1:9" s="181" customFormat="1" ht="11.25" customHeight="1" x14ac:dyDescent="0.2">
      <c r="A111" s="316"/>
      <c r="B111" s="2089"/>
      <c r="C111" s="2090"/>
      <c r="D111" s="2090"/>
      <c r="E111" s="2090"/>
      <c r="F111" s="2090"/>
      <c r="G111" s="2090"/>
      <c r="H111" s="2090"/>
      <c r="I111" s="2091"/>
    </row>
    <row r="112" spans="1:9" s="181" customFormat="1" ht="11.25" customHeight="1" x14ac:dyDescent="0.2">
      <c r="A112" s="316"/>
      <c r="B112" s="2092"/>
      <c r="C112" s="2093"/>
      <c r="D112" s="2093"/>
      <c r="E112" s="2093"/>
      <c r="F112" s="2093"/>
      <c r="G112" s="2093"/>
      <c r="H112" s="2093"/>
      <c r="I112" s="2094"/>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95" t="s">
        <v>2076</v>
      </c>
      <c r="D114" s="2095"/>
      <c r="E114" s="304"/>
      <c r="F114" s="304"/>
      <c r="G114" s="304"/>
      <c r="H114" s="304"/>
      <c r="I114" s="304"/>
    </row>
    <row r="115" spans="1:9" s="181" customFormat="1" ht="11.25" customHeight="1" x14ac:dyDescent="0.2">
      <c r="A115" s="316"/>
      <c r="B115" s="316"/>
      <c r="C115" s="318"/>
      <c r="D115" s="319" t="s">
        <v>1228</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6" t="s">
        <v>1396</v>
      </c>
      <c r="D117" s="2097"/>
      <c r="E117" s="2098"/>
      <c r="F117" s="2098"/>
      <c r="G117" s="2098"/>
      <c r="H117" s="2098"/>
      <c r="I117" s="304"/>
    </row>
    <row r="118" spans="1:9" s="181" customFormat="1" ht="24" customHeight="1" x14ac:dyDescent="0.2">
      <c r="A118" s="316"/>
      <c r="B118" s="316"/>
      <c r="C118" s="316"/>
      <c r="D118" s="323"/>
      <c r="E118" s="322"/>
      <c r="F118" s="324"/>
      <c r="G118" s="1853"/>
      <c r="H118" s="322"/>
      <c r="I118" s="304"/>
    </row>
    <row r="119" spans="1:9" s="181" customFormat="1" ht="11.25" customHeight="1" x14ac:dyDescent="0.2">
      <c r="A119" s="325"/>
      <c r="B119" s="325"/>
      <c r="C119" s="326"/>
      <c r="D119" s="327" t="s">
        <v>378</v>
      </c>
      <c r="E119" s="310"/>
      <c r="F119" s="1852" t="s">
        <v>2021</v>
      </c>
      <c r="G119" s="328"/>
      <c r="H119" s="328"/>
      <c r="I119" s="304"/>
    </row>
    <row r="120" spans="1:9" x14ac:dyDescent="0.2">
      <c r="A120" s="329"/>
      <c r="B120" s="180"/>
      <c r="C120" s="330"/>
      <c r="D120" s="256"/>
      <c r="E120" s="256"/>
      <c r="F120" s="256"/>
      <c r="G120" s="256"/>
      <c r="H120" s="256"/>
      <c r="I120" s="304"/>
    </row>
    <row r="121" spans="1:9" x14ac:dyDescent="0.2">
      <c r="A121" s="329"/>
      <c r="B121" s="1500"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290" customWidth="1"/>
    <col min="2" max="2" width="24.42578125" style="1347" customWidth="1"/>
    <col min="3" max="3" width="29.5703125" style="317" customWidth="1"/>
    <col min="4" max="4" width="9.28515625" style="317" customWidth="1"/>
    <col min="5" max="5" width="5.28515625" style="124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91" t="str">
        <f>'Single Audit Cover'!A7</f>
        <v>Ottawa Township High School</v>
      </c>
      <c r="C1" s="2492"/>
      <c r="D1" s="2492"/>
      <c r="E1" s="2492"/>
      <c r="F1" s="2492"/>
      <c r="G1" s="2492"/>
      <c r="H1" s="2492"/>
      <c r="I1" s="2492"/>
      <c r="J1" s="1412"/>
    </row>
    <row r="2" spans="2:10" s="317" customFormat="1" ht="12.75" customHeight="1" x14ac:dyDescent="0.2">
      <c r="B2" s="2493">
        <f>'Single Audit Cover'!E7</f>
        <v>35050140017</v>
      </c>
      <c r="C2" s="2494"/>
      <c r="D2" s="2494"/>
      <c r="E2" s="2494"/>
      <c r="F2" s="2494"/>
      <c r="G2" s="2494"/>
      <c r="H2" s="2494"/>
      <c r="I2" s="2494"/>
      <c r="J2" s="1412"/>
    </row>
    <row r="3" spans="2:10" s="317" customFormat="1" ht="12.75" customHeight="1" x14ac:dyDescent="0.2">
      <c r="B3" s="2495" t="s">
        <v>1346</v>
      </c>
      <c r="C3" s="2496"/>
      <c r="D3" s="2496"/>
      <c r="E3" s="2496"/>
      <c r="F3" s="2496"/>
      <c r="G3" s="2496"/>
      <c r="H3" s="2496"/>
      <c r="I3" s="2496"/>
      <c r="J3" s="1413"/>
    </row>
    <row r="4" spans="2:10" s="317" customFormat="1" ht="12.75" customHeight="1" x14ac:dyDescent="0.2">
      <c r="B4" s="2495" t="str">
        <f>'Single Audit Cover'!A4</f>
        <v>Year Ending June 30, 2018</v>
      </c>
      <c r="C4" s="2496"/>
      <c r="D4" s="2496"/>
      <c r="E4" s="2496"/>
      <c r="F4" s="2496"/>
      <c r="G4" s="2496"/>
      <c r="H4" s="2496"/>
      <c r="I4" s="2496"/>
    </row>
    <row r="5" spans="2:10" s="317" customFormat="1" ht="6.2" customHeight="1" x14ac:dyDescent="0.2">
      <c r="B5" s="1414" t="s">
        <v>1230</v>
      </c>
      <c r="C5" s="1284"/>
      <c r="D5" s="1284"/>
      <c r="E5" s="1373"/>
      <c r="F5" s="322"/>
      <c r="G5" s="322"/>
      <c r="H5" s="322"/>
      <c r="I5" s="322"/>
    </row>
    <row r="6" spans="2:10" s="317" customFormat="1" ht="6.2" customHeight="1" x14ac:dyDescent="0.2">
      <c r="B6" s="1415"/>
      <c r="C6" s="1369"/>
      <c r="D6" s="1369"/>
      <c r="E6" s="1370"/>
      <c r="F6" s="1369"/>
      <c r="G6" s="1369"/>
      <c r="H6" s="1369"/>
      <c r="I6" s="1369"/>
    </row>
    <row r="7" spans="2:10" s="317" customFormat="1" ht="13.5" customHeight="1" x14ac:dyDescent="0.2">
      <c r="B7" s="2495" t="s">
        <v>1345</v>
      </c>
      <c r="C7" s="2496"/>
      <c r="D7" s="2496"/>
      <c r="E7" s="2496"/>
      <c r="F7" s="2496"/>
      <c r="G7" s="2496"/>
      <c r="H7" s="2496"/>
      <c r="I7" s="2496"/>
    </row>
    <row r="8" spans="2:10" s="317" customFormat="1" ht="6.2" customHeight="1" x14ac:dyDescent="0.2">
      <c r="B8" s="1416" t="s">
        <v>1230</v>
      </c>
      <c r="C8" s="1417"/>
      <c r="D8" s="1417"/>
      <c r="E8" s="1418"/>
      <c r="F8" s="1417"/>
      <c r="G8" s="1417"/>
      <c r="H8" s="1417"/>
      <c r="I8" s="1417"/>
    </row>
    <row r="9" spans="2:10" s="317" customFormat="1" ht="9" customHeight="1" x14ac:dyDescent="0.2">
      <c r="B9" s="1419"/>
      <c r="C9" s="322"/>
      <c r="D9" s="322"/>
      <c r="E9" s="1373"/>
      <c r="F9" s="322"/>
      <c r="G9" s="322"/>
      <c r="H9" s="322"/>
      <c r="I9" s="322"/>
    </row>
    <row r="10" spans="2:10" s="317" customFormat="1" ht="12.75" customHeight="1" x14ac:dyDescent="0.2">
      <c r="B10" s="1420" t="s">
        <v>1344</v>
      </c>
      <c r="C10" s="1421"/>
      <c r="D10" s="1421"/>
      <c r="E10" s="1248"/>
    </row>
    <row r="11" spans="2:10" s="317" customFormat="1" ht="13.5" customHeight="1" x14ac:dyDescent="0.2">
      <c r="B11" s="1339" t="s">
        <v>1343</v>
      </c>
      <c r="C11" s="2497"/>
      <c r="D11" s="2497"/>
      <c r="E11" s="1422"/>
      <c r="F11" s="1422"/>
      <c r="G11" s="1422"/>
    </row>
    <row r="12" spans="2:10" s="317" customFormat="1" ht="11.45" customHeight="1" x14ac:dyDescent="0.2">
      <c r="B12" s="1347"/>
      <c r="C12" s="1423" t="s">
        <v>1516</v>
      </c>
      <c r="D12" s="1424"/>
      <c r="E12" s="1248"/>
    </row>
    <row r="13" spans="2:10" s="317" customFormat="1" ht="12.75" customHeight="1" x14ac:dyDescent="0.2">
      <c r="B13" s="1425"/>
      <c r="C13" s="1377"/>
      <c r="D13" s="1377"/>
      <c r="E13" s="1248"/>
    </row>
    <row r="14" spans="2:10" s="317" customFormat="1" ht="12.75" customHeight="1" x14ac:dyDescent="0.2">
      <c r="B14" s="1358" t="s">
        <v>1342</v>
      </c>
      <c r="C14" s="1272"/>
      <c r="E14" s="1248"/>
    </row>
    <row r="15" spans="2:10" s="317" customFormat="1" ht="13.5" customHeight="1" x14ac:dyDescent="0.2">
      <c r="B15" s="1426" t="s">
        <v>1339</v>
      </c>
      <c r="C15" s="1427"/>
      <c r="D15" s="1388"/>
      <c r="E15" s="1428"/>
      <c r="F15" s="1290" t="s">
        <v>939</v>
      </c>
      <c r="G15" s="1428"/>
      <c r="H15" s="1290" t="s">
        <v>1337</v>
      </c>
      <c r="I15" s="1290"/>
    </row>
    <row r="16" spans="2:10" s="317" customFormat="1" ht="8.4499999999999993" customHeight="1" x14ac:dyDescent="0.2">
      <c r="B16" s="1358"/>
      <c r="C16" s="1272"/>
      <c r="E16" s="1373"/>
      <c r="F16" s="1290"/>
      <c r="G16" s="322"/>
      <c r="H16" s="1290"/>
      <c r="I16" s="1290"/>
    </row>
    <row r="17" spans="2:9" s="317" customFormat="1" ht="13.5" customHeight="1" x14ac:dyDescent="0.2">
      <c r="B17" s="1426" t="s">
        <v>1338</v>
      </c>
      <c r="C17" s="1427"/>
      <c r="D17" s="1388"/>
      <c r="E17" s="1429"/>
      <c r="F17" s="1247"/>
      <c r="G17" s="1429"/>
      <c r="H17" s="1290"/>
      <c r="I17" s="1290"/>
    </row>
    <row r="18" spans="2:9" s="317" customFormat="1" ht="12.75" customHeight="1" x14ac:dyDescent="0.2">
      <c r="B18" s="1426" t="s">
        <v>1517</v>
      </c>
      <c r="C18" s="1427"/>
      <c r="D18" s="1388"/>
      <c r="E18" s="1428"/>
      <c r="F18" s="1290" t="s">
        <v>939</v>
      </c>
      <c r="G18" s="1428"/>
      <c r="H18" s="1290" t="s">
        <v>1337</v>
      </c>
      <c r="I18" s="1290"/>
    </row>
    <row r="19" spans="2:9" s="317" customFormat="1" ht="8.4499999999999993" customHeight="1" x14ac:dyDescent="0.2">
      <c r="B19" s="1358"/>
      <c r="C19" s="1272"/>
      <c r="E19" s="1373"/>
      <c r="F19" s="1290"/>
      <c r="G19" s="322"/>
      <c r="H19" s="1290"/>
      <c r="I19" s="1290"/>
    </row>
    <row r="20" spans="2:9" s="317" customFormat="1" ht="13.5" customHeight="1" x14ac:dyDescent="0.2">
      <c r="B20" s="1426" t="s">
        <v>1672</v>
      </c>
      <c r="C20" s="1427"/>
      <c r="D20" s="1388"/>
      <c r="E20" s="1428"/>
      <c r="F20" s="1290" t="s">
        <v>939</v>
      </c>
      <c r="G20" s="1428"/>
      <c r="H20" s="1290" t="s">
        <v>101</v>
      </c>
      <c r="I20" s="1290"/>
    </row>
    <row r="21" spans="2:9" s="317" customFormat="1" ht="12.75" customHeight="1" x14ac:dyDescent="0.2">
      <c r="B21" s="1358"/>
      <c r="C21" s="1272"/>
      <c r="E21" s="1373"/>
      <c r="F21" s="1290"/>
      <c r="G21" s="322"/>
      <c r="H21" s="1290"/>
      <c r="I21" s="1290"/>
    </row>
    <row r="22" spans="2:9" s="317" customFormat="1" ht="12.75" customHeight="1" x14ac:dyDescent="0.2">
      <c r="B22" s="1420" t="s">
        <v>1341</v>
      </c>
      <c r="C22" s="1430"/>
      <c r="D22" s="1421"/>
      <c r="E22" s="1373"/>
      <c r="F22" s="1290"/>
      <c r="G22" s="322"/>
      <c r="H22" s="1290"/>
      <c r="I22" s="1290"/>
    </row>
    <row r="23" spans="2:9" s="317" customFormat="1" ht="12.75" customHeight="1" x14ac:dyDescent="0.2">
      <c r="B23" s="1358" t="s">
        <v>1340</v>
      </c>
      <c r="C23" s="1272"/>
      <c r="E23" s="1373"/>
      <c r="F23" s="1290"/>
      <c r="G23" s="322"/>
      <c r="H23" s="1290"/>
      <c r="I23" s="1290"/>
    </row>
    <row r="24" spans="2:9" s="317" customFormat="1" ht="13.5" customHeight="1" x14ac:dyDescent="0.2">
      <c r="B24" s="1426" t="s">
        <v>1339</v>
      </c>
      <c r="C24" s="1427"/>
      <c r="D24" s="1388"/>
      <c r="E24" s="1428"/>
      <c r="F24" s="1290" t="s">
        <v>939</v>
      </c>
      <c r="G24" s="1428"/>
      <c r="H24" s="1290" t="s">
        <v>1337</v>
      </c>
      <c r="I24" s="1290"/>
    </row>
    <row r="25" spans="2:9" s="317" customFormat="1" ht="8.4499999999999993" customHeight="1" x14ac:dyDescent="0.2">
      <c r="B25" s="1358"/>
      <c r="C25" s="1272"/>
      <c r="E25" s="1373"/>
      <c r="F25" s="1290"/>
      <c r="G25" s="322"/>
      <c r="H25" s="1290"/>
      <c r="I25" s="1290"/>
    </row>
    <row r="26" spans="2:9" s="317" customFormat="1" ht="13.5" customHeight="1" x14ac:dyDescent="0.2">
      <c r="B26" s="1426" t="s">
        <v>1338</v>
      </c>
      <c r="C26" s="1427"/>
      <c r="D26" s="1388"/>
      <c r="E26" s="1429"/>
      <c r="F26" s="1247"/>
      <c r="G26" s="1429"/>
      <c r="H26" s="1290"/>
      <c r="I26" s="1290"/>
    </row>
    <row r="27" spans="2:9" s="317" customFormat="1" ht="12.75" customHeight="1" x14ac:dyDescent="0.2">
      <c r="B27" s="1426" t="s">
        <v>1517</v>
      </c>
      <c r="C27" s="1427"/>
      <c r="D27" s="1388"/>
      <c r="E27" s="1428"/>
      <c r="F27" s="1290" t="s">
        <v>939</v>
      </c>
      <c r="G27" s="1428"/>
      <c r="H27" s="1290" t="s">
        <v>1337</v>
      </c>
      <c r="I27" s="1290"/>
    </row>
    <row r="28" spans="2:9" s="317" customFormat="1" ht="12.75" customHeight="1" x14ac:dyDescent="0.2">
      <c r="B28" s="1358"/>
      <c r="C28" s="1272"/>
      <c r="E28" s="1248"/>
    </row>
    <row r="29" spans="2:9" s="317" customFormat="1" ht="12.75" customHeight="1" x14ac:dyDescent="0.2">
      <c r="B29" s="1358" t="s">
        <v>1336</v>
      </c>
      <c r="C29" s="1272"/>
      <c r="D29" s="2498"/>
      <c r="E29" s="2498"/>
      <c r="F29" s="2498"/>
      <c r="G29" s="2498"/>
      <c r="H29" s="2498"/>
      <c r="I29" s="2498"/>
    </row>
    <row r="30" spans="2:9" s="317" customFormat="1" x14ac:dyDescent="0.2">
      <c r="B30" s="1358"/>
      <c r="C30" s="322"/>
      <c r="D30" s="1423" t="s">
        <v>1850</v>
      </c>
      <c r="E30" s="1424"/>
      <c r="F30" s="1424"/>
      <c r="G30" s="1424"/>
      <c r="H30" s="1424"/>
      <c r="I30" s="1424"/>
    </row>
    <row r="31" spans="2:9" s="317" customFormat="1" ht="9.9499999999999993" customHeight="1" x14ac:dyDescent="0.2">
      <c r="B31" s="1358"/>
      <c r="E31" s="1248"/>
    </row>
    <row r="32" spans="2:9" s="317" customFormat="1" x14ac:dyDescent="0.2">
      <c r="B32" s="1358" t="s">
        <v>1335</v>
      </c>
      <c r="C32" s="1272"/>
      <c r="E32" s="1248"/>
    </row>
    <row r="33" spans="2:9" ht="13.5" customHeight="1" x14ac:dyDescent="0.2">
      <c r="B33" s="1358" t="s">
        <v>1632</v>
      </c>
      <c r="C33" s="1272"/>
      <c r="E33" s="1428"/>
      <c r="F33" s="1290" t="s">
        <v>939</v>
      </c>
      <c r="G33" s="1428"/>
      <c r="H33" s="1290" t="s">
        <v>101</v>
      </c>
    </row>
    <row r="35" spans="2:9" x14ac:dyDescent="0.2">
      <c r="B35" s="1431" t="s">
        <v>1851</v>
      </c>
      <c r="C35" s="1432"/>
      <c r="D35" s="1257"/>
    </row>
    <row r="36" spans="2:9" ht="6" customHeight="1" x14ac:dyDescent="0.2">
      <c r="B36" s="1431"/>
      <c r="C36" s="1432"/>
      <c r="D36" s="1257"/>
    </row>
    <row r="37" spans="2:9" ht="17.25" customHeight="1" x14ac:dyDescent="0.2">
      <c r="B37" s="1433" t="s">
        <v>1852</v>
      </c>
      <c r="C37" s="2499" t="s">
        <v>1853</v>
      </c>
      <c r="D37" s="2500"/>
      <c r="E37" s="2500"/>
      <c r="F37" s="2501"/>
      <c r="G37" s="2499" t="s">
        <v>1673</v>
      </c>
      <c r="H37" s="2500"/>
      <c r="I37" s="2501"/>
    </row>
    <row r="38" spans="2:9" ht="16.5" customHeight="1" x14ac:dyDescent="0.2">
      <c r="B38" s="1434"/>
      <c r="C38" s="2487"/>
      <c r="D38" s="2488"/>
      <c r="E38" s="2488"/>
      <c r="F38" s="2489"/>
      <c r="G38" s="2502"/>
      <c r="H38" s="2503"/>
      <c r="I38" s="2504"/>
    </row>
    <row r="39" spans="2:9" ht="16.5" customHeight="1" x14ac:dyDescent="0.2">
      <c r="B39" s="1434"/>
      <c r="C39" s="2487"/>
      <c r="D39" s="2488"/>
      <c r="E39" s="2488"/>
      <c r="F39" s="2489"/>
      <c r="G39" s="2490"/>
      <c r="H39" s="2490"/>
      <c r="I39" s="2490"/>
    </row>
    <row r="40" spans="2:9" ht="16.5" customHeight="1" x14ac:dyDescent="0.2">
      <c r="B40" s="1434"/>
      <c r="C40" s="2487"/>
      <c r="D40" s="2488"/>
      <c r="E40" s="2488"/>
      <c r="F40" s="2489"/>
      <c r="G40" s="2490"/>
      <c r="H40" s="2490"/>
      <c r="I40" s="2490"/>
    </row>
    <row r="41" spans="2:9" ht="16.5" customHeight="1" x14ac:dyDescent="0.2">
      <c r="B41" s="1434"/>
      <c r="C41" s="2487"/>
      <c r="D41" s="2488"/>
      <c r="E41" s="2488"/>
      <c r="F41" s="2489"/>
      <c r="G41" s="2490"/>
      <c r="H41" s="2490"/>
      <c r="I41" s="2490"/>
    </row>
    <row r="42" spans="2:9" ht="16.5" customHeight="1" x14ac:dyDescent="0.2">
      <c r="B42" s="1434"/>
      <c r="C42" s="2487"/>
      <c r="D42" s="2488"/>
      <c r="E42" s="2488"/>
      <c r="F42" s="2489"/>
      <c r="G42" s="2490"/>
      <c r="H42" s="2490"/>
      <c r="I42" s="2490"/>
    </row>
    <row r="43" spans="2:9" ht="16.5" customHeight="1" x14ac:dyDescent="0.2">
      <c r="B43" s="1434"/>
      <c r="C43" s="2480" t="s">
        <v>1674</v>
      </c>
      <c r="D43" s="2481"/>
      <c r="E43" s="2481"/>
      <c r="F43" s="2482"/>
      <c r="G43" s="2483">
        <f>SUM(G38:I42)</f>
        <v>0</v>
      </c>
      <c r="H43" s="2483"/>
      <c r="I43" s="2483"/>
    </row>
    <row r="44" spans="2:9" ht="12.75" customHeight="1" x14ac:dyDescent="0.2"/>
    <row r="45" spans="2:9" ht="12.75" customHeight="1" x14ac:dyDescent="0.2">
      <c r="B45" s="1425" t="s">
        <v>1951</v>
      </c>
      <c r="D45" s="2484">
        <v>0</v>
      </c>
      <c r="E45" s="2485"/>
    </row>
    <row r="46" spans="2:9" ht="5.25" customHeight="1" x14ac:dyDescent="0.2">
      <c r="B46" s="1435"/>
      <c r="D46" s="1436"/>
      <c r="E46" s="1437"/>
    </row>
    <row r="47" spans="2:9" ht="12.75" customHeight="1" x14ac:dyDescent="0.2">
      <c r="B47" s="1290" t="s">
        <v>1675</v>
      </c>
      <c r="C47" s="1290"/>
      <c r="D47" s="1438" t="e">
        <f>+G43/D45</f>
        <v>#DIV/0!</v>
      </c>
      <c r="E47" s="1439"/>
      <c r="F47" s="1440"/>
      <c r="I47" s="1441"/>
    </row>
    <row r="48" spans="2:9" ht="9.9499999999999993" customHeight="1" x14ac:dyDescent="0.2"/>
    <row r="49" spans="1:9" x14ac:dyDescent="0.2">
      <c r="B49" s="1358" t="s">
        <v>1334</v>
      </c>
      <c r="C49" s="1272"/>
      <c r="D49" s="1272"/>
      <c r="E49" s="2486"/>
      <c r="F49" s="2486"/>
      <c r="G49" s="2486"/>
      <c r="H49" s="322"/>
    </row>
    <row r="51" spans="1:9" ht="13.5" customHeight="1" x14ac:dyDescent="0.2">
      <c r="B51" s="1358" t="s">
        <v>1333</v>
      </c>
      <c r="C51" s="1272"/>
      <c r="E51" s="1428"/>
      <c r="F51" s="1290" t="s">
        <v>939</v>
      </c>
      <c r="G51" s="1428"/>
      <c r="H51" s="1290" t="s">
        <v>101</v>
      </c>
    </row>
    <row r="52" spans="1:9" x14ac:dyDescent="0.2">
      <c r="B52" s="1350"/>
      <c r="C52" s="1287"/>
      <c r="D52" s="1442"/>
      <c r="E52" s="1443"/>
      <c r="F52" s="1444"/>
      <c r="G52" s="1444"/>
      <c r="H52" s="1444"/>
      <c r="I52" s="1444"/>
    </row>
    <row r="53" spans="1:9" ht="6" customHeight="1" x14ac:dyDescent="0.2">
      <c r="B53" s="1419"/>
      <c r="C53" s="322"/>
      <c r="D53" s="1445"/>
      <c r="E53" s="1446"/>
      <c r="F53" s="1447"/>
      <c r="G53" s="1447"/>
      <c r="H53" s="1447"/>
      <c r="I53" s="1447"/>
    </row>
    <row r="54" spans="1:9" s="1451" customFormat="1" ht="14.25" x14ac:dyDescent="0.2">
      <c r="A54" s="1448"/>
      <c r="B54" s="1449" t="s">
        <v>1854</v>
      </c>
      <c r="C54" s="1450"/>
      <c r="D54" s="1450"/>
    </row>
    <row r="55" spans="1:9" s="1451" customFormat="1" ht="12.75" customHeight="1" x14ac:dyDescent="0.2">
      <c r="A55" s="1448"/>
      <c r="B55" s="1452" t="s">
        <v>1676</v>
      </c>
      <c r="C55" s="1448"/>
      <c r="D55" s="1448"/>
    </row>
    <row r="56" spans="1:9" s="1451" customFormat="1" ht="12.75" customHeight="1" x14ac:dyDescent="0.2">
      <c r="A56" s="1448"/>
      <c r="B56" s="1452" t="s">
        <v>1677</v>
      </c>
      <c r="C56" s="1448"/>
      <c r="D56" s="1448"/>
    </row>
    <row r="57" spans="1:9" s="1451" customFormat="1" ht="3.95" customHeight="1" x14ac:dyDescent="0.2">
      <c r="A57" s="1448"/>
      <c r="B57" s="1452"/>
      <c r="C57" s="1448"/>
      <c r="D57" s="1448"/>
    </row>
    <row r="58" spans="1:9" s="1451" customFormat="1" ht="13.5" customHeight="1" x14ac:dyDescent="0.2">
      <c r="A58" s="1448"/>
      <c r="B58" s="1453" t="s">
        <v>1855</v>
      </c>
      <c r="C58" s="1454"/>
      <c r="D58" s="1454"/>
    </row>
    <row r="59" spans="1:9" s="1451" customFormat="1" ht="3.95" customHeight="1" x14ac:dyDescent="0.2">
      <c r="A59" s="1448"/>
      <c r="B59" s="1453"/>
      <c r="C59" s="1454"/>
      <c r="D59" s="1454"/>
    </row>
    <row r="60" spans="1:9" s="1451" customFormat="1" ht="13.5" customHeight="1" x14ac:dyDescent="0.2">
      <c r="A60" s="1448"/>
      <c r="B60" s="1453" t="s">
        <v>1856</v>
      </c>
      <c r="C60" s="1454"/>
      <c r="D60" s="1454"/>
    </row>
    <row r="61" spans="1:9" s="1451" customFormat="1" ht="3.95" customHeight="1" x14ac:dyDescent="0.2">
      <c r="A61" s="1448"/>
      <c r="B61" s="1453"/>
      <c r="C61" s="1454"/>
      <c r="D61" s="1454"/>
    </row>
    <row r="62" spans="1:9" s="1451" customFormat="1" ht="12.75" customHeight="1" x14ac:dyDescent="0.2">
      <c r="A62" s="1448"/>
      <c r="B62" s="1453" t="s">
        <v>1857</v>
      </c>
      <c r="C62" s="1454"/>
      <c r="D62" s="1454"/>
    </row>
    <row r="63" spans="1:9" s="1451" customFormat="1" ht="13.5" customHeight="1" x14ac:dyDescent="0.2">
      <c r="A63" s="1448"/>
      <c r="B63" s="1452" t="s">
        <v>1678</v>
      </c>
      <c r="C63" s="1448"/>
      <c r="D63" s="144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48" customWidth="1"/>
    <col min="8" max="8" width="10.5703125" style="317" customWidth="1"/>
    <col min="9" max="9" width="3.42578125" style="124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91" t="str">
        <f>'Single Audit Cover'!A7</f>
        <v>Ottawa Township High School</v>
      </c>
      <c r="C1" s="2491"/>
      <c r="D1" s="2491"/>
      <c r="E1" s="2491"/>
      <c r="F1" s="2491"/>
      <c r="G1" s="2491"/>
      <c r="H1" s="2491"/>
      <c r="I1" s="2491"/>
      <c r="J1" s="2491"/>
      <c r="K1" s="2491"/>
      <c r="L1" s="1364"/>
      <c r="M1" s="1364"/>
    </row>
    <row r="2" spans="1:13" ht="12" customHeight="1" x14ac:dyDescent="0.2">
      <c r="B2" s="2493">
        <f>'Single Audit Cover'!E7</f>
        <v>35050140017</v>
      </c>
      <c r="C2" s="2493"/>
      <c r="D2" s="2493"/>
      <c r="E2" s="2493"/>
      <c r="F2" s="2493"/>
      <c r="G2" s="2493"/>
      <c r="H2" s="2493"/>
      <c r="I2" s="2493"/>
      <c r="J2" s="2493"/>
      <c r="K2" s="2493"/>
      <c r="L2" s="1365"/>
      <c r="M2" s="1366"/>
    </row>
    <row r="3" spans="1:13" ht="10.35" customHeight="1" x14ac:dyDescent="0.2">
      <c r="B3" s="2507" t="s">
        <v>1346</v>
      </c>
      <c r="C3" s="2507"/>
      <c r="D3" s="2507"/>
      <c r="E3" s="2507"/>
      <c r="F3" s="2507"/>
      <c r="G3" s="2507"/>
      <c r="H3" s="2507"/>
      <c r="I3" s="2507"/>
      <c r="J3" s="2507"/>
      <c r="K3" s="2507"/>
      <c r="L3" s="1367"/>
      <c r="M3" s="1367"/>
    </row>
    <row r="4" spans="1:13" ht="14.25" customHeight="1" x14ac:dyDescent="0.2">
      <c r="B4" s="2508" t="str">
        <f>'Single Audit Cover'!A4</f>
        <v>Year Ending June 30, 2018</v>
      </c>
      <c r="C4" s="2508"/>
      <c r="D4" s="2508"/>
      <c r="E4" s="2508"/>
      <c r="F4" s="2508"/>
      <c r="G4" s="2508"/>
      <c r="H4" s="2508"/>
      <c r="I4" s="2508"/>
      <c r="J4" s="2508"/>
      <c r="K4" s="2508"/>
      <c r="L4" s="313"/>
      <c r="M4" s="313"/>
    </row>
    <row r="5" spans="1:13" ht="7.5" customHeight="1" x14ac:dyDescent="0.2">
      <c r="B5" s="1250" t="s">
        <v>1230</v>
      </c>
      <c r="C5" s="1250"/>
    </row>
    <row r="6" spans="1:13" ht="7.5" customHeight="1" x14ac:dyDescent="0.2">
      <c r="B6" s="1368"/>
      <c r="C6" s="1368"/>
      <c r="D6" s="1369"/>
      <c r="E6" s="1369"/>
      <c r="F6" s="1369"/>
      <c r="G6" s="1370"/>
      <c r="H6" s="1369"/>
      <c r="I6" s="1370"/>
      <c r="J6" s="1369"/>
      <c r="K6" s="1369"/>
      <c r="L6" s="1371"/>
    </row>
    <row r="7" spans="1:13" ht="12.75" customHeight="1" x14ac:dyDescent="0.2">
      <c r="A7" s="1272"/>
      <c r="B7" s="2508" t="s">
        <v>1362</v>
      </c>
      <c r="C7" s="2508"/>
      <c r="D7" s="2509"/>
      <c r="E7" s="2509"/>
      <c r="F7" s="2509"/>
      <c r="G7" s="2509"/>
      <c r="H7" s="2509"/>
      <c r="I7" s="2509"/>
      <c r="J7" s="2509"/>
      <c r="K7" s="2509"/>
      <c r="L7" s="1372"/>
    </row>
    <row r="8" spans="1:13" ht="7.5" customHeight="1" x14ac:dyDescent="0.2">
      <c r="B8" s="322"/>
      <c r="C8" s="322"/>
      <c r="D8" s="322"/>
      <c r="E8" s="322"/>
      <c r="F8" s="322"/>
      <c r="G8" s="1373"/>
      <c r="H8" s="322"/>
      <c r="I8" s="1373"/>
      <c r="J8" s="322"/>
      <c r="K8" s="322"/>
      <c r="L8" s="1371"/>
    </row>
    <row r="9" spans="1:13" ht="9.6" customHeight="1" x14ac:dyDescent="0.2">
      <c r="B9" s="1369"/>
      <c r="C9" s="1369"/>
      <c r="D9" s="1369"/>
      <c r="E9" s="1369"/>
      <c r="F9" s="1369"/>
      <c r="G9" s="1370"/>
      <c r="H9" s="1369"/>
      <c r="I9" s="1370"/>
      <c r="J9" s="1369"/>
      <c r="K9" s="1369"/>
      <c r="L9" s="1371"/>
    </row>
    <row r="10" spans="1:13" ht="16.5" customHeight="1" x14ac:dyDescent="0.2">
      <c r="B10" s="1374" t="s">
        <v>1844</v>
      </c>
      <c r="C10" s="1375" t="s">
        <v>1952</v>
      </c>
      <c r="D10" s="1376"/>
      <c r="E10" s="322"/>
      <c r="F10" s="1377" t="s">
        <v>1361</v>
      </c>
      <c r="G10" s="1378"/>
      <c r="H10" s="1379" t="s">
        <v>1360</v>
      </c>
      <c r="I10" s="1378"/>
      <c r="J10" s="1380" t="s">
        <v>1359</v>
      </c>
      <c r="K10" s="322"/>
      <c r="L10" s="1371"/>
    </row>
    <row r="11" spans="1:13" ht="13.5" customHeight="1" x14ac:dyDescent="0.2">
      <c r="B11" s="322"/>
      <c r="C11" s="322"/>
      <c r="D11" s="322"/>
      <c r="E11" s="322"/>
      <c r="F11" s="322"/>
      <c r="G11" s="1373"/>
      <c r="H11" s="322"/>
      <c r="I11" s="1381" t="s">
        <v>1358</v>
      </c>
      <c r="J11" s="322"/>
      <c r="K11" s="1382"/>
      <c r="L11" s="1371"/>
    </row>
    <row r="12" spans="1:13" ht="13.5" customHeight="1" x14ac:dyDescent="0.2">
      <c r="B12" s="1284"/>
      <c r="C12" s="1284"/>
      <c r="D12" s="322"/>
      <c r="E12" s="322"/>
      <c r="F12" s="322"/>
      <c r="G12" s="1373"/>
      <c r="H12" s="322"/>
      <c r="I12" s="1373"/>
      <c r="J12" s="322"/>
      <c r="L12" s="1371"/>
    </row>
    <row r="13" spans="1:13" s="1272" customFormat="1" ht="13.5" customHeight="1" x14ac:dyDescent="0.2">
      <c r="B13" s="1383" t="s">
        <v>1357</v>
      </c>
      <c r="C13" s="1383"/>
      <c r="D13" s="1384"/>
      <c r="E13" s="1384"/>
      <c r="F13" s="1384"/>
      <c r="G13" s="1385"/>
      <c r="H13" s="1384"/>
      <c r="I13" s="1385"/>
      <c r="J13" s="1384"/>
      <c r="K13" s="1384"/>
      <c r="L13" s="1386"/>
    </row>
    <row r="14" spans="1:13" ht="45.75" customHeight="1" x14ac:dyDescent="0.2">
      <c r="B14" s="2506"/>
      <c r="C14" s="2506"/>
      <c r="D14" s="2506"/>
      <c r="E14" s="2506"/>
      <c r="F14" s="2506"/>
      <c r="G14" s="2506"/>
      <c r="H14" s="2506"/>
      <c r="I14" s="2506"/>
      <c r="J14" s="2506"/>
      <c r="K14" s="2506"/>
      <c r="L14" s="1387"/>
    </row>
    <row r="15" spans="1:13" ht="4.5" customHeight="1" x14ac:dyDescent="0.2">
      <c r="B15" s="1388"/>
      <c r="C15" s="1388"/>
      <c r="D15" s="1389"/>
      <c r="E15" s="1389"/>
      <c r="F15" s="1389"/>
      <c r="H15" s="1389"/>
      <c r="J15" s="1389"/>
      <c r="K15" s="1389"/>
      <c r="L15" s="1387"/>
    </row>
    <row r="16" spans="1:13" s="1272" customFormat="1" ht="13.5" customHeight="1" x14ac:dyDescent="0.2">
      <c r="B16" s="1383" t="s">
        <v>1356</v>
      </c>
      <c r="C16" s="1383"/>
      <c r="D16" s="1384"/>
      <c r="E16" s="1384"/>
      <c r="F16" s="1384"/>
      <c r="G16" s="1385"/>
      <c r="H16" s="1384"/>
      <c r="I16" s="1385"/>
      <c r="J16" s="1384"/>
      <c r="K16" s="1384"/>
      <c r="L16" s="1386"/>
    </row>
    <row r="17" spans="2:12" ht="45.75" customHeight="1" x14ac:dyDescent="0.2">
      <c r="B17" s="2506"/>
      <c r="C17" s="2506"/>
      <c r="D17" s="2506"/>
      <c r="E17" s="2506"/>
      <c r="F17" s="2506"/>
      <c r="G17" s="2506"/>
      <c r="H17" s="2506"/>
      <c r="I17" s="2506"/>
      <c r="J17" s="2506"/>
      <c r="K17" s="2506"/>
      <c r="L17" s="1371"/>
    </row>
    <row r="18" spans="2:12" ht="4.5" customHeight="1" x14ac:dyDescent="0.2">
      <c r="B18" s="1388"/>
      <c r="C18" s="1388"/>
      <c r="L18" s="1371"/>
    </row>
    <row r="19" spans="2:12" s="1272" customFormat="1" ht="13.5" customHeight="1" x14ac:dyDescent="0.2">
      <c r="B19" s="1383" t="s">
        <v>1845</v>
      </c>
      <c r="C19" s="1383"/>
      <c r="D19" s="1384"/>
      <c r="E19" s="1384"/>
      <c r="F19" s="1384"/>
      <c r="G19" s="1385"/>
      <c r="H19" s="1384"/>
      <c r="I19" s="1385"/>
      <c r="J19" s="1384"/>
      <c r="K19" s="1384"/>
      <c r="L19" s="1386"/>
    </row>
    <row r="20" spans="2:12" ht="45.75" customHeight="1" x14ac:dyDescent="0.2">
      <c r="B20" s="2510"/>
      <c r="C20" s="2510"/>
      <c r="D20" s="2506"/>
      <c r="E20" s="2506"/>
      <c r="F20" s="2506"/>
      <c r="G20" s="2506"/>
      <c r="H20" s="2506"/>
      <c r="I20" s="2506"/>
      <c r="J20" s="2506"/>
      <c r="K20" s="2506"/>
      <c r="L20" s="1371"/>
    </row>
    <row r="21" spans="2:12" ht="4.5" customHeight="1" x14ac:dyDescent="0.2">
      <c r="B21" s="1390"/>
      <c r="C21" s="1390"/>
      <c r="L21" s="1371"/>
    </row>
    <row r="22" spans="2:12" ht="13.5" customHeight="1" x14ac:dyDescent="0.2">
      <c r="B22" s="1383" t="s">
        <v>1355</v>
      </c>
      <c r="C22" s="1383"/>
      <c r="D22" s="1369"/>
      <c r="E22" s="1369"/>
      <c r="F22" s="1369"/>
      <c r="G22" s="1370"/>
      <c r="H22" s="1369"/>
      <c r="I22" s="1370"/>
      <c r="J22" s="1369"/>
      <c r="K22" s="1369"/>
      <c r="L22" s="1371"/>
    </row>
    <row r="23" spans="2:12" ht="45" customHeight="1" x14ac:dyDescent="0.2">
      <c r="B23" s="2506"/>
      <c r="C23" s="2506"/>
      <c r="D23" s="2506"/>
      <c r="E23" s="2506"/>
      <c r="F23" s="2506"/>
      <c r="G23" s="2506"/>
      <c r="H23" s="2506"/>
      <c r="I23" s="2506"/>
      <c r="J23" s="2506"/>
      <c r="K23" s="2506"/>
      <c r="L23" s="1371"/>
    </row>
    <row r="24" spans="2:12" ht="4.5" customHeight="1" x14ac:dyDescent="0.2">
      <c r="B24" s="1388"/>
      <c r="C24" s="1388"/>
      <c r="L24" s="1371"/>
    </row>
    <row r="25" spans="2:12" ht="13.5" customHeight="1" x14ac:dyDescent="0.2">
      <c r="B25" s="1383" t="s">
        <v>1354</v>
      </c>
      <c r="C25" s="1383"/>
      <c r="D25" s="1369"/>
      <c r="E25" s="1369"/>
      <c r="F25" s="1369"/>
      <c r="G25" s="1370"/>
      <c r="H25" s="1369"/>
      <c r="I25" s="1370"/>
      <c r="J25" s="1369"/>
      <c r="K25" s="1369"/>
      <c r="L25" s="1371"/>
    </row>
    <row r="26" spans="2:12" ht="45.75" customHeight="1" x14ac:dyDescent="0.2">
      <c r="B26" s="2506"/>
      <c r="C26" s="2506"/>
      <c r="D26" s="2506"/>
      <c r="E26" s="2506"/>
      <c r="F26" s="2506"/>
      <c r="G26" s="2506"/>
      <c r="H26" s="2506"/>
      <c r="I26" s="2506"/>
      <c r="J26" s="2506"/>
      <c r="K26" s="2506"/>
      <c r="L26" s="1371"/>
    </row>
    <row r="27" spans="2:12" ht="4.5" customHeight="1" x14ac:dyDescent="0.2">
      <c r="B27" s="1388"/>
      <c r="C27" s="1388"/>
      <c r="L27" s="1371"/>
    </row>
    <row r="28" spans="2:12" ht="13.5" customHeight="1" x14ac:dyDescent="0.2">
      <c r="B28" s="1391" t="s">
        <v>1353</v>
      </c>
      <c r="C28" s="1391"/>
      <c r="D28" s="1369"/>
      <c r="E28" s="1369"/>
      <c r="F28" s="1369"/>
      <c r="G28" s="1370"/>
      <c r="H28" s="1369"/>
      <c r="I28" s="1370"/>
      <c r="J28" s="1369"/>
      <c r="K28" s="1369"/>
      <c r="L28" s="1371"/>
    </row>
    <row r="29" spans="2:12" ht="45.75" customHeight="1" x14ac:dyDescent="0.2">
      <c r="B29" s="2505"/>
      <c r="C29" s="2505"/>
      <c r="D29" s="2506"/>
      <c r="E29" s="2506"/>
      <c r="F29" s="2506"/>
      <c r="G29" s="2506"/>
      <c r="H29" s="2506"/>
      <c r="I29" s="2506"/>
      <c r="J29" s="2506"/>
      <c r="K29" s="2506"/>
      <c r="L29" s="1371"/>
    </row>
    <row r="30" spans="2:12" ht="4.5" customHeight="1" x14ac:dyDescent="0.2">
      <c r="B30" s="1392"/>
      <c r="C30" s="1392"/>
      <c r="D30" s="322"/>
      <c r="E30" s="322"/>
      <c r="F30" s="322"/>
      <c r="G30" s="1373"/>
      <c r="H30" s="322"/>
      <c r="I30" s="1373"/>
      <c r="J30" s="322"/>
      <c r="K30" s="322"/>
      <c r="L30" s="1371"/>
    </row>
    <row r="31" spans="2:12" s="322" customFormat="1" ht="13.5" customHeight="1" x14ac:dyDescent="0.2">
      <c r="B31" s="1393" t="s">
        <v>1846</v>
      </c>
      <c r="C31" s="1393"/>
      <c r="D31" s="1368"/>
      <c r="E31" s="1369"/>
      <c r="F31" s="1369"/>
      <c r="G31" s="1370"/>
      <c r="H31" s="1369"/>
      <c r="I31" s="1370"/>
      <c r="J31" s="1369"/>
      <c r="K31" s="1369"/>
      <c r="L31" s="1371"/>
    </row>
    <row r="32" spans="2:12" s="322" customFormat="1" ht="44.25" customHeight="1" x14ac:dyDescent="0.2">
      <c r="B32" s="2505"/>
      <c r="C32" s="2505"/>
      <c r="D32" s="2506"/>
      <c r="E32" s="2506"/>
      <c r="F32" s="2506"/>
      <c r="G32" s="2506"/>
      <c r="H32" s="2506"/>
      <c r="I32" s="2506"/>
      <c r="J32" s="2506"/>
      <c r="K32" s="2506"/>
      <c r="L32" s="1371"/>
    </row>
    <row r="33" spans="1:13" s="322" customFormat="1" ht="4.5" customHeight="1" x14ac:dyDescent="0.2">
      <c r="B33" s="1392"/>
      <c r="C33" s="1392"/>
      <c r="G33" s="1373"/>
      <c r="I33" s="1373"/>
      <c r="L33" s="1371"/>
    </row>
    <row r="34" spans="1:13" s="322" customFormat="1" x14ac:dyDescent="0.2">
      <c r="A34" s="1287"/>
      <c r="B34" s="1407"/>
      <c r="C34" s="1407"/>
      <c r="D34" s="1407"/>
      <c r="E34" s="1407"/>
      <c r="F34" s="1407"/>
      <c r="G34" s="1408"/>
      <c r="H34" s="1407"/>
      <c r="I34" s="1408"/>
      <c r="J34" s="1407"/>
      <c r="K34" s="1407"/>
      <c r="L34" s="1371"/>
    </row>
    <row r="35" spans="1:13" ht="11.85" customHeight="1" x14ac:dyDescent="0.2">
      <c r="B35" s="1409" t="s">
        <v>1847</v>
      </c>
      <c r="C35" s="1409"/>
      <c r="D35" s="322"/>
      <c r="E35" s="322"/>
      <c r="F35" s="322"/>
      <c r="L35" s="1371"/>
    </row>
    <row r="36" spans="1:13" ht="9.6" customHeight="1" x14ac:dyDescent="0.2">
      <c r="B36" s="1290" t="s">
        <v>1953</v>
      </c>
      <c r="C36" s="1290"/>
      <c r="L36" s="1371"/>
    </row>
    <row r="37" spans="1:13" ht="9.6" customHeight="1" x14ac:dyDescent="0.2">
      <c r="B37" s="1290" t="s">
        <v>1954</v>
      </c>
      <c r="C37" s="1290"/>
    </row>
    <row r="38" spans="1:13" ht="11.85" customHeight="1" x14ac:dyDescent="0.2">
      <c r="B38" s="1410" t="s">
        <v>1848</v>
      </c>
      <c r="C38" s="1410"/>
    </row>
    <row r="39" spans="1:13" ht="9.6" customHeight="1" x14ac:dyDescent="0.2">
      <c r="B39" s="1290" t="s">
        <v>1347</v>
      </c>
      <c r="C39" s="1290"/>
      <c r="M39" s="1411"/>
    </row>
    <row r="40" spans="1:13" ht="12.6" customHeight="1" x14ac:dyDescent="0.2">
      <c r="B40" s="1410" t="s">
        <v>1849</v>
      </c>
      <c r="C40" s="1410"/>
      <c r="M40" s="1411"/>
    </row>
    <row r="41" spans="1:13" ht="9.6" customHeight="1" x14ac:dyDescent="0.2">
      <c r="B41" s="1290"/>
      <c r="C41" s="1290"/>
      <c r="M41" s="141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48" customWidth="1"/>
    <col min="8" max="8" width="10.5703125" style="317" customWidth="1"/>
    <col min="9" max="9" width="3.42578125" style="124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14" t="str">
        <f>'Single Audit Cover'!A7</f>
        <v>Ottawa Township High School</v>
      </c>
      <c r="C1" s="2514"/>
      <c r="D1" s="2514"/>
      <c r="E1" s="2514"/>
      <c r="F1" s="2514"/>
      <c r="G1" s="2514"/>
      <c r="H1" s="2514"/>
      <c r="I1" s="2514"/>
      <c r="J1" s="2514"/>
      <c r="K1" s="2514"/>
      <c r="L1" s="1455"/>
    </row>
    <row r="2" spans="1:12" ht="12.75" customHeight="1" x14ac:dyDescent="0.2">
      <c r="B2" s="2515">
        <f>'Single Audit Cover'!E7</f>
        <v>35050140017</v>
      </c>
      <c r="C2" s="2515"/>
      <c r="D2" s="2515"/>
      <c r="E2" s="2515"/>
      <c r="F2" s="2515"/>
      <c r="G2" s="2515"/>
      <c r="H2" s="2515"/>
      <c r="I2" s="2515"/>
      <c r="J2" s="2515"/>
      <c r="K2" s="2515"/>
      <c r="L2" s="1456"/>
    </row>
    <row r="3" spans="1:12" ht="12.75" customHeight="1" x14ac:dyDescent="0.2">
      <c r="B3" s="2507" t="s">
        <v>1346</v>
      </c>
      <c r="C3" s="2507"/>
      <c r="D3" s="2507"/>
      <c r="E3" s="2507"/>
      <c r="F3" s="2507"/>
      <c r="G3" s="2507"/>
      <c r="H3" s="2507"/>
      <c r="I3" s="2507"/>
      <c r="J3" s="2507"/>
      <c r="K3" s="2507"/>
      <c r="L3" s="1367"/>
    </row>
    <row r="4" spans="1:12" ht="12.75" customHeight="1" x14ac:dyDescent="0.2">
      <c r="B4" s="2507" t="str">
        <f>'Single Audit Cover'!A4</f>
        <v>Year Ending June 30, 2018</v>
      </c>
      <c r="C4" s="2507"/>
      <c r="D4" s="2507"/>
      <c r="E4" s="2507"/>
      <c r="F4" s="2507"/>
      <c r="G4" s="2507"/>
      <c r="H4" s="2507"/>
      <c r="I4" s="2507"/>
      <c r="J4" s="2507"/>
      <c r="K4" s="2507"/>
      <c r="L4" s="1367"/>
    </row>
    <row r="5" spans="1:12" ht="5.25" customHeight="1" x14ac:dyDescent="0.2">
      <c r="B5" s="1250" t="s">
        <v>1230</v>
      </c>
      <c r="C5" s="1250"/>
      <c r="L5" s="322"/>
    </row>
    <row r="6" spans="1:12" ht="30.75" customHeight="1" x14ac:dyDescent="0.2">
      <c r="A6" s="322"/>
      <c r="B6" s="2516" t="s">
        <v>1374</v>
      </c>
      <c r="C6" s="2516"/>
      <c r="D6" s="2516"/>
      <c r="E6" s="2516"/>
      <c r="F6" s="2516"/>
      <c r="G6" s="2516"/>
      <c r="H6" s="2516"/>
      <c r="I6" s="2516"/>
      <c r="J6" s="2516"/>
      <c r="K6" s="2516"/>
      <c r="L6" s="322"/>
    </row>
    <row r="7" spans="1:12" ht="4.5" customHeight="1" x14ac:dyDescent="0.2">
      <c r="B7" s="1369"/>
      <c r="C7" s="1369"/>
      <c r="D7" s="1369"/>
      <c r="E7" s="1369"/>
      <c r="F7" s="1369"/>
      <c r="G7" s="1370"/>
      <c r="H7" s="1369"/>
      <c r="I7" s="1370"/>
      <c r="J7" s="1369"/>
      <c r="K7" s="1369"/>
      <c r="L7" s="322"/>
    </row>
    <row r="8" spans="1:12" ht="13.5" customHeight="1" x14ac:dyDescent="0.2">
      <c r="B8" s="1377" t="s">
        <v>1858</v>
      </c>
      <c r="C8" s="1457" t="s">
        <v>1952</v>
      </c>
      <c r="D8" s="1458"/>
      <c r="E8" s="322"/>
      <c r="F8" s="1374" t="s">
        <v>1361</v>
      </c>
      <c r="G8" s="1459"/>
      <c r="H8" s="1460" t="s">
        <v>1373</v>
      </c>
      <c r="I8" s="1459"/>
      <c r="J8" s="1461" t="s">
        <v>1372</v>
      </c>
      <c r="L8" s="322"/>
    </row>
    <row r="9" spans="1:12" ht="13.5" customHeight="1" x14ac:dyDescent="0.2">
      <c r="D9" s="322"/>
      <c r="E9" s="322"/>
      <c r="F9" s="322"/>
      <c r="G9" s="1373"/>
      <c r="H9" s="322"/>
      <c r="I9" s="1462" t="s">
        <v>1358</v>
      </c>
      <c r="J9" s="322"/>
      <c r="K9" s="1463"/>
      <c r="L9" s="322"/>
    </row>
    <row r="10" spans="1:12" ht="4.5" customHeight="1" x14ac:dyDescent="0.2">
      <c r="B10" s="1464"/>
      <c r="C10" s="1464"/>
      <c r="D10" s="1417"/>
      <c r="E10" s="1417"/>
      <c r="F10" s="1417"/>
      <c r="G10" s="1418"/>
      <c r="H10" s="1417"/>
      <c r="I10" s="1418"/>
      <c r="J10" s="1417"/>
      <c r="K10" s="1417"/>
      <c r="L10" s="322"/>
    </row>
    <row r="11" spans="1:12" ht="5.25" customHeight="1" x14ac:dyDescent="0.2">
      <c r="B11" s="322"/>
      <c r="C11" s="322"/>
      <c r="D11" s="304"/>
      <c r="E11" s="322"/>
      <c r="F11" s="322"/>
      <c r="G11" s="1373"/>
      <c r="H11" s="322"/>
      <c r="I11" s="1373"/>
      <c r="J11" s="322"/>
      <c r="K11" s="1422"/>
      <c r="L11" s="322"/>
    </row>
    <row r="12" spans="1:12" ht="13.5" customHeight="1" x14ac:dyDescent="0.2">
      <c r="B12" s="1374" t="s">
        <v>1371</v>
      </c>
      <c r="C12" s="1374"/>
      <c r="D12" s="304"/>
      <c r="E12" s="322"/>
      <c r="F12" s="2498"/>
      <c r="G12" s="2498"/>
      <c r="H12" s="2498"/>
      <c r="I12" s="2498"/>
      <c r="J12" s="2498"/>
      <c r="K12" s="2498"/>
      <c r="L12" s="322"/>
    </row>
    <row r="13" spans="1:12" ht="9.6" customHeight="1" x14ac:dyDescent="0.2">
      <c r="B13" s="1247"/>
      <c r="C13" s="1247"/>
      <c r="D13" s="304"/>
      <c r="E13" s="322"/>
      <c r="F13" s="322"/>
      <c r="G13" s="1373"/>
      <c r="H13" s="322"/>
      <c r="I13" s="1373"/>
      <c r="J13" s="322"/>
      <c r="K13" s="1422"/>
      <c r="L13" s="322"/>
    </row>
    <row r="14" spans="1:12" ht="13.5" customHeight="1" x14ac:dyDescent="0.2">
      <c r="B14" s="1377" t="s">
        <v>1370</v>
      </c>
      <c r="C14" s="1377"/>
      <c r="D14" s="2511"/>
      <c r="E14" s="2511"/>
      <c r="F14" s="2511"/>
      <c r="H14" s="1465" t="s">
        <v>1369</v>
      </c>
      <c r="I14" s="2512"/>
      <c r="J14" s="2512"/>
      <c r="K14" s="2512"/>
      <c r="L14" s="322"/>
    </row>
    <row r="15" spans="1:12" ht="9.4" customHeight="1" x14ac:dyDescent="0.2">
      <c r="B15" s="1377"/>
      <c r="C15" s="1377"/>
      <c r="D15" s="1363"/>
      <c r="E15" s="1250"/>
      <c r="F15" s="1250"/>
      <c r="G15" s="1276"/>
      <c r="H15" s="1250"/>
      <c r="I15" s="1466"/>
      <c r="J15" s="1284"/>
      <c r="K15" s="1281"/>
      <c r="L15" s="322"/>
    </row>
    <row r="16" spans="1:12" ht="13.5" customHeight="1" x14ac:dyDescent="0.2">
      <c r="B16" s="1377" t="s">
        <v>1368</v>
      </c>
      <c r="C16" s="1377"/>
      <c r="D16" s="2512"/>
      <c r="E16" s="2512"/>
      <c r="F16" s="2512"/>
      <c r="G16" s="2512"/>
      <c r="H16" s="2512"/>
      <c r="I16" s="2512"/>
      <c r="J16" s="2512"/>
      <c r="K16" s="2512"/>
      <c r="L16" s="322"/>
    </row>
    <row r="17" spans="2:12" ht="13.5" customHeight="1" x14ac:dyDescent="0.2">
      <c r="B17" s="1377" t="s">
        <v>1367</v>
      </c>
      <c r="C17" s="1377"/>
      <c r="D17" s="2513"/>
      <c r="E17" s="2513"/>
      <c r="F17" s="2513"/>
      <c r="G17" s="2513"/>
      <c r="H17" s="2513"/>
      <c r="I17" s="2513"/>
      <c r="J17" s="2513"/>
      <c r="K17" s="2513"/>
      <c r="L17" s="322"/>
    </row>
    <row r="18" spans="2:12" ht="9.4" customHeight="1" x14ac:dyDescent="0.2">
      <c r="B18" s="1417"/>
      <c r="C18" s="1417"/>
      <c r="D18" s="1417"/>
      <c r="E18" s="1417"/>
      <c r="F18" s="1417"/>
      <c r="G18" s="1418"/>
      <c r="H18" s="1417"/>
      <c r="I18" s="1418"/>
      <c r="J18" s="1417"/>
      <c r="K18" s="1417"/>
      <c r="L18" s="322"/>
    </row>
    <row r="19" spans="2:12" ht="13.5" customHeight="1" x14ac:dyDescent="0.2">
      <c r="B19" s="1467" t="s">
        <v>1366</v>
      </c>
      <c r="C19" s="1467"/>
      <c r="D19" s="328"/>
      <c r="E19" s="328"/>
      <c r="F19" s="328"/>
      <c r="G19" s="1468"/>
      <c r="H19" s="328"/>
      <c r="I19" s="1468"/>
      <c r="J19" s="322"/>
      <c r="K19" s="322"/>
      <c r="L19" s="322"/>
    </row>
    <row r="20" spans="2:12" ht="35.25" customHeight="1" x14ac:dyDescent="0.2">
      <c r="B20" s="2506"/>
      <c r="C20" s="2506"/>
      <c r="D20" s="2506"/>
      <c r="E20" s="2506"/>
      <c r="F20" s="2506"/>
      <c r="G20" s="2506"/>
      <c r="H20" s="2506"/>
      <c r="I20" s="2506"/>
      <c r="J20" s="2506"/>
      <c r="K20" s="2506"/>
      <c r="L20" s="1422"/>
    </row>
    <row r="21" spans="2:12" ht="4.5" customHeight="1" x14ac:dyDescent="0.2">
      <c r="B21" s="1469"/>
      <c r="C21" s="1469"/>
      <c r="D21" s="1470"/>
      <c r="E21" s="1470"/>
      <c r="F21" s="1470"/>
      <c r="G21" s="1418"/>
      <c r="H21" s="1470"/>
      <c r="I21" s="1418"/>
      <c r="J21" s="1470"/>
      <c r="K21" s="1470"/>
      <c r="L21" s="1422"/>
    </row>
    <row r="22" spans="2:12" ht="13.35" customHeight="1" x14ac:dyDescent="0.2">
      <c r="B22" s="1467" t="s">
        <v>1859</v>
      </c>
      <c r="C22" s="1467"/>
      <c r="D22" s="322"/>
      <c r="E22" s="322"/>
      <c r="F22" s="322"/>
      <c r="G22" s="1373"/>
      <c r="H22" s="322"/>
      <c r="I22" s="1373"/>
      <c r="J22" s="322"/>
      <c r="K22" s="322"/>
      <c r="L22" s="322"/>
    </row>
    <row r="23" spans="2:12" ht="37.5" customHeight="1" x14ac:dyDescent="0.2">
      <c r="B23" s="2506"/>
      <c r="C23" s="2506"/>
      <c r="D23" s="2506"/>
      <c r="E23" s="2506"/>
      <c r="F23" s="2506"/>
      <c r="G23" s="2506"/>
      <c r="H23" s="2506"/>
      <c r="I23" s="2506"/>
      <c r="J23" s="2506"/>
      <c r="K23" s="2506"/>
      <c r="L23" s="322"/>
    </row>
    <row r="24" spans="2:12" ht="4.5" customHeight="1" x14ac:dyDescent="0.2">
      <c r="B24" s="1469"/>
      <c r="C24" s="1469"/>
      <c r="D24" s="1417"/>
      <c r="E24" s="1417"/>
      <c r="F24" s="1417"/>
      <c r="G24" s="1418"/>
      <c r="H24" s="1417"/>
      <c r="I24" s="1418"/>
      <c r="J24" s="1417"/>
      <c r="K24" s="1417"/>
      <c r="L24" s="322"/>
    </row>
    <row r="25" spans="2:12" ht="13.5" customHeight="1" x14ac:dyDescent="0.2">
      <c r="B25" s="1467" t="s">
        <v>1860</v>
      </c>
      <c r="C25" s="1467"/>
      <c r="D25" s="322"/>
      <c r="E25" s="322"/>
      <c r="F25" s="322"/>
      <c r="G25" s="1373"/>
      <c r="H25" s="322"/>
      <c r="I25" s="1373"/>
      <c r="J25" s="322"/>
      <c r="K25" s="322"/>
      <c r="L25" s="322"/>
    </row>
    <row r="26" spans="2:12" ht="37.5" customHeight="1" x14ac:dyDescent="0.2">
      <c r="B26" s="2506"/>
      <c r="C26" s="2506"/>
      <c r="D26" s="2506"/>
      <c r="E26" s="2506"/>
      <c r="F26" s="2506"/>
      <c r="G26" s="2506"/>
      <c r="H26" s="2506"/>
      <c r="I26" s="2506"/>
      <c r="J26" s="2506"/>
      <c r="K26" s="2506"/>
      <c r="L26" s="322"/>
    </row>
    <row r="27" spans="2:12" ht="4.5" customHeight="1" x14ac:dyDescent="0.2">
      <c r="B27" s="1471"/>
      <c r="C27" s="1471"/>
      <c r="D27" s="1471"/>
      <c r="E27" s="1417"/>
      <c r="F27" s="1417"/>
      <c r="G27" s="1418"/>
      <c r="H27" s="1417"/>
      <c r="I27" s="1418"/>
      <c r="J27" s="1417"/>
      <c r="K27" s="1417"/>
      <c r="L27" s="322"/>
    </row>
    <row r="28" spans="2:12" ht="13.5" customHeight="1" x14ac:dyDescent="0.2">
      <c r="B28" s="1467" t="s">
        <v>1861</v>
      </c>
      <c r="C28" s="1467"/>
      <c r="D28" s="322"/>
      <c r="E28" s="322"/>
      <c r="F28" s="322"/>
      <c r="G28" s="1373"/>
      <c r="H28" s="322"/>
      <c r="I28" s="1373"/>
      <c r="J28" s="322"/>
      <c r="K28" s="322"/>
      <c r="L28" s="322"/>
    </row>
    <row r="29" spans="2:12" ht="37.5" customHeight="1" x14ac:dyDescent="0.2">
      <c r="B29" s="2506"/>
      <c r="C29" s="2506"/>
      <c r="D29" s="2506"/>
      <c r="E29" s="2506"/>
      <c r="F29" s="2506"/>
      <c r="G29" s="2506"/>
      <c r="H29" s="2506"/>
      <c r="I29" s="2506"/>
      <c r="J29" s="2506"/>
      <c r="K29" s="2506"/>
      <c r="L29" s="322"/>
    </row>
    <row r="30" spans="2:12" ht="4.5" customHeight="1" x14ac:dyDescent="0.2">
      <c r="B30" s="1469"/>
      <c r="C30" s="1469"/>
      <c r="D30" s="1417"/>
      <c r="E30" s="1417"/>
      <c r="F30" s="1417"/>
      <c r="G30" s="1418"/>
      <c r="H30" s="1417"/>
      <c r="I30" s="1418"/>
      <c r="J30" s="1417"/>
      <c r="K30" s="1417"/>
      <c r="L30" s="322"/>
    </row>
    <row r="31" spans="2:12" ht="13.5" customHeight="1" x14ac:dyDescent="0.2">
      <c r="B31" s="1467" t="s">
        <v>1365</v>
      </c>
      <c r="C31" s="1467"/>
      <c r="D31" s="322"/>
      <c r="E31" s="322"/>
      <c r="F31" s="322"/>
      <c r="G31" s="1373"/>
      <c r="H31" s="322"/>
      <c r="I31" s="1373"/>
      <c r="J31" s="322"/>
      <c r="K31" s="322"/>
      <c r="L31" s="322"/>
    </row>
    <row r="32" spans="2:12" ht="37.5" customHeight="1" x14ac:dyDescent="0.2">
      <c r="B32" s="2506"/>
      <c r="C32" s="2506"/>
      <c r="D32" s="2506"/>
      <c r="E32" s="2506"/>
      <c r="F32" s="2506"/>
      <c r="G32" s="2506"/>
      <c r="H32" s="2506"/>
      <c r="I32" s="2506"/>
      <c r="J32" s="2506"/>
      <c r="K32" s="2506"/>
      <c r="L32" s="322"/>
    </row>
    <row r="33" spans="2:12" ht="4.5" customHeight="1" x14ac:dyDescent="0.2">
      <c r="B33" s="1469"/>
      <c r="C33" s="1469"/>
      <c r="D33" s="1417"/>
      <c r="E33" s="1417"/>
      <c r="F33" s="1417"/>
      <c r="G33" s="1418"/>
      <c r="H33" s="1417"/>
      <c r="I33" s="1418"/>
      <c r="J33" s="1417"/>
      <c r="K33" s="1417"/>
      <c r="L33" s="322"/>
    </row>
    <row r="34" spans="2:12" ht="13.5" customHeight="1" x14ac:dyDescent="0.2">
      <c r="B34" s="1374" t="s">
        <v>1364</v>
      </c>
      <c r="C34" s="1374"/>
      <c r="D34" s="322"/>
      <c r="E34" s="322"/>
      <c r="F34" s="322"/>
      <c r="G34" s="1373"/>
      <c r="H34" s="322"/>
      <c r="I34" s="1373"/>
      <c r="J34" s="322"/>
      <c r="K34" s="322"/>
      <c r="L34" s="322"/>
    </row>
    <row r="35" spans="2:12" ht="37.5" customHeight="1" x14ac:dyDescent="0.2">
      <c r="B35" s="2506"/>
      <c r="C35" s="2506"/>
      <c r="D35" s="2506"/>
      <c r="E35" s="2506"/>
      <c r="F35" s="2506"/>
      <c r="G35" s="2506"/>
      <c r="H35" s="2506"/>
      <c r="I35" s="2506"/>
      <c r="J35" s="2506"/>
      <c r="K35" s="2506"/>
      <c r="L35" s="322"/>
    </row>
    <row r="36" spans="2:12" ht="4.5" customHeight="1" x14ac:dyDescent="0.2">
      <c r="B36" s="1469"/>
      <c r="C36" s="1469"/>
      <c r="D36" s="1417"/>
      <c r="E36" s="1417"/>
      <c r="F36" s="1417"/>
      <c r="G36" s="1418"/>
      <c r="H36" s="1417"/>
      <c r="I36" s="1418"/>
      <c r="J36" s="1417"/>
      <c r="K36" s="1417"/>
      <c r="L36" s="322"/>
    </row>
    <row r="37" spans="2:12" ht="13.5" customHeight="1" x14ac:dyDescent="0.2">
      <c r="B37" s="1374" t="s">
        <v>1363</v>
      </c>
      <c r="C37" s="1374"/>
      <c r="D37" s="322"/>
      <c r="E37" s="322"/>
      <c r="F37" s="322"/>
      <c r="G37" s="1373"/>
      <c r="H37" s="322"/>
      <c r="I37" s="1373"/>
      <c r="J37" s="322"/>
      <c r="K37" s="322"/>
      <c r="L37" s="322"/>
    </row>
    <row r="38" spans="2:12" ht="35.25" customHeight="1" x14ac:dyDescent="0.2">
      <c r="B38" s="2506"/>
      <c r="C38" s="2506"/>
      <c r="D38" s="2506"/>
      <c r="E38" s="2506"/>
      <c r="F38" s="2506"/>
      <c r="G38" s="2506"/>
      <c r="H38" s="2506"/>
      <c r="I38" s="2506"/>
      <c r="J38" s="2506"/>
      <c r="K38" s="2506"/>
      <c r="L38" s="322"/>
    </row>
    <row r="39" spans="2:12" ht="4.5" customHeight="1" x14ac:dyDescent="0.2">
      <c r="B39" s="1392"/>
      <c r="C39" s="1392"/>
      <c r="D39" s="322"/>
      <c r="E39" s="322"/>
      <c r="F39" s="322"/>
      <c r="G39" s="1373"/>
      <c r="H39" s="322"/>
      <c r="I39" s="1373"/>
      <c r="J39" s="322"/>
      <c r="K39" s="322"/>
      <c r="L39" s="322"/>
    </row>
    <row r="40" spans="2:12" s="322" customFormat="1" ht="13.5" customHeight="1" x14ac:dyDescent="0.2">
      <c r="B40" s="1393" t="s">
        <v>1862</v>
      </c>
      <c r="C40" s="1393"/>
      <c r="D40" s="1368"/>
      <c r="E40" s="1369"/>
      <c r="F40" s="1369"/>
      <c r="G40" s="1370"/>
      <c r="H40" s="1369"/>
      <c r="I40" s="1370"/>
      <c r="J40" s="1369"/>
      <c r="K40" s="1369"/>
    </row>
    <row r="41" spans="2:12" s="322" customFormat="1" ht="33.75" customHeight="1" x14ac:dyDescent="0.2">
      <c r="B41" s="2506"/>
      <c r="C41" s="2506"/>
      <c r="D41" s="2506"/>
      <c r="E41" s="2506"/>
      <c r="F41" s="2506"/>
      <c r="G41" s="2506"/>
      <c r="H41" s="2506"/>
      <c r="I41" s="2506"/>
      <c r="J41" s="2506"/>
      <c r="K41" s="2506"/>
    </row>
    <row r="42" spans="2:12" s="322" customFormat="1" ht="4.5" customHeight="1" x14ac:dyDescent="0.2">
      <c r="B42" s="1392"/>
      <c r="C42" s="1392"/>
      <c r="G42" s="1373"/>
      <c r="I42" s="1373"/>
    </row>
    <row r="43" spans="2:12" s="322" customFormat="1" ht="13.5" customHeight="1" x14ac:dyDescent="0.2">
      <c r="B43" s="1472" t="s">
        <v>1352</v>
      </c>
      <c r="C43" s="1473"/>
      <c r="D43" s="1394"/>
      <c r="E43" s="1394"/>
      <c r="F43" s="1394"/>
      <c r="G43" s="1395"/>
      <c r="H43" s="1394"/>
      <c r="I43" s="1395"/>
      <c r="J43" s="1394"/>
      <c r="K43" s="1396"/>
      <c r="L43" s="1474"/>
    </row>
    <row r="44" spans="2:12" s="322" customFormat="1" ht="13.5" customHeight="1" x14ac:dyDescent="0.2">
      <c r="B44" s="1397" t="s">
        <v>1351</v>
      </c>
      <c r="C44" s="1398"/>
      <c r="D44" s="1475"/>
      <c r="E44" s="1399"/>
      <c r="F44" s="1403" t="s">
        <v>1350</v>
      </c>
      <c r="G44" s="1401"/>
      <c r="H44" s="1400"/>
      <c r="I44" s="1401"/>
      <c r="J44" s="1476"/>
      <c r="K44" s="1477"/>
      <c r="L44" s="1474"/>
    </row>
    <row r="45" spans="2:12" s="322" customFormat="1" ht="13.5" customHeight="1" x14ac:dyDescent="0.2">
      <c r="B45" s="1397" t="s">
        <v>1349</v>
      </c>
      <c r="C45" s="1398"/>
      <c r="D45" s="1476"/>
      <c r="E45" s="1400"/>
      <c r="F45" s="1403" t="s">
        <v>1348</v>
      </c>
      <c r="G45" s="1401"/>
      <c r="H45" s="1400"/>
      <c r="I45" s="1401"/>
      <c r="J45" s="1476"/>
      <c r="K45" s="1477"/>
      <c r="L45" s="1474"/>
    </row>
    <row r="46" spans="2:12" s="322" customFormat="1" ht="13.5" customHeight="1" x14ac:dyDescent="0.2">
      <c r="B46" s="1404"/>
      <c r="C46" s="1402"/>
      <c r="D46" s="1402"/>
      <c r="E46" s="1402"/>
      <c r="F46" s="1402"/>
      <c r="G46" s="1405"/>
      <c r="H46" s="1402"/>
      <c r="I46" s="1405"/>
      <c r="J46" s="1402"/>
      <c r="K46" s="1406"/>
      <c r="L46" s="1474"/>
    </row>
    <row r="47" spans="2:12" ht="7.5" customHeight="1" x14ac:dyDescent="0.25">
      <c r="B47" s="1478"/>
      <c r="C47" s="1478"/>
      <c r="D47" s="1479"/>
      <c r="E47" s="1479"/>
      <c r="F47" s="1479"/>
      <c r="G47" s="1480"/>
      <c r="H47" s="1479"/>
      <c r="I47" s="1480"/>
      <c r="J47" s="1479"/>
      <c r="K47" s="1479"/>
    </row>
    <row r="48" spans="2:12" ht="13.5" customHeight="1" x14ac:dyDescent="0.2">
      <c r="B48" s="1409" t="s">
        <v>1863</v>
      </c>
      <c r="C48" s="1409"/>
      <c r="D48" s="322"/>
      <c r="E48" s="322"/>
      <c r="F48" s="322"/>
    </row>
    <row r="49" spans="2:3" s="317" customFormat="1" ht="10.5" customHeight="1" x14ac:dyDescent="0.2">
      <c r="B49" s="1410" t="s">
        <v>1864</v>
      </c>
      <c r="C49" s="1410"/>
    </row>
    <row r="50" spans="2:3" s="317" customFormat="1" ht="11.1" customHeight="1" x14ac:dyDescent="0.2">
      <c r="B50" s="1410" t="s">
        <v>1865</v>
      </c>
      <c r="C50" s="1410"/>
    </row>
    <row r="51" spans="2:3" s="317" customFormat="1" ht="11.1" customHeight="1" x14ac:dyDescent="0.2">
      <c r="B51" s="1410" t="s">
        <v>1866</v>
      </c>
      <c r="C51" s="1410"/>
    </row>
    <row r="52" spans="2:3" s="317" customFormat="1" ht="11.1" customHeight="1" x14ac:dyDescent="0.2">
      <c r="B52" s="1410" t="s">
        <v>1867</v>
      </c>
      <c r="C52" s="141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2" customFormat="1" ht="12.75" customHeight="1" x14ac:dyDescent="0.2">
      <c r="B1" s="2491" t="str">
        <f>'Single Audit Cover'!A7</f>
        <v>Ottawa Township High School</v>
      </c>
      <c r="C1" s="2491"/>
      <c r="D1" s="2491"/>
      <c r="E1" s="1481"/>
    </row>
    <row r="2" spans="2:5" s="1272" customFormat="1" ht="12.75" customHeight="1" x14ac:dyDescent="0.2">
      <c r="B2" s="2493">
        <f>'Single Audit Cover'!E7</f>
        <v>35050140017</v>
      </c>
      <c r="C2" s="2493"/>
      <c r="D2" s="2493"/>
      <c r="E2" s="1482"/>
    </row>
    <row r="3" spans="2:5" ht="12.75" customHeight="1" x14ac:dyDescent="0.2">
      <c r="B3" s="2507" t="s">
        <v>1868</v>
      </c>
      <c r="C3" s="2507"/>
      <c r="D3" s="2507"/>
      <c r="E3" s="1264"/>
    </row>
    <row r="4" spans="2:5" s="1272" customFormat="1" ht="12.75" customHeight="1" x14ac:dyDescent="0.2">
      <c r="B4" s="2517" t="str">
        <f>'Single Audit Cover'!A4</f>
        <v>Year Ending June 30, 2018</v>
      </c>
      <c r="C4" s="2517"/>
      <c r="D4" s="2517"/>
      <c r="E4" s="1483"/>
    </row>
    <row r="5" spans="2:5" s="1272" customFormat="1" ht="40.15" customHeight="1" x14ac:dyDescent="0.2">
      <c r="B5" s="1484" t="s">
        <v>1869</v>
      </c>
      <c r="C5" s="328"/>
      <c r="D5" s="328"/>
      <c r="E5" s="328"/>
    </row>
    <row r="6" spans="2:5" s="1272" customFormat="1" ht="13.5" customHeight="1" x14ac:dyDescent="0.2">
      <c r="B6" s="1485" t="s">
        <v>1381</v>
      </c>
      <c r="C6" s="1485" t="s">
        <v>1380</v>
      </c>
      <c r="D6" s="1485" t="s">
        <v>1870</v>
      </c>
    </row>
    <row r="7" spans="2:5" ht="13.5" customHeight="1" x14ac:dyDescent="0.2">
      <c r="B7" s="1486"/>
      <c r="C7" s="324"/>
      <c r="D7" s="324"/>
      <c r="E7" s="324"/>
    </row>
    <row r="8" spans="2:5" ht="13.5" customHeight="1" x14ac:dyDescent="0.2">
      <c r="B8" s="1486"/>
      <c r="C8" s="324"/>
      <c r="D8" s="324"/>
      <c r="E8" s="324"/>
    </row>
    <row r="9" spans="2:5" ht="13.5" customHeight="1" x14ac:dyDescent="0.2">
      <c r="B9" s="1487"/>
      <c r="C9" s="323"/>
      <c r="D9" s="323"/>
      <c r="E9" s="323"/>
    </row>
    <row r="10" spans="2:5" ht="13.5" customHeight="1" x14ac:dyDescent="0.2">
      <c r="B10" s="1486"/>
      <c r="C10" s="323"/>
      <c r="D10" s="323"/>
      <c r="E10" s="323"/>
    </row>
    <row r="11" spans="2:5" ht="13.5" customHeight="1" x14ac:dyDescent="0.2">
      <c r="B11" s="1486"/>
      <c r="C11" s="323"/>
      <c r="D11" s="323"/>
      <c r="E11" s="323"/>
    </row>
    <row r="12" spans="2:5" ht="13.5" customHeight="1" x14ac:dyDescent="0.2">
      <c r="B12" s="1486"/>
      <c r="C12" s="323"/>
      <c r="D12" s="323"/>
      <c r="E12" s="323"/>
    </row>
    <row r="13" spans="2:5" ht="13.5" customHeight="1" x14ac:dyDescent="0.2">
      <c r="B13" s="1486"/>
      <c r="C13" s="323"/>
      <c r="D13" s="323"/>
      <c r="E13" s="323"/>
    </row>
    <row r="14" spans="2:5" ht="13.5" customHeight="1" x14ac:dyDescent="0.2">
      <c r="B14" s="1486"/>
      <c r="C14" s="323"/>
      <c r="D14" s="323"/>
      <c r="E14" s="323"/>
    </row>
    <row r="15" spans="2:5" ht="13.5" customHeight="1" x14ac:dyDescent="0.2">
      <c r="B15" s="1486"/>
      <c r="C15" s="323"/>
      <c r="D15" s="323"/>
      <c r="E15" s="323"/>
    </row>
    <row r="16" spans="2:5" ht="13.5" customHeight="1" x14ac:dyDescent="0.2">
      <c r="B16" s="1486"/>
      <c r="C16" s="323"/>
      <c r="D16" s="323"/>
      <c r="E16" s="323"/>
    </row>
    <row r="17" spans="2:5" ht="13.5" customHeight="1" x14ac:dyDescent="0.2">
      <c r="B17" s="1486"/>
      <c r="C17" s="323"/>
      <c r="D17" s="323"/>
      <c r="E17" s="323"/>
    </row>
    <row r="18" spans="2:5" ht="13.5" customHeight="1" x14ac:dyDescent="0.2">
      <c r="B18" s="1486"/>
      <c r="C18" s="323"/>
      <c r="D18" s="323"/>
      <c r="E18" s="323"/>
    </row>
    <row r="19" spans="2:5" ht="13.5" customHeight="1" x14ac:dyDescent="0.2">
      <c r="B19" s="1486"/>
      <c r="C19" s="323"/>
      <c r="D19" s="323"/>
      <c r="E19" s="323"/>
    </row>
    <row r="20" spans="2:5" ht="13.5" customHeight="1" x14ac:dyDescent="0.2">
      <c r="B20" s="1486"/>
      <c r="C20" s="323"/>
      <c r="D20" s="323"/>
      <c r="E20" s="323"/>
    </row>
    <row r="21" spans="2:5" ht="13.5" customHeight="1" x14ac:dyDescent="0.2">
      <c r="B21" s="1486"/>
      <c r="C21" s="323"/>
      <c r="D21" s="323"/>
      <c r="E21" s="323"/>
    </row>
    <row r="22" spans="2:5" ht="13.5" customHeight="1" x14ac:dyDescent="0.2">
      <c r="B22" s="1486"/>
      <c r="C22" s="323"/>
      <c r="D22" s="323"/>
      <c r="E22" s="323"/>
    </row>
    <row r="23" spans="2:5" ht="13.5" customHeight="1" x14ac:dyDescent="0.2">
      <c r="B23" s="1486"/>
      <c r="C23" s="323"/>
      <c r="D23" s="323"/>
      <c r="E23" s="323"/>
    </row>
    <row r="24" spans="2:5" ht="13.5" customHeight="1" x14ac:dyDescent="0.2">
      <c r="B24" s="1486"/>
      <c r="C24" s="323"/>
      <c r="D24" s="323"/>
      <c r="E24" s="323"/>
    </row>
    <row r="25" spans="2:5" ht="13.5" customHeight="1" x14ac:dyDescent="0.2">
      <c r="B25" s="1486"/>
      <c r="C25" s="323"/>
      <c r="D25" s="323"/>
      <c r="E25" s="323"/>
    </row>
    <row r="26" spans="2:5" ht="13.5" customHeight="1" x14ac:dyDescent="0.2">
      <c r="B26" s="1486"/>
      <c r="C26" s="323"/>
      <c r="D26" s="323"/>
      <c r="E26" s="323"/>
    </row>
    <row r="27" spans="2:5" ht="13.5" customHeight="1" x14ac:dyDescent="0.2">
      <c r="B27" s="1486"/>
      <c r="C27" s="323"/>
      <c r="D27" s="323"/>
      <c r="E27" s="323"/>
    </row>
    <row r="28" spans="2:5" ht="13.5" customHeight="1" x14ac:dyDescent="0.2">
      <c r="B28" s="1486"/>
      <c r="C28" s="323"/>
      <c r="D28" s="323"/>
      <c r="E28" s="323"/>
    </row>
    <row r="29" spans="2:5" ht="13.5" customHeight="1" x14ac:dyDescent="0.2">
      <c r="B29" s="1486"/>
      <c r="C29" s="323"/>
      <c r="D29" s="323"/>
      <c r="E29" s="323"/>
    </row>
    <row r="30" spans="2:5" ht="13.5" customHeight="1" x14ac:dyDescent="0.2">
      <c r="B30" s="1486"/>
      <c r="C30" s="323"/>
      <c r="D30" s="323"/>
      <c r="E30" s="323"/>
    </row>
    <row r="31" spans="2:5" ht="13.5" customHeight="1" x14ac:dyDescent="0.2">
      <c r="B31" s="1486"/>
      <c r="C31" s="323"/>
      <c r="D31" s="323"/>
      <c r="E31" s="323"/>
    </row>
    <row r="32" spans="2:5" ht="13.5" customHeight="1" x14ac:dyDescent="0.2">
      <c r="B32" s="1488"/>
      <c r="C32" s="323"/>
      <c r="D32" s="323"/>
      <c r="E32" s="323"/>
    </row>
    <row r="33" spans="2:5" ht="13.5" customHeight="1" x14ac:dyDescent="0.2">
      <c r="B33" s="1489"/>
      <c r="C33" s="323"/>
      <c r="D33" s="323"/>
      <c r="E33" s="323"/>
    </row>
    <row r="34" spans="2:5" ht="13.5" customHeight="1" x14ac:dyDescent="0.2">
      <c r="B34" s="1490"/>
      <c r="C34" s="323"/>
      <c r="D34" s="323"/>
      <c r="E34" s="323"/>
    </row>
    <row r="35" spans="2:5" ht="13.5" customHeight="1" x14ac:dyDescent="0.2">
      <c r="B35" s="1489"/>
      <c r="C35" s="323"/>
      <c r="D35" s="323"/>
      <c r="E35" s="323"/>
    </row>
    <row r="36" spans="2:5" ht="13.5" customHeight="1" x14ac:dyDescent="0.2">
      <c r="B36" s="1490"/>
      <c r="C36" s="323"/>
      <c r="D36" s="323"/>
      <c r="E36" s="323"/>
    </row>
    <row r="37" spans="2:5" ht="13.5" customHeight="1" x14ac:dyDescent="0.2">
      <c r="B37" s="1490"/>
      <c r="C37" s="323"/>
      <c r="D37" s="323"/>
      <c r="E37" s="323"/>
    </row>
    <row r="38" spans="2:5" ht="13.5" customHeight="1" x14ac:dyDescent="0.2">
      <c r="B38" s="1489"/>
      <c r="C38" s="323"/>
      <c r="D38" s="323"/>
      <c r="E38" s="323"/>
    </row>
    <row r="39" spans="2:5" ht="13.5" customHeight="1" x14ac:dyDescent="0.2">
      <c r="B39" s="1490"/>
      <c r="C39" s="323"/>
      <c r="D39" s="323"/>
      <c r="E39" s="323"/>
    </row>
    <row r="40" spans="2:5" ht="13.5" customHeight="1" x14ac:dyDescent="0.2">
      <c r="B40" s="1489"/>
      <c r="C40" s="323"/>
      <c r="D40" s="323"/>
      <c r="E40" s="323"/>
    </row>
    <row r="41" spans="2:5" ht="13.5" customHeight="1" x14ac:dyDescent="0.2">
      <c r="B41" s="1491"/>
      <c r="C41" s="323"/>
      <c r="D41" s="323"/>
      <c r="E41" s="323"/>
    </row>
    <row r="42" spans="2:5" ht="13.5" customHeight="1" x14ac:dyDescent="0.2">
      <c r="B42" s="1492"/>
      <c r="C42" s="323"/>
      <c r="D42" s="323"/>
      <c r="E42" s="323"/>
    </row>
    <row r="43" spans="2:5" ht="12.75" customHeight="1" x14ac:dyDescent="0.2">
      <c r="B43" s="1493"/>
      <c r="C43" s="1494"/>
      <c r="D43" s="1494"/>
      <c r="E43" s="323"/>
    </row>
    <row r="44" spans="2:5" ht="12.2" customHeight="1" x14ac:dyDescent="0.2">
      <c r="B44" s="1247" t="s">
        <v>1379</v>
      </c>
      <c r="C44" s="322"/>
    </row>
    <row r="45" spans="2:5" ht="12.2" customHeight="1" x14ac:dyDescent="0.2">
      <c r="B45" s="1495" t="s">
        <v>1871</v>
      </c>
    </row>
    <row r="46" spans="2:5" ht="12.2" customHeight="1" x14ac:dyDescent="0.2">
      <c r="B46" s="1495" t="s">
        <v>1872</v>
      </c>
    </row>
    <row r="47" spans="2:5" ht="12.2" customHeight="1" x14ac:dyDescent="0.2">
      <c r="B47" s="1496" t="s">
        <v>1378</v>
      </c>
    </row>
    <row r="48" spans="2:5" ht="12.2" customHeight="1" x14ac:dyDescent="0.2">
      <c r="B48" s="1496" t="s">
        <v>1377</v>
      </c>
    </row>
    <row r="49" spans="2:5" ht="12.2" customHeight="1" x14ac:dyDescent="0.2">
      <c r="B49" s="1496" t="s">
        <v>1376</v>
      </c>
    </row>
    <row r="50" spans="2:5" ht="12.2" customHeight="1" x14ac:dyDescent="0.2">
      <c r="B50" s="1496" t="s">
        <v>1375</v>
      </c>
    </row>
    <row r="53" spans="2:5" ht="12.75" customHeight="1" x14ac:dyDescent="0.2"/>
    <row r="54" spans="2:5" ht="12.75" customHeight="1" x14ac:dyDescent="0.2">
      <c r="B54" s="125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9"/>
    </row>
    <row r="68" spans="2:2" x14ac:dyDescent="0.2">
      <c r="B68" s="1290"/>
    </row>
    <row r="69" spans="2:2" x14ac:dyDescent="0.2">
      <c r="B69" s="1290"/>
    </row>
    <row r="70" spans="2:2" x14ac:dyDescent="0.2">
      <c r="B70" s="1410"/>
    </row>
    <row r="71" spans="2:2" x14ac:dyDescent="0.2">
      <c r="B71" s="1410"/>
    </row>
    <row r="72" spans="2:2" x14ac:dyDescent="0.2">
      <c r="B72" s="1410"/>
    </row>
    <row r="73" spans="2:2" x14ac:dyDescent="0.2">
      <c r="B73" s="129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914"/>
  <sheetViews>
    <sheetView topLeftCell="A556" workbookViewId="0">
      <selection activeCell="F569" sqref="F569"/>
    </sheetView>
  </sheetViews>
  <sheetFormatPr defaultRowHeight="15" x14ac:dyDescent="0.25"/>
  <cols>
    <col min="1" max="1" width="13.7109375" style="1951" bestFit="1" customWidth="1"/>
    <col min="2" max="2" width="16.7109375" style="1951" customWidth="1"/>
    <col min="3" max="3" width="55.85546875" style="1951" bestFit="1" customWidth="1"/>
    <col min="4" max="5" width="12.7109375" style="1951" bestFit="1" customWidth="1"/>
    <col min="6" max="6" width="15.140625" style="1951" bestFit="1" customWidth="1"/>
    <col min="7" max="7" width="14.140625" style="1951" bestFit="1" customWidth="1"/>
    <col min="8" max="8" width="22.5703125" style="1949" customWidth="1"/>
    <col min="9" max="9" width="11.7109375" style="1951" bestFit="1" customWidth="1"/>
    <col min="10" max="16384" width="9.140625" style="1951"/>
  </cols>
  <sheetData>
    <row r="1" spans="1:9" ht="24.75" x14ac:dyDescent="0.4">
      <c r="A1" s="2518" t="s">
        <v>3368</v>
      </c>
      <c r="B1" s="2519"/>
      <c r="C1" s="2519"/>
      <c r="D1" s="2519"/>
      <c r="E1" s="2519"/>
      <c r="F1" s="2519"/>
      <c r="G1" s="2519"/>
      <c r="H1" s="2519"/>
    </row>
    <row r="2" spans="1:9" s="1944" customFormat="1" ht="57" customHeight="1" x14ac:dyDescent="0.25">
      <c r="A2" s="1944" t="s">
        <v>1038</v>
      </c>
      <c r="D2" s="1945" t="s">
        <v>2090</v>
      </c>
      <c r="E2" s="1945" t="s">
        <v>2091</v>
      </c>
      <c r="F2" s="1945" t="s">
        <v>2092</v>
      </c>
      <c r="G2" s="1945" t="s">
        <v>2093</v>
      </c>
      <c r="H2" s="1946" t="s">
        <v>2094</v>
      </c>
    </row>
    <row r="3" spans="1:9" x14ac:dyDescent="0.25">
      <c r="A3" s="1947" t="s">
        <v>2866</v>
      </c>
      <c r="B3" s="1947" t="s">
        <v>2698</v>
      </c>
      <c r="C3" s="1947" t="s">
        <v>2095</v>
      </c>
      <c r="D3" s="1948">
        <v>22525345.190000001</v>
      </c>
      <c r="E3" s="1948">
        <v>22213415.850000001</v>
      </c>
      <c r="F3" s="1948">
        <v>311929.34000000003</v>
      </c>
      <c r="G3" s="1948">
        <v>3068915.3</v>
      </c>
      <c r="H3" s="1949" t="str">
        <f>IFERROR(IF(F3&gt;=VLOOKUP(A3,[1]Materiality!$I$6:$J$12,2,TRUE),IFERROR(IF(VLOOKUP("*CR",F3,1,FALSE)&gt;=0,"",VLOOKUP("*CR",F3,1,FALSE)),F3),""),"")</f>
        <v/>
      </c>
      <c r="I3" s="1950"/>
    </row>
    <row r="4" spans="1:9" x14ac:dyDescent="0.25">
      <c r="A4" s="1947" t="s">
        <v>2867</v>
      </c>
      <c r="B4" s="1947" t="s">
        <v>2698</v>
      </c>
      <c r="C4" s="1947" t="s">
        <v>2096</v>
      </c>
      <c r="D4" s="1948">
        <v>133382.6</v>
      </c>
      <c r="E4" s="1948">
        <v>146858.89000000001</v>
      </c>
      <c r="F4" s="1948">
        <v>13476.29</v>
      </c>
      <c r="G4" s="1948">
        <v>338436.46</v>
      </c>
      <c r="H4" s="1949" t="str">
        <f>IFERROR(IF(F4&gt;=VLOOKUP(A4,[1]Materiality!$I$6:$J$12,2,TRUE),IFERROR(IF(VLOOKUP("*CR",F4,1,FALSE)&gt;=0,"",VLOOKUP("*CR",F4,1,FALSE)),F4),""),"")</f>
        <v/>
      </c>
      <c r="I4" s="1950"/>
    </row>
    <row r="5" spans="1:9" x14ac:dyDescent="0.25">
      <c r="A5" s="1947" t="s">
        <v>2868</v>
      </c>
      <c r="B5" s="1947" t="s">
        <v>2698</v>
      </c>
      <c r="C5" s="1947" t="s">
        <v>2097</v>
      </c>
      <c r="D5" s="1947">
        <v>0</v>
      </c>
      <c r="E5" s="1947">
        <v>0</v>
      </c>
      <c r="F5" s="1947">
        <v>0</v>
      </c>
      <c r="G5" s="1948">
        <v>63324.35</v>
      </c>
      <c r="H5" s="1949" t="str">
        <f>IFERROR(IF(F5&gt;=VLOOKUP(A5,[1]Materiality!$I$6:$J$12,2,TRUE),IFERROR(IF(VLOOKUP("*CR",F5,1,FALSE)&gt;=0,"",VLOOKUP("*CR",F5,1,FALSE)),F5),""),"")</f>
        <v/>
      </c>
      <c r="I5" s="1950"/>
    </row>
    <row r="6" spans="1:9" x14ac:dyDescent="0.25">
      <c r="A6" s="1947" t="s">
        <v>2869</v>
      </c>
      <c r="B6" s="1947" t="s">
        <v>2698</v>
      </c>
      <c r="C6" s="1947" t="s">
        <v>2098</v>
      </c>
      <c r="D6" s="1948">
        <v>12464.98</v>
      </c>
      <c r="E6" s="1948">
        <v>11871.09</v>
      </c>
      <c r="F6" s="1947">
        <v>593.89</v>
      </c>
      <c r="G6" s="1948">
        <v>121615.31</v>
      </c>
      <c r="H6" s="1949" t="str">
        <f>IFERROR(IF(F6&gt;=VLOOKUP(A6,[1]Materiality!$I$6:$J$12,2,TRUE),IFERROR(IF(VLOOKUP("*CR",F6,1,FALSE)&gt;=0,"",VLOOKUP("*CR",F6,1,FALSE)),F6),""),"")</f>
        <v/>
      </c>
      <c r="I6" s="1950"/>
    </row>
    <row r="7" spans="1:9" x14ac:dyDescent="0.25">
      <c r="A7" s="1947" t="s">
        <v>2870</v>
      </c>
      <c r="B7" s="1947" t="s">
        <v>2698</v>
      </c>
      <c r="C7" s="1947" t="s">
        <v>2099</v>
      </c>
      <c r="D7" s="1947">
        <v>0</v>
      </c>
      <c r="E7" s="1947">
        <v>16.98</v>
      </c>
      <c r="F7" s="1947">
        <v>16.98</v>
      </c>
      <c r="G7" s="1947" t="s">
        <v>2100</v>
      </c>
      <c r="H7" s="1949" t="str">
        <f>IFERROR(IF(F7&gt;=VLOOKUP(A7,[1]Materiality!$I$6:$J$12,2,TRUE),IFERROR(IF(VLOOKUP("*CR",F7,1,FALSE)&gt;=0,"",VLOOKUP("*CR",F7,1,FALSE)),F7),""),"")</f>
        <v/>
      </c>
      <c r="I7" s="1950"/>
    </row>
    <row r="8" spans="1:9" x14ac:dyDescent="0.25">
      <c r="A8" s="1947" t="s">
        <v>2871</v>
      </c>
      <c r="B8" s="1947" t="s">
        <v>2698</v>
      </c>
      <c r="C8" s="1947" t="s">
        <v>2101</v>
      </c>
      <c r="D8" s="1948">
        <v>74066.070000000007</v>
      </c>
      <c r="E8" s="1948">
        <v>80130.84</v>
      </c>
      <c r="F8" s="1948">
        <v>6064.77</v>
      </c>
      <c r="G8" s="1948">
        <v>13003.63</v>
      </c>
      <c r="H8" s="1949" t="str">
        <f>IFERROR(IF(F8&gt;=VLOOKUP(A8,[1]Materiality!$I$6:$J$12,2,TRUE),IFERROR(IF(VLOOKUP("*CR",F8,1,FALSE)&gt;=0,"",VLOOKUP("*CR",F8,1,FALSE)),F8),""),"")</f>
        <v/>
      </c>
      <c r="I8" s="1950"/>
    </row>
    <row r="9" spans="1:9" x14ac:dyDescent="0.25">
      <c r="A9" s="1947" t="s">
        <v>2872</v>
      </c>
      <c r="B9" s="1947" t="s">
        <v>2698</v>
      </c>
      <c r="C9" s="1947" t="s">
        <v>2102</v>
      </c>
      <c r="D9" s="1948">
        <v>25399.09</v>
      </c>
      <c r="E9" s="1948">
        <v>25302.29</v>
      </c>
      <c r="F9" s="1947">
        <v>96.8</v>
      </c>
      <c r="G9" s="1948">
        <v>9906.32</v>
      </c>
      <c r="H9" s="1949" t="str">
        <f>IFERROR(IF(F9&gt;=VLOOKUP(A9,[1]Materiality!$I$6:$J$12,2,TRUE),IFERROR(IF(VLOOKUP("*CR",F9,1,FALSE)&gt;=0,"",VLOOKUP("*CR",F9,1,FALSE)),F9),""),"")</f>
        <v/>
      </c>
      <c r="I9" s="1950"/>
    </row>
    <row r="10" spans="1:9" x14ac:dyDescent="0.25">
      <c r="A10" s="1947" t="s">
        <v>2873</v>
      </c>
      <c r="B10" s="1947" t="s">
        <v>2698</v>
      </c>
      <c r="C10" s="1947" t="s">
        <v>2103</v>
      </c>
      <c r="D10" s="1947">
        <v>0</v>
      </c>
      <c r="E10" s="1947">
        <v>0</v>
      </c>
      <c r="F10" s="1947">
        <v>0</v>
      </c>
      <c r="G10" s="1947" t="s">
        <v>2104</v>
      </c>
      <c r="H10" s="1949" t="str">
        <f>IFERROR(IF(F10&gt;=VLOOKUP(A10,[1]Materiality!$I$6:$J$12,2,TRUE),IFERROR(IF(VLOOKUP("*CR",F10,1,FALSE)&gt;=0,"",VLOOKUP("*CR",F10,1,FALSE)),F10),""),"")</f>
        <v/>
      </c>
      <c r="I10" s="1950"/>
    </row>
    <row r="11" spans="1:9" x14ac:dyDescent="0.25">
      <c r="A11" s="1947" t="s">
        <v>2874</v>
      </c>
      <c r="B11" s="1947" t="s">
        <v>2698</v>
      </c>
      <c r="C11" s="1947" t="s">
        <v>2105</v>
      </c>
      <c r="D11" s="1948">
        <v>5765136.3899999997</v>
      </c>
      <c r="E11" s="1948">
        <v>5241035.3099999996</v>
      </c>
      <c r="F11" s="1948">
        <v>524101.08</v>
      </c>
      <c r="G11" s="1948">
        <v>530266.38</v>
      </c>
      <c r="H11" s="1949" t="str">
        <f>IFERROR(IF(F11&gt;=VLOOKUP(A11,[1]Materiality!$I$6:$J$12,2,TRUE),IFERROR(IF(VLOOKUP("*CR",F11,1,FALSE)&gt;=0,"",VLOOKUP("*CR",F11,1,FALSE)),F11),""),"")</f>
        <v/>
      </c>
      <c r="I11" s="1950"/>
    </row>
    <row r="12" spans="1:9" x14ac:dyDescent="0.25">
      <c r="A12" s="1947" t="s">
        <v>2875</v>
      </c>
      <c r="B12" s="1947" t="s">
        <v>2698</v>
      </c>
      <c r="C12" s="1947" t="s">
        <v>2106</v>
      </c>
      <c r="D12" s="1947">
        <v>0</v>
      </c>
      <c r="E12" s="1947">
        <v>0</v>
      </c>
      <c r="F12" s="1947">
        <v>0</v>
      </c>
      <c r="G12" s="1948">
        <v>4115721.47</v>
      </c>
      <c r="H12" s="1949" t="str">
        <f>IFERROR(IF(F12&gt;=VLOOKUP(A12,[1]Materiality!$I$6:$J$12,2,TRUE),IFERROR(IF(VLOOKUP("*CR",F12,1,FALSE)&gt;=0,"",VLOOKUP("*CR",F12,1,FALSE)),F12),""),"")</f>
        <v/>
      </c>
      <c r="I12" s="1950"/>
    </row>
    <row r="13" spans="1:9" x14ac:dyDescent="0.25">
      <c r="A13" s="1947" t="s">
        <v>2876</v>
      </c>
      <c r="B13" s="1947" t="s">
        <v>2698</v>
      </c>
      <c r="C13" s="1947" t="s">
        <v>2107</v>
      </c>
      <c r="D13" s="1948">
        <v>55582.75</v>
      </c>
      <c r="E13" s="1947">
        <v>0</v>
      </c>
      <c r="F13" s="1948">
        <v>55582.75</v>
      </c>
      <c r="G13" s="1948">
        <v>883810.71</v>
      </c>
      <c r="H13" s="1949" t="str">
        <f>IFERROR(IF(F13&gt;=VLOOKUP(A13,[1]Materiality!$I$6:$J$12,2,TRUE),IFERROR(IF(VLOOKUP("*CR",F13,1,FALSE)&gt;=0,"",VLOOKUP("*CR",F13,1,FALSE)),F13),""),"")</f>
        <v/>
      </c>
      <c r="I13" s="1950"/>
    </row>
    <row r="14" spans="1:9" x14ac:dyDescent="0.25">
      <c r="A14" s="1947" t="s">
        <v>2877</v>
      </c>
      <c r="B14" s="1947" t="s">
        <v>2698</v>
      </c>
      <c r="C14" s="1947" t="s">
        <v>2108</v>
      </c>
      <c r="D14" s="1948">
        <v>5146715.46</v>
      </c>
      <c r="E14" s="1948">
        <v>5147703.46</v>
      </c>
      <c r="F14" s="1947">
        <v>988</v>
      </c>
      <c r="G14" s="1947" t="s">
        <v>2109</v>
      </c>
      <c r="H14" s="1949" t="str">
        <f>IFERROR(IF(F14&gt;=VLOOKUP(A14,[1]Materiality!$I$6:$J$12,2,TRUE),IFERROR(IF(VLOOKUP("*CR",F14,1,FALSE)&gt;=0,"",VLOOKUP("*CR",F14,1,FALSE)),F14),""),"")</f>
        <v/>
      </c>
      <c r="I14" s="1950"/>
    </row>
    <row r="15" spans="1:9" x14ac:dyDescent="0.25">
      <c r="A15" s="1947" t="s">
        <v>2878</v>
      </c>
      <c r="B15" s="1947" t="s">
        <v>2698</v>
      </c>
      <c r="C15" s="1947" t="s">
        <v>2110</v>
      </c>
      <c r="D15" s="1948">
        <v>934958.02</v>
      </c>
      <c r="E15" s="1948">
        <v>949769.03</v>
      </c>
      <c r="F15" s="1948">
        <v>14811.01</v>
      </c>
      <c r="G15" s="1947">
        <v>0</v>
      </c>
      <c r="H15" s="1949" t="str">
        <f>IFERROR(IF(F15&gt;=VLOOKUP(A15,[1]Materiality!$I$6:$J$12,2,TRUE),IFERROR(IF(VLOOKUP("*CR",F15,1,FALSE)&gt;=0,"",VLOOKUP("*CR",F15,1,FALSE)),F15),""),"")</f>
        <v/>
      </c>
      <c r="I15" s="1950"/>
    </row>
    <row r="16" spans="1:9" x14ac:dyDescent="0.25">
      <c r="A16" s="1947" t="s">
        <v>2879</v>
      </c>
      <c r="B16" s="1947" t="s">
        <v>2698</v>
      </c>
      <c r="C16" s="1947" t="s">
        <v>2111</v>
      </c>
      <c r="D16" s="1948">
        <v>799284.88</v>
      </c>
      <c r="E16" s="1948">
        <v>795811.42</v>
      </c>
      <c r="F16" s="1948">
        <v>3473.46</v>
      </c>
      <c r="G16" s="1947">
        <v>0</v>
      </c>
      <c r="H16" s="1949" t="str">
        <f>IFERROR(IF(F16&gt;=VLOOKUP(A16,[1]Materiality!$I$6:$J$12,2,TRUE),IFERROR(IF(VLOOKUP("*CR",F16,1,FALSE)&gt;=0,"",VLOOKUP("*CR",F16,1,FALSE)),F16),""),"")</f>
        <v/>
      </c>
      <c r="I16" s="1950"/>
    </row>
    <row r="17" spans="1:8" x14ac:dyDescent="0.25">
      <c r="A17" s="1947" t="s">
        <v>2880</v>
      </c>
      <c r="B17" s="1947" t="s">
        <v>2698</v>
      </c>
      <c r="C17" s="1947" t="s">
        <v>2112</v>
      </c>
      <c r="D17" s="1948">
        <v>353109.89</v>
      </c>
      <c r="E17" s="1948">
        <v>353109.89</v>
      </c>
      <c r="F17" s="1947">
        <v>0</v>
      </c>
      <c r="G17" s="1947">
        <v>0</v>
      </c>
      <c r="H17" s="1949" t="str">
        <f>IFERROR(IF(F17&gt;=VLOOKUP(A17,[1]Materiality!$I$6:$J$12,2,TRUE),IFERROR(IF(VLOOKUP("*CR",F17,1,FALSE)&gt;=0,"",VLOOKUP("*CR",F17,1,FALSE)),F17),""),"")</f>
        <v/>
      </c>
    </row>
    <row r="18" spans="1:8" x14ac:dyDescent="0.25">
      <c r="A18" s="1947" t="s">
        <v>2881</v>
      </c>
      <c r="B18" s="1947" t="s">
        <v>2698</v>
      </c>
      <c r="C18" s="1947" t="s">
        <v>2113</v>
      </c>
      <c r="D18" s="1948">
        <v>36461.480000000003</v>
      </c>
      <c r="E18" s="1948">
        <v>36461.480000000003</v>
      </c>
      <c r="F18" s="1947">
        <v>0</v>
      </c>
      <c r="G18" s="1947">
        <v>0</v>
      </c>
      <c r="H18" s="1949" t="str">
        <f>IFERROR(IF(F18&gt;=VLOOKUP(A18,[1]Materiality!$I$6:$J$12,2,TRUE),IFERROR(IF(VLOOKUP("*CR",F18,1,FALSE)&gt;=0,"",VLOOKUP("*CR",F18,1,FALSE)),F18),""),"")</f>
        <v/>
      </c>
    </row>
    <row r="19" spans="1:8" x14ac:dyDescent="0.25">
      <c r="A19" s="1947" t="s">
        <v>2882</v>
      </c>
      <c r="B19" s="1947" t="s">
        <v>2698</v>
      </c>
      <c r="C19" s="1947" t="s">
        <v>2114</v>
      </c>
      <c r="D19" s="1948">
        <v>120573.34</v>
      </c>
      <c r="E19" s="1948">
        <v>120573.34</v>
      </c>
      <c r="F19" s="1947">
        <v>0</v>
      </c>
      <c r="G19" s="1947">
        <v>0</v>
      </c>
      <c r="H19" s="1949" t="str">
        <f>IFERROR(IF(F19&gt;=VLOOKUP(A19,[1]Materiality!$I$6:$J$12,2,TRUE),IFERROR(IF(VLOOKUP("*CR",F19,1,FALSE)&gt;=0,"",VLOOKUP("*CR",F19,1,FALSE)),F19),""),"")</f>
        <v/>
      </c>
    </row>
    <row r="20" spans="1:8" x14ac:dyDescent="0.25">
      <c r="A20" s="1947" t="s">
        <v>2883</v>
      </c>
      <c r="B20" s="1947" t="s">
        <v>2698</v>
      </c>
      <c r="C20" s="1947" t="s">
        <v>2115</v>
      </c>
      <c r="D20" s="1948">
        <v>15355.2</v>
      </c>
      <c r="E20" s="1948">
        <v>15321.66</v>
      </c>
      <c r="F20" s="1947">
        <v>33.54</v>
      </c>
      <c r="G20" s="1947">
        <v>287.88</v>
      </c>
      <c r="H20" s="1949" t="str">
        <f>IFERROR(IF(F20&gt;=VLOOKUP(A20,[1]Materiality!$I$6:$J$12,2,TRUE),IFERROR(IF(VLOOKUP("*CR",F20,1,FALSE)&gt;=0,"",VLOOKUP("*CR",F20,1,FALSE)),F20),""),"")</f>
        <v/>
      </c>
    </row>
    <row r="21" spans="1:8" x14ac:dyDescent="0.25">
      <c r="A21" s="1947" t="s">
        <v>2884</v>
      </c>
      <c r="B21" s="1947" t="s">
        <v>2698</v>
      </c>
      <c r="C21" s="1947" t="s">
        <v>2116</v>
      </c>
      <c r="D21" s="1948">
        <v>50206.2</v>
      </c>
      <c r="E21" s="1948">
        <v>50206.2</v>
      </c>
      <c r="F21" s="1947">
        <v>0</v>
      </c>
      <c r="G21" s="1947">
        <v>0</v>
      </c>
      <c r="H21" s="1949" t="str">
        <f>IFERROR(IF(F21&gt;=VLOOKUP(A21,[1]Materiality!$I$6:$J$12,2,TRUE),IFERROR(IF(VLOOKUP("*CR",F21,1,FALSE)&gt;=0,"",VLOOKUP("*CR",F21,1,FALSE)),F21),""),"")</f>
        <v/>
      </c>
    </row>
    <row r="22" spans="1:8" x14ac:dyDescent="0.25">
      <c r="A22" s="1947" t="s">
        <v>2885</v>
      </c>
      <c r="B22" s="1947" t="s">
        <v>2698</v>
      </c>
      <c r="C22" s="1947" t="s">
        <v>2117</v>
      </c>
      <c r="D22" s="1948">
        <v>111003.4</v>
      </c>
      <c r="E22" s="1948">
        <v>111003.4</v>
      </c>
      <c r="F22" s="1947">
        <v>0</v>
      </c>
      <c r="G22" s="1947">
        <v>0</v>
      </c>
      <c r="H22" s="1949" t="str">
        <f>IFERROR(IF(F22&gt;=VLOOKUP(A22,[1]Materiality!$I$6:$J$12,2,TRUE),IFERROR(IF(VLOOKUP("*CR",F22,1,FALSE)&gt;=0,"",VLOOKUP("*CR",F22,1,FALSE)),F22),""),"")</f>
        <v/>
      </c>
    </row>
    <row r="23" spans="1:8" x14ac:dyDescent="0.25">
      <c r="A23" s="1947" t="s">
        <v>2886</v>
      </c>
      <c r="B23" s="1947" t="s">
        <v>2698</v>
      </c>
      <c r="C23" s="1947" t="s">
        <v>2118</v>
      </c>
      <c r="D23" s="1948">
        <v>8985756.9600000009</v>
      </c>
      <c r="E23" s="1948">
        <v>8985756.9600000009</v>
      </c>
      <c r="F23" s="1947">
        <v>0</v>
      </c>
      <c r="G23" s="1947">
        <v>0</v>
      </c>
      <c r="H23" s="1949" t="str">
        <f>IFERROR(IF(F23&gt;=VLOOKUP(A23,[1]Materiality!$I$6:$J$12,2,TRUE),IFERROR(IF(VLOOKUP("*CR",F23,1,FALSE)&gt;=0,"",VLOOKUP("*CR",F23,1,FALSE)),F23),""),"")</f>
        <v/>
      </c>
    </row>
    <row r="24" spans="1:8" x14ac:dyDescent="0.25">
      <c r="A24" s="1947" t="s">
        <v>2887</v>
      </c>
      <c r="B24" s="1947" t="s">
        <v>2698</v>
      </c>
      <c r="C24" s="1947" t="s">
        <v>2119</v>
      </c>
      <c r="D24" s="1948">
        <v>68507.56</v>
      </c>
      <c r="E24" s="1948">
        <v>68387.72</v>
      </c>
      <c r="F24" s="1947">
        <v>119.84</v>
      </c>
      <c r="G24" s="1947">
        <v>119.84</v>
      </c>
      <c r="H24" s="1949" t="str">
        <f>IFERROR(IF(F24&gt;=VLOOKUP(A24,[1]Materiality!$I$6:$J$12,2,TRUE),IFERROR(IF(VLOOKUP("*CR",F24,1,FALSE)&gt;=0,"",VLOOKUP("*CR",F24,1,FALSE)),F24),""),"")</f>
        <v/>
      </c>
    </row>
    <row r="25" spans="1:8" x14ac:dyDescent="0.25">
      <c r="A25" s="1947" t="s">
        <v>2888</v>
      </c>
      <c r="B25" s="1947" t="s">
        <v>2698</v>
      </c>
      <c r="C25" s="1947" t="s">
        <v>2120</v>
      </c>
      <c r="D25" s="1948">
        <v>9303.49</v>
      </c>
      <c r="E25" s="1948">
        <v>9303.49</v>
      </c>
      <c r="F25" s="1947">
        <v>0</v>
      </c>
      <c r="G25" s="1947">
        <v>40.78</v>
      </c>
      <c r="H25" s="1949" t="str">
        <f>IFERROR(IF(F25&gt;=VLOOKUP(A25,[1]Materiality!$I$6:$J$12,2,TRUE),IFERROR(IF(VLOOKUP("*CR",F25,1,FALSE)&gt;=0,"",VLOOKUP("*CR",F25,1,FALSE)),F25),""),"")</f>
        <v/>
      </c>
    </row>
    <row r="26" spans="1:8" x14ac:dyDescent="0.25">
      <c r="A26" s="1947" t="s">
        <v>2889</v>
      </c>
      <c r="B26" s="1947" t="s">
        <v>2698</v>
      </c>
      <c r="C26" s="1947" t="s">
        <v>2121</v>
      </c>
      <c r="D26" s="1947">
        <v>0</v>
      </c>
      <c r="E26" s="1947">
        <v>0</v>
      </c>
      <c r="F26" s="1947">
        <v>0</v>
      </c>
      <c r="G26" s="1947" t="s">
        <v>2122</v>
      </c>
      <c r="H26" s="1949" t="str">
        <f>IFERROR(IF(F26&gt;=VLOOKUP(A26,[1]Materiality!$I$6:$J$12,2,TRUE),IFERROR(IF(VLOOKUP("*CR",F26,1,FALSE)&gt;=0,"",VLOOKUP("*CR",F26,1,FALSE)),F26),""),"")</f>
        <v/>
      </c>
    </row>
    <row r="27" spans="1:8" x14ac:dyDescent="0.25">
      <c r="A27" s="1947" t="s">
        <v>2890</v>
      </c>
      <c r="B27" s="1947" t="s">
        <v>2698</v>
      </c>
      <c r="C27" s="1947" t="s">
        <v>2123</v>
      </c>
      <c r="D27" s="1948">
        <v>4434.17</v>
      </c>
      <c r="E27" s="1948">
        <v>4434.17</v>
      </c>
      <c r="F27" s="1947">
        <v>0</v>
      </c>
      <c r="G27" s="1947">
        <v>0</v>
      </c>
      <c r="H27" s="1949" t="str">
        <f>IFERROR(IF(F27&gt;=VLOOKUP(A27,[1]Materiality!$I$6:$J$12,2,TRUE),IFERROR(IF(VLOOKUP("*CR",F27,1,FALSE)&gt;=0,"",VLOOKUP("*CR",F27,1,FALSE)),F27),""),"")</f>
        <v/>
      </c>
    </row>
    <row r="28" spans="1:8" x14ac:dyDescent="0.25">
      <c r="A28" s="1947" t="s">
        <v>2891</v>
      </c>
      <c r="B28" s="1947" t="s">
        <v>2698</v>
      </c>
      <c r="C28" s="1947" t="s">
        <v>2101</v>
      </c>
      <c r="D28" s="1948">
        <v>410121.96</v>
      </c>
      <c r="E28" s="1948">
        <v>410066.86</v>
      </c>
      <c r="F28" s="1947">
        <v>55.1</v>
      </c>
      <c r="G28" s="1947">
        <v>0</v>
      </c>
      <c r="H28" s="1949" t="str">
        <f>IFERROR(IF(F28&gt;=VLOOKUP(A28,[1]Materiality!$I$6:$J$12,2,TRUE),IFERROR(IF(VLOOKUP("*CR",F28,1,FALSE)&gt;=0,"",VLOOKUP("*CR",F28,1,FALSE)),F28),""),"")</f>
        <v/>
      </c>
    </row>
    <row r="29" spans="1:8" x14ac:dyDescent="0.25">
      <c r="A29" s="1947" t="s">
        <v>2892</v>
      </c>
      <c r="B29" s="1947" t="s">
        <v>2698</v>
      </c>
      <c r="C29" s="1947" t="s">
        <v>2124</v>
      </c>
      <c r="D29" s="1948">
        <v>159287.72</v>
      </c>
      <c r="E29" s="1948">
        <v>115825.42</v>
      </c>
      <c r="F29" s="1948">
        <v>43462.3</v>
      </c>
      <c r="G29" s="1948">
        <v>10304.89</v>
      </c>
      <c r="H29" s="1949" t="str">
        <f>IFERROR(IF(F29&gt;=VLOOKUP(A29,[1]Materiality!$I$6:$J$12,2,TRUE),IFERROR(IF(VLOOKUP("*CR",F29,1,FALSE)&gt;=0,"",VLOOKUP("*CR",F29,1,FALSE)),F29),""),"")</f>
        <v/>
      </c>
    </row>
    <row r="30" spans="1:8" x14ac:dyDescent="0.25">
      <c r="A30" s="1947" t="s">
        <v>2893</v>
      </c>
      <c r="B30" s="1947" t="s">
        <v>2698</v>
      </c>
      <c r="C30" s="1947" t="s">
        <v>2125</v>
      </c>
      <c r="D30" s="1947">
        <v>0</v>
      </c>
      <c r="E30" s="1947">
        <v>0</v>
      </c>
      <c r="F30" s="1947">
        <v>0</v>
      </c>
      <c r="G30" s="1947" t="s">
        <v>2126</v>
      </c>
      <c r="H30" s="1949" t="str">
        <f>IFERROR(IF(F30&gt;=VLOOKUP(A30,[1]Materiality!$I$6:$J$12,2,TRUE),IFERROR(IF(VLOOKUP("*CR",F30,1,FALSE)&gt;=0,"",VLOOKUP("*CR",F30,1,FALSE)),F30),""),"")</f>
        <v/>
      </c>
    </row>
    <row r="31" spans="1:8" x14ac:dyDescent="0.25">
      <c r="A31" s="1947" t="s">
        <v>2850</v>
      </c>
      <c r="B31" s="1947" t="s">
        <v>2699</v>
      </c>
      <c r="C31" s="1947" t="s">
        <v>2127</v>
      </c>
      <c r="D31" s="1948">
        <v>717982.48</v>
      </c>
      <c r="E31" s="1948">
        <v>718010.98</v>
      </c>
      <c r="F31" s="1947">
        <v>28.5</v>
      </c>
      <c r="G31" s="1947" t="s">
        <v>2128</v>
      </c>
      <c r="H31" s="1949" t="str">
        <f>IFERROR(IF(F31&gt;=VLOOKUP(A31,[1]Materiality!$I$6:$J$12,2,TRUE),IFERROR(IF(VLOOKUP("*CR",F31,1,FALSE)&gt;=0,"",VLOOKUP("*CR",F31,1,FALSE)),F31),""),"")</f>
        <v/>
      </c>
    </row>
    <row r="32" spans="1:8" x14ac:dyDescent="0.25">
      <c r="A32" s="1947" t="s">
        <v>2851</v>
      </c>
      <c r="B32" s="1947" t="s">
        <v>2699</v>
      </c>
      <c r="C32" s="1947" t="s">
        <v>2129</v>
      </c>
      <c r="D32" s="1948">
        <v>15990662.33</v>
      </c>
      <c r="E32" s="1948">
        <v>16894724.879999999</v>
      </c>
      <c r="F32" s="1948">
        <v>904062.55</v>
      </c>
      <c r="G32" s="1947" t="s">
        <v>2130</v>
      </c>
      <c r="H32" s="1949">
        <f>IFERROR(IF(F32&gt;=VLOOKUP(A32,[1]Materiality!$I$6:$J$12,2,TRUE),IFERROR(IF(VLOOKUP("*CR",F32,1,FALSE)&gt;=0,"",VLOOKUP("*CR",F32,1,FALSE)),F32),""),"")</f>
        <v>904062.55</v>
      </c>
    </row>
    <row r="33" spans="1:8" x14ac:dyDescent="0.25">
      <c r="A33" s="1947" t="s">
        <v>1038</v>
      </c>
      <c r="B33" s="1947"/>
      <c r="C33" s="1947"/>
      <c r="D33" s="1947"/>
      <c r="E33" s="1947"/>
      <c r="F33" s="1947"/>
      <c r="G33" s="1947"/>
      <c r="H33" s="1949" t="str">
        <f>IFERROR(IF(F33&gt;=VLOOKUP(A33,[1]Materiality!$I$6:$J$12,2,TRUE),IFERROR(IF(VLOOKUP("*CR",F33,1,FALSE)&gt;=0,"",VLOOKUP("*CR",F33,1,FALSE)),F33),""),"")</f>
        <v/>
      </c>
    </row>
    <row r="34" spans="1:8" x14ac:dyDescent="0.25">
      <c r="A34" s="1952" t="s">
        <v>2852</v>
      </c>
      <c r="B34" s="1952" t="s">
        <v>2700</v>
      </c>
      <c r="C34" s="1947" t="s">
        <v>2131</v>
      </c>
      <c r="D34" s="1948">
        <v>62505101.609999999</v>
      </c>
      <c r="E34" s="1948">
        <v>62505101.609999999</v>
      </c>
      <c r="F34" s="1947">
        <v>0</v>
      </c>
      <c r="G34" s="1947">
        <v>0</v>
      </c>
      <c r="H34" s="1949" t="str">
        <f>IFERROR(IF(F34&gt;=VLOOKUP(A34,[1]Materiality!$I$6:$J$12,2,TRUE),IFERROR(IF(VLOOKUP("*CR",F34,1,FALSE)&gt;=0,"",VLOOKUP("*CR",F34,1,FALSE)),F34),""),"")</f>
        <v/>
      </c>
    </row>
    <row r="35" spans="1:8" x14ac:dyDescent="0.25">
      <c r="A35" s="1947" t="s">
        <v>1038</v>
      </c>
      <c r="B35" s="1947"/>
      <c r="C35" s="1947"/>
      <c r="D35" s="1947"/>
      <c r="E35" s="1947"/>
      <c r="F35" s="1947"/>
      <c r="G35" s="1947"/>
      <c r="H35" s="1949" t="str">
        <f>IFERROR(IF(F35&gt;=VLOOKUP(A35,[1]Materiality!$I$6:$J$12,2,TRUE),IFERROR(IF(VLOOKUP("*CR",F35,1,FALSE)&gt;=0,"",VLOOKUP("*CR",F35,1,FALSE)),F35),""),"")</f>
        <v/>
      </c>
    </row>
    <row r="36" spans="1:8" x14ac:dyDescent="0.25">
      <c r="A36" s="1947" t="s">
        <v>2894</v>
      </c>
      <c r="B36" s="1947" t="s">
        <v>2698</v>
      </c>
      <c r="C36" s="1947" t="s">
        <v>2132</v>
      </c>
      <c r="D36" s="1947">
        <v>0</v>
      </c>
      <c r="E36" s="1948">
        <v>7084481.4400000004</v>
      </c>
      <c r="F36" s="1948">
        <v>7084481.4400000004</v>
      </c>
      <c r="G36" s="1947"/>
      <c r="H36" s="1949" t="str">
        <f>IFERROR(IF(F36&gt;=VLOOKUP(A36,[1]Materiality!$I$6:$J$12,2,TRUE),IFERROR(IF(VLOOKUP("*CR",F36,1,FALSE)&gt;=0,"",VLOOKUP("*CR",F36,1,FALSE)),F36),""),"")</f>
        <v/>
      </c>
    </row>
    <row r="37" spans="1:8" x14ac:dyDescent="0.25">
      <c r="A37" s="1947" t="s">
        <v>2895</v>
      </c>
      <c r="B37" s="1947" t="s">
        <v>2698</v>
      </c>
      <c r="C37" s="1947" t="s">
        <v>2132</v>
      </c>
      <c r="D37" s="1947">
        <v>0</v>
      </c>
      <c r="E37" s="1948">
        <v>278858.8</v>
      </c>
      <c r="F37" s="1948">
        <v>278858.8</v>
      </c>
      <c r="G37" s="1947"/>
      <c r="H37" s="1949" t="str">
        <f>IFERROR(IF(F37&gt;=VLOOKUP(A37,[1]Materiality!$I$6:$J$12,2,TRUE),IFERROR(IF(VLOOKUP("*CR",F37,1,FALSE)&gt;=0,"",VLOOKUP("*CR",F37,1,FALSE)),F37),""),"")</f>
        <v/>
      </c>
    </row>
    <row r="38" spans="1:8" x14ac:dyDescent="0.25">
      <c r="A38" s="1947" t="s">
        <v>2896</v>
      </c>
      <c r="B38" s="1947" t="s">
        <v>2698</v>
      </c>
      <c r="C38" s="1947" t="s">
        <v>2132</v>
      </c>
      <c r="D38" s="1947">
        <v>0</v>
      </c>
      <c r="E38" s="1948">
        <v>111544.31</v>
      </c>
      <c r="F38" s="1948">
        <v>111544.31</v>
      </c>
      <c r="G38" s="1947"/>
      <c r="H38" s="1949" t="str">
        <f>IFERROR(IF(F38&gt;=VLOOKUP(A38,[1]Materiality!$I$6:$J$12,2,TRUE),IFERROR(IF(VLOOKUP("*CR",F38,1,FALSE)&gt;=0,"",VLOOKUP("*CR",F38,1,FALSE)),F38),""),"")</f>
        <v/>
      </c>
    </row>
    <row r="39" spans="1:8" x14ac:dyDescent="0.25">
      <c r="A39" s="1947" t="s">
        <v>2897</v>
      </c>
      <c r="B39" s="1947" t="s">
        <v>2698</v>
      </c>
      <c r="C39" s="1947" t="s">
        <v>2132</v>
      </c>
      <c r="D39" s="1948">
        <v>267185.15999999997</v>
      </c>
      <c r="E39" s="1948">
        <v>1259278.04</v>
      </c>
      <c r="F39" s="1948">
        <v>992092.88</v>
      </c>
      <c r="G39" s="1947"/>
      <c r="H39" s="1949" t="str">
        <f>IFERROR(IF(F39&gt;=VLOOKUP(A39,[1]Materiality!$I$6:$J$12,2,TRUE),IFERROR(IF(VLOOKUP("*CR",F39,1,FALSE)&gt;=0,"",VLOOKUP("*CR",F39,1,FALSE)),F39),""),"")</f>
        <v/>
      </c>
    </row>
    <row r="40" spans="1:8" x14ac:dyDescent="0.25">
      <c r="A40" s="1947" t="s">
        <v>2898</v>
      </c>
      <c r="B40" s="1947" t="s">
        <v>2698</v>
      </c>
      <c r="C40" s="1947" t="s">
        <v>2132</v>
      </c>
      <c r="D40" s="1947">
        <v>350</v>
      </c>
      <c r="E40" s="1948">
        <v>1575</v>
      </c>
      <c r="F40" s="1948">
        <v>1225</v>
      </c>
      <c r="G40" s="1947"/>
      <c r="H40" s="1949" t="str">
        <f>IFERROR(IF(F40&gt;=VLOOKUP(A40,[1]Materiality!$I$6:$J$12,2,TRUE),IFERROR(IF(VLOOKUP("*CR",F40,1,FALSE)&gt;=0,"",VLOOKUP("*CR",F40,1,FALSE)),F40),""),"")</f>
        <v/>
      </c>
    </row>
    <row r="41" spans="1:8" x14ac:dyDescent="0.25">
      <c r="A41" s="1947" t="s">
        <v>2899</v>
      </c>
      <c r="B41" s="1947" t="s">
        <v>2698</v>
      </c>
      <c r="C41" s="1947" t="s">
        <v>2132</v>
      </c>
      <c r="D41" s="1947">
        <v>0</v>
      </c>
      <c r="E41" s="1948">
        <v>5250</v>
      </c>
      <c r="F41" s="1948">
        <v>5250</v>
      </c>
      <c r="G41" s="1947"/>
      <c r="H41" s="1949" t="str">
        <f>IFERROR(IF(F41&gt;=VLOOKUP(A41,[1]Materiality!$I$6:$J$12,2,TRUE),IFERROR(IF(VLOOKUP("*CR",F41,1,FALSE)&gt;=0,"",VLOOKUP("*CR",F41,1,FALSE)),F41),""),"")</f>
        <v/>
      </c>
    </row>
    <row r="42" spans="1:8" x14ac:dyDescent="0.25">
      <c r="A42" s="1947" t="s">
        <v>2873</v>
      </c>
      <c r="B42" s="1947" t="s">
        <v>2698</v>
      </c>
      <c r="C42" s="1947" t="s">
        <v>2132</v>
      </c>
      <c r="D42" s="1947">
        <v>1.29</v>
      </c>
      <c r="E42" s="1948">
        <v>109292.21</v>
      </c>
      <c r="F42" s="1948">
        <f>109290.92+3</f>
        <v>109293.92</v>
      </c>
      <c r="G42" s="1947"/>
      <c r="H42" s="1949" t="str">
        <f>IFERROR(IF(F42&gt;=VLOOKUP(A42,[1]Materiality!$I$6:$J$12,2,TRUE),IFERROR(IF(VLOOKUP("*CR",F42,1,FALSE)&gt;=0,"",VLOOKUP("*CR",F42,1,FALSE)),F42),""),"")</f>
        <v/>
      </c>
    </row>
    <row r="43" spans="1:8" x14ac:dyDescent="0.25">
      <c r="A43" s="1947" t="s">
        <v>2900</v>
      </c>
      <c r="B43" s="1947" t="s">
        <v>2698</v>
      </c>
      <c r="C43" s="1947" t="s">
        <v>2132</v>
      </c>
      <c r="D43" s="1947">
        <v>0</v>
      </c>
      <c r="E43" s="1947">
        <v>64.77</v>
      </c>
      <c r="F43" s="1947">
        <v>64.77</v>
      </c>
      <c r="G43" s="1947"/>
      <c r="H43" s="1949" t="str">
        <f>IFERROR(IF(F43&gt;=VLOOKUP(A43,[1]Materiality!$I$6:$J$12,2,TRUE),IFERROR(IF(VLOOKUP("*CR",F43,1,FALSE)&gt;=0,"",VLOOKUP("*CR",F43,1,FALSE)),F43),""),"")</f>
        <v/>
      </c>
    </row>
    <row r="44" spans="1:8" x14ac:dyDescent="0.25">
      <c r="A44" s="1947" t="s">
        <v>2901</v>
      </c>
      <c r="B44" s="1947" t="s">
        <v>2698</v>
      </c>
      <c r="C44" s="1947" t="s">
        <v>2132</v>
      </c>
      <c r="D44" s="1948">
        <v>2776.08</v>
      </c>
      <c r="E44" s="1948">
        <v>527031.24</v>
      </c>
      <c r="F44" s="1948">
        <v>524255.16</v>
      </c>
      <c r="G44" s="1947"/>
      <c r="H44" s="1949" t="str">
        <f>IFERROR(IF(F44&gt;=VLOOKUP(A44,[1]Materiality!$I$6:$J$12,2,TRUE),IFERROR(IF(VLOOKUP("*CR",F44,1,FALSE)&gt;=0,"",VLOOKUP("*CR",F44,1,FALSE)),F44),""),"")</f>
        <v/>
      </c>
    </row>
    <row r="45" spans="1:8" x14ac:dyDescent="0.25">
      <c r="A45" s="1947" t="s">
        <v>2902</v>
      </c>
      <c r="B45" s="1947" t="s">
        <v>2698</v>
      </c>
      <c r="C45" s="1947" t="s">
        <v>2132</v>
      </c>
      <c r="D45" s="1947">
        <v>0</v>
      </c>
      <c r="E45" s="1948">
        <v>3184.5</v>
      </c>
      <c r="F45" s="1948">
        <v>3184.5</v>
      </c>
      <c r="G45" s="1947"/>
      <c r="H45" s="1949" t="str">
        <f>IFERROR(IF(F45&gt;=VLOOKUP(A45,[1]Materiality!$I$6:$J$12,2,TRUE),IFERROR(IF(VLOOKUP("*CR",F45,1,FALSE)&gt;=0,"",VLOOKUP("*CR",F45,1,FALSE)),F45),""),"")</f>
        <v/>
      </c>
    </row>
    <row r="46" spans="1:8" x14ac:dyDescent="0.25">
      <c r="A46" s="1947" t="s">
        <v>2903</v>
      </c>
      <c r="B46" s="1947" t="s">
        <v>2698</v>
      </c>
      <c r="C46" s="1947" t="s">
        <v>2132</v>
      </c>
      <c r="D46" s="1947">
        <v>0</v>
      </c>
      <c r="E46" s="1948">
        <v>22297.74</v>
      </c>
      <c r="F46" s="1948">
        <v>22297.74</v>
      </c>
      <c r="G46" s="1947"/>
      <c r="H46" s="1949" t="str">
        <f>IFERROR(IF(F46&gt;=VLOOKUP(A46,[1]Materiality!$I$6:$J$12,2,TRUE),IFERROR(IF(VLOOKUP("*CR",F46,1,FALSE)&gt;=0,"",VLOOKUP("*CR",F46,1,FALSE)),F46),""),"")</f>
        <v/>
      </c>
    </row>
    <row r="47" spans="1:8" x14ac:dyDescent="0.25">
      <c r="A47" s="1947" t="s">
        <v>2904</v>
      </c>
      <c r="B47" s="1947" t="s">
        <v>2698</v>
      </c>
      <c r="C47" s="1947" t="s">
        <v>2132</v>
      </c>
      <c r="D47" s="1947">
        <v>87</v>
      </c>
      <c r="E47" s="1948">
        <v>18754.5</v>
      </c>
      <c r="F47" s="1948">
        <v>18667.5</v>
      </c>
      <c r="G47" s="1947"/>
      <c r="H47" s="1949" t="str">
        <f>IFERROR(IF(F47&gt;=VLOOKUP(A47,[1]Materiality!$I$6:$J$12,2,TRUE),IFERROR(IF(VLOOKUP("*CR",F47,1,FALSE)&gt;=0,"",VLOOKUP("*CR",F47,1,FALSE)),F47),""),"")</f>
        <v/>
      </c>
    </row>
    <row r="48" spans="1:8" x14ac:dyDescent="0.25">
      <c r="A48" s="1947" t="s">
        <v>2904</v>
      </c>
      <c r="B48" s="1947" t="s">
        <v>2698</v>
      </c>
      <c r="C48" s="1947" t="s">
        <v>2132</v>
      </c>
      <c r="D48" s="1948">
        <v>1050</v>
      </c>
      <c r="E48" s="1948">
        <v>13379.25</v>
      </c>
      <c r="F48" s="1948">
        <v>12329.25</v>
      </c>
      <c r="G48" s="1947"/>
      <c r="H48" s="1949" t="str">
        <f>IFERROR(IF(F48&gt;=VLOOKUP(A48,[1]Materiality!$I$6:$J$12,2,TRUE),IFERROR(IF(VLOOKUP("*CR",F48,1,FALSE)&gt;=0,"",VLOOKUP("*CR",F48,1,FALSE)),F48),""),"")</f>
        <v/>
      </c>
    </row>
    <row r="49" spans="1:8" x14ac:dyDescent="0.25">
      <c r="A49" s="1947" t="s">
        <v>2904</v>
      </c>
      <c r="B49" s="1947" t="s">
        <v>2698</v>
      </c>
      <c r="C49" s="1947" t="s">
        <v>2132</v>
      </c>
      <c r="D49" s="1947">
        <v>0</v>
      </c>
      <c r="E49" s="1948">
        <v>5451.32</v>
      </c>
      <c r="F49" s="1948">
        <v>5451.32</v>
      </c>
      <c r="G49" s="1947"/>
      <c r="H49" s="1949" t="str">
        <f>IFERROR(IF(F49&gt;=VLOOKUP(A49,[1]Materiality!$I$6:$J$12,2,TRUE),IFERROR(IF(VLOOKUP("*CR",F49,1,FALSE)&gt;=0,"",VLOOKUP("*CR",F49,1,FALSE)),F49),""),"")</f>
        <v/>
      </c>
    </row>
    <row r="50" spans="1:8" x14ac:dyDescent="0.25">
      <c r="A50" s="1947" t="s">
        <v>2904</v>
      </c>
      <c r="B50" s="1947" t="s">
        <v>2698</v>
      </c>
      <c r="C50" s="1947" t="s">
        <v>2132</v>
      </c>
      <c r="D50" s="1947">
        <v>0</v>
      </c>
      <c r="E50" s="1948">
        <v>16665.5</v>
      </c>
      <c r="F50" s="1948">
        <v>16665.5</v>
      </c>
      <c r="G50" s="1947"/>
      <c r="H50" s="1949" t="str">
        <f>IFERROR(IF(F50&gt;=VLOOKUP(A50,[1]Materiality!$I$6:$J$12,2,TRUE),IFERROR(IF(VLOOKUP("*CR",F50,1,FALSE)&gt;=0,"",VLOOKUP("*CR",F50,1,FALSE)),F50),""),"")</f>
        <v/>
      </c>
    </row>
    <row r="51" spans="1:8" x14ac:dyDescent="0.25">
      <c r="A51" s="1947" t="s">
        <v>2904</v>
      </c>
      <c r="B51" s="1947" t="s">
        <v>2698</v>
      </c>
      <c r="C51" s="1947" t="s">
        <v>2132</v>
      </c>
      <c r="D51" s="1947">
        <v>0</v>
      </c>
      <c r="E51" s="1948">
        <v>8450</v>
      </c>
      <c r="F51" s="1948">
        <v>8450</v>
      </c>
      <c r="G51" s="1947"/>
      <c r="H51" s="1949" t="str">
        <f>IFERROR(IF(F51&gt;=VLOOKUP(A51,[1]Materiality!$I$6:$J$12,2,TRUE),IFERROR(IF(VLOOKUP("*CR",F51,1,FALSE)&gt;=0,"",VLOOKUP("*CR",F51,1,FALSE)),F51),""),"")</f>
        <v/>
      </c>
    </row>
    <row r="52" spans="1:8" x14ac:dyDescent="0.25">
      <c r="A52" s="1947" t="s">
        <v>2904</v>
      </c>
      <c r="B52" s="1947" t="s">
        <v>2698</v>
      </c>
      <c r="C52" s="1947" t="s">
        <v>2132</v>
      </c>
      <c r="D52" s="1947">
        <v>0</v>
      </c>
      <c r="E52" s="1948">
        <v>12392.01</v>
      </c>
      <c r="F52" s="1948">
        <v>12392.01</v>
      </c>
      <c r="G52" s="1947"/>
      <c r="H52" s="1949" t="str">
        <f>IFERROR(IF(F52&gt;=VLOOKUP(A52,[1]Materiality!$I$6:$J$12,2,TRUE),IFERROR(IF(VLOOKUP("*CR",F52,1,FALSE)&gt;=0,"",VLOOKUP("*CR",F52,1,FALSE)),F52),""),"")</f>
        <v/>
      </c>
    </row>
    <row r="53" spans="1:8" x14ac:dyDescent="0.25">
      <c r="A53" s="1947" t="s">
        <v>2904</v>
      </c>
      <c r="B53" s="1947" t="s">
        <v>2698</v>
      </c>
      <c r="C53" s="1947" t="s">
        <v>2132</v>
      </c>
      <c r="D53" s="1947">
        <v>0</v>
      </c>
      <c r="E53" s="1947">
        <v>30</v>
      </c>
      <c r="F53" s="1947">
        <v>30</v>
      </c>
      <c r="G53" s="1947"/>
      <c r="H53" s="1949" t="str">
        <f>IFERROR(IF(F53&gt;=VLOOKUP(A53,[1]Materiality!$I$6:$J$12,2,TRUE),IFERROR(IF(VLOOKUP("*CR",F53,1,FALSE)&gt;=0,"",VLOOKUP("*CR",F53,1,FALSE)),F53),""),"")</f>
        <v/>
      </c>
    </row>
    <row r="54" spans="1:8" x14ac:dyDescent="0.25">
      <c r="A54" s="1947" t="s">
        <v>2905</v>
      </c>
      <c r="B54" s="1947" t="s">
        <v>2698</v>
      </c>
      <c r="C54" s="1947" t="s">
        <v>2132</v>
      </c>
      <c r="D54" s="1947">
        <v>355.25</v>
      </c>
      <c r="E54" s="1948">
        <v>12985.5</v>
      </c>
      <c r="F54" s="1948">
        <v>12630.25</v>
      </c>
      <c r="G54" s="1947"/>
      <c r="H54" s="1949" t="str">
        <f>IFERROR(IF(F54&gt;=VLOOKUP(A54,[1]Materiality!$I$6:$J$12,2,TRUE),IFERROR(IF(VLOOKUP("*CR",F54,1,FALSE)&gt;=0,"",VLOOKUP("*CR",F54,1,FALSE)),F54),""),"")</f>
        <v/>
      </c>
    </row>
    <row r="55" spans="1:8" x14ac:dyDescent="0.25">
      <c r="A55" s="1947" t="s">
        <v>2906</v>
      </c>
      <c r="B55" s="1947" t="s">
        <v>2698</v>
      </c>
      <c r="C55" s="1947" t="s">
        <v>2132</v>
      </c>
      <c r="D55" s="1948">
        <v>2175</v>
      </c>
      <c r="E55" s="1948">
        <v>54477.25</v>
      </c>
      <c r="F55" s="1948">
        <v>52302.25</v>
      </c>
      <c r="G55" s="1947"/>
      <c r="H55" s="1949" t="str">
        <f>IFERROR(IF(F55&gt;=VLOOKUP(A55,[1]Materiality!$I$6:$J$12,2,TRUE),IFERROR(IF(VLOOKUP("*CR",F55,1,FALSE)&gt;=0,"",VLOOKUP("*CR",F55,1,FALSE)),F55),""),"")</f>
        <v/>
      </c>
    </row>
    <row r="56" spans="1:8" x14ac:dyDescent="0.25">
      <c r="A56" s="1947" t="s">
        <v>2907</v>
      </c>
      <c r="B56" s="1947" t="s">
        <v>2698</v>
      </c>
      <c r="C56" s="1947" t="s">
        <v>2132</v>
      </c>
      <c r="D56" s="1947">
        <v>0</v>
      </c>
      <c r="E56" s="1947">
        <v>440</v>
      </c>
      <c r="F56" s="1947">
        <v>440</v>
      </c>
      <c r="G56" s="1947"/>
      <c r="H56" s="1949" t="str">
        <f>IFERROR(IF(F56&gt;=VLOOKUP(A56,[1]Materiality!$I$6:$J$12,2,TRUE),IFERROR(IF(VLOOKUP("*CR",F56,1,FALSE)&gt;=0,"",VLOOKUP("*CR",F56,1,FALSE)),F56),""),"")</f>
        <v/>
      </c>
    </row>
    <row r="57" spans="1:8" x14ac:dyDescent="0.25">
      <c r="A57" s="1947" t="s">
        <v>2908</v>
      </c>
      <c r="B57" s="1947" t="s">
        <v>2698</v>
      </c>
      <c r="C57" s="1947" t="s">
        <v>2132</v>
      </c>
      <c r="D57" s="1947">
        <v>144</v>
      </c>
      <c r="E57" s="1948">
        <v>4771.09</v>
      </c>
      <c r="F57" s="1948">
        <v>4627.09</v>
      </c>
      <c r="G57" s="1947"/>
      <c r="H57" s="1949" t="str">
        <f>IFERROR(IF(F57&gt;=VLOOKUP(A57,[1]Materiality!$I$6:$J$12,2,TRUE),IFERROR(IF(VLOOKUP("*CR",F57,1,FALSE)&gt;=0,"",VLOOKUP("*CR",F57,1,FALSE)),F57),""),"")</f>
        <v/>
      </c>
    </row>
    <row r="58" spans="1:8" x14ac:dyDescent="0.25">
      <c r="A58" s="1947" t="s">
        <v>2909</v>
      </c>
      <c r="B58" s="1947" t="s">
        <v>2698</v>
      </c>
      <c r="C58" s="1947" t="s">
        <v>2132</v>
      </c>
      <c r="D58" s="1948">
        <v>1789.88</v>
      </c>
      <c r="E58" s="1948">
        <v>120135.12</v>
      </c>
      <c r="F58" s="1948">
        <v>118345.24</v>
      </c>
      <c r="G58" s="1947"/>
      <c r="H58" s="1949" t="str">
        <f>IFERROR(IF(F58&gt;=VLOOKUP(A58,[1]Materiality!$I$6:$J$12,2,TRUE),IFERROR(IF(VLOOKUP("*CR",F58,1,FALSE)&gt;=0,"",VLOOKUP("*CR",F58,1,FALSE)),F58),""),"")</f>
        <v/>
      </c>
    </row>
    <row r="59" spans="1:8" x14ac:dyDescent="0.25">
      <c r="A59" s="1947" t="s">
        <v>2910</v>
      </c>
      <c r="B59" s="1947" t="s">
        <v>2698</v>
      </c>
      <c r="C59" s="1947" t="s">
        <v>2132</v>
      </c>
      <c r="D59" s="1947">
        <v>71</v>
      </c>
      <c r="E59" s="1947">
        <v>735.97</v>
      </c>
      <c r="F59" s="1947">
        <v>664.97</v>
      </c>
      <c r="G59" s="1947"/>
      <c r="H59" s="1949" t="str">
        <f>IFERROR(IF(F59&gt;=VLOOKUP(A59,[1]Materiality!$I$6:$J$12,2,TRUE),IFERROR(IF(VLOOKUP("*CR",F59,1,FALSE)&gt;=0,"",VLOOKUP("*CR",F59,1,FALSE)),F59),""),"")</f>
        <v/>
      </c>
    </row>
    <row r="60" spans="1:8" x14ac:dyDescent="0.25">
      <c r="A60" s="1947" t="s">
        <v>2911</v>
      </c>
      <c r="B60" s="1947" t="s">
        <v>2698</v>
      </c>
      <c r="C60" s="1947" t="s">
        <v>2132</v>
      </c>
      <c r="D60" s="1948">
        <v>1266.74</v>
      </c>
      <c r="E60" s="1948">
        <v>10820.75</v>
      </c>
      <c r="F60" s="1948">
        <v>9554.01</v>
      </c>
      <c r="G60" s="1947"/>
      <c r="H60" s="1949" t="str">
        <f>IFERROR(IF(F60&gt;=VLOOKUP(A60,[1]Materiality!$I$6:$J$12,2,TRUE),IFERROR(IF(VLOOKUP("*CR",F60,1,FALSE)&gt;=0,"",VLOOKUP("*CR",F60,1,FALSE)),F60),""),"")</f>
        <v/>
      </c>
    </row>
    <row r="61" spans="1:8" x14ac:dyDescent="0.25">
      <c r="A61" s="1947" t="s">
        <v>2912</v>
      </c>
      <c r="B61" s="1947" t="s">
        <v>2698</v>
      </c>
      <c r="C61" s="1947" t="s">
        <v>2132</v>
      </c>
      <c r="D61" s="1947">
        <v>198.3</v>
      </c>
      <c r="E61" s="1948">
        <v>24128.29</v>
      </c>
      <c r="F61" s="1948">
        <v>23929.99</v>
      </c>
      <c r="G61" s="1947"/>
      <c r="H61" s="1949" t="str">
        <f>IFERROR(IF(F61&gt;=VLOOKUP(A61,[1]Materiality!$I$6:$J$12,2,TRUE),IFERROR(IF(VLOOKUP("*CR",F61,1,FALSE)&gt;=0,"",VLOOKUP("*CR",F61,1,FALSE)),F61),""),"")</f>
        <v/>
      </c>
    </row>
    <row r="62" spans="1:8" x14ac:dyDescent="0.25">
      <c r="A62" s="1947" t="s">
        <v>2913</v>
      </c>
      <c r="B62" s="1947" t="s">
        <v>2698</v>
      </c>
      <c r="C62" s="1947" t="s">
        <v>2132</v>
      </c>
      <c r="D62" s="1947">
        <v>715</v>
      </c>
      <c r="E62" s="1948">
        <v>22365</v>
      </c>
      <c r="F62" s="1948">
        <v>21650</v>
      </c>
      <c r="G62" s="1947"/>
      <c r="H62" s="1949" t="str">
        <f>IFERROR(IF(F62&gt;=VLOOKUP(A62,[1]Materiality!$I$6:$J$12,2,TRUE),IFERROR(IF(VLOOKUP("*CR",F62,1,FALSE)&gt;=0,"",VLOOKUP("*CR",F62,1,FALSE)),F62),""),"")</f>
        <v/>
      </c>
    </row>
    <row r="63" spans="1:8" x14ac:dyDescent="0.25">
      <c r="A63" s="1947" t="s">
        <v>2914</v>
      </c>
      <c r="B63" s="1947" t="s">
        <v>2698</v>
      </c>
      <c r="C63" s="1947" t="s">
        <v>2132</v>
      </c>
      <c r="D63" s="1947">
        <v>0</v>
      </c>
      <c r="E63" s="1948">
        <v>4000</v>
      </c>
      <c r="F63" s="1948">
        <v>4000</v>
      </c>
      <c r="G63" s="1947"/>
      <c r="H63" s="1949" t="str">
        <f>IFERROR(IF(F63&gt;=VLOOKUP(A63,[1]Materiality!$I$6:$J$12,2,TRUE),IFERROR(IF(VLOOKUP("*CR",F63,1,FALSE)&gt;=0,"",VLOOKUP("*CR",F63,1,FALSE)),F63),""),"")</f>
        <v/>
      </c>
    </row>
    <row r="64" spans="1:8" x14ac:dyDescent="0.25">
      <c r="A64" s="1947" t="s">
        <v>2915</v>
      </c>
      <c r="B64" s="1947" t="s">
        <v>2698</v>
      </c>
      <c r="C64" s="1947" t="s">
        <v>2132</v>
      </c>
      <c r="D64" s="1947">
        <v>42</v>
      </c>
      <c r="E64" s="1948">
        <v>1934</v>
      </c>
      <c r="F64" s="1948">
        <v>1892</v>
      </c>
      <c r="G64" s="1947"/>
      <c r="H64" s="1949" t="str">
        <f>IFERROR(IF(F64&gt;=VLOOKUP(A64,[1]Materiality!$I$6:$J$12,2,TRUE),IFERROR(IF(VLOOKUP("*CR",F64,1,FALSE)&gt;=0,"",VLOOKUP("*CR",F64,1,FALSE)),F64),""),"")</f>
        <v/>
      </c>
    </row>
    <row r="65" spans="1:8" x14ac:dyDescent="0.25">
      <c r="A65" s="1947" t="s">
        <v>2916</v>
      </c>
      <c r="B65" s="1947" t="s">
        <v>2698</v>
      </c>
      <c r="C65" s="1947" t="s">
        <v>2132</v>
      </c>
      <c r="D65" s="1947">
        <v>0</v>
      </c>
      <c r="E65" s="1947">
        <v>147.5</v>
      </c>
      <c r="F65" s="1947">
        <v>147.5</v>
      </c>
      <c r="G65" s="1947"/>
      <c r="H65" s="1949" t="str">
        <f>IFERROR(IF(F65&gt;=VLOOKUP(A65,[1]Materiality!$I$6:$J$12,2,TRUE),IFERROR(IF(VLOOKUP("*CR",F65,1,FALSE)&gt;=0,"",VLOOKUP("*CR",F65,1,FALSE)),F65),""),"")</f>
        <v/>
      </c>
    </row>
    <row r="66" spans="1:8" x14ac:dyDescent="0.25">
      <c r="A66" s="1947" t="s">
        <v>2916</v>
      </c>
      <c r="B66" s="1947" t="s">
        <v>2698</v>
      </c>
      <c r="C66" s="1947" t="s">
        <v>2132</v>
      </c>
      <c r="D66" s="1948">
        <v>35957.43</v>
      </c>
      <c r="E66" s="1948">
        <v>43007.68</v>
      </c>
      <c r="F66" s="1948">
        <v>7050.25</v>
      </c>
      <c r="G66" s="1947"/>
      <c r="H66" s="1949" t="str">
        <f>IFERROR(IF(F66&gt;=VLOOKUP(A66,[1]Materiality!$I$6:$J$12,2,TRUE),IFERROR(IF(VLOOKUP("*CR",F66,1,FALSE)&gt;=0,"",VLOOKUP("*CR",F66,1,FALSE)),F66),""),"")</f>
        <v/>
      </c>
    </row>
    <row r="67" spans="1:8" x14ac:dyDescent="0.25">
      <c r="A67" s="1947" t="s">
        <v>2917</v>
      </c>
      <c r="B67" s="1947" t="s">
        <v>2698</v>
      </c>
      <c r="C67" s="1947" t="s">
        <v>2132</v>
      </c>
      <c r="D67" s="1947">
        <v>0</v>
      </c>
      <c r="E67" s="1948">
        <v>2307554.06</v>
      </c>
      <c r="F67" s="1948">
        <v>2307554.06</v>
      </c>
      <c r="G67" s="1947"/>
      <c r="H67" s="1949" t="str">
        <f>IFERROR(IF(F67&gt;=VLOOKUP(A67,[1]Materiality!$I$6:$J$12,2,TRUE),IFERROR(IF(VLOOKUP("*CR",F67,1,FALSE)&gt;=0,"",VLOOKUP("*CR",F67,1,FALSE)),F67),""),"")</f>
        <v/>
      </c>
    </row>
    <row r="68" spans="1:8" x14ac:dyDescent="0.25">
      <c r="A68" s="1947" t="s">
        <v>2918</v>
      </c>
      <c r="B68" s="1947" t="s">
        <v>2698</v>
      </c>
      <c r="C68" s="1947" t="s">
        <v>2132</v>
      </c>
      <c r="D68" s="1947">
        <v>0</v>
      </c>
      <c r="E68" s="1948">
        <v>292673.08</v>
      </c>
      <c r="F68" s="1948">
        <v>292673.08</v>
      </c>
      <c r="G68" s="1947"/>
      <c r="H68" s="1949" t="str">
        <f>IFERROR(IF(F68&gt;=VLOOKUP(A68,[1]Materiality!$I$6:$J$12,2,TRUE),IFERROR(IF(VLOOKUP("*CR",F68,1,FALSE)&gt;=0,"",VLOOKUP("*CR",F68,1,FALSE)),F68),""),"")</f>
        <v/>
      </c>
    </row>
    <row r="69" spans="1:8" x14ac:dyDescent="0.25">
      <c r="A69" s="1947" t="s">
        <v>2919</v>
      </c>
      <c r="B69" s="1947" t="s">
        <v>2698</v>
      </c>
      <c r="C69" s="1947" t="s">
        <v>2132</v>
      </c>
      <c r="D69" s="1947">
        <v>0</v>
      </c>
      <c r="E69" s="1948">
        <v>93536.84</v>
      </c>
      <c r="F69" s="1948">
        <v>93536.84</v>
      </c>
      <c r="G69" s="1947"/>
      <c r="H69" s="1949" t="str">
        <f>IFERROR(IF(F69&gt;=VLOOKUP(A69,[1]Materiality!$I$6:$J$12,2,TRUE),IFERROR(IF(VLOOKUP("*CR",F69,1,FALSE)&gt;=0,"",VLOOKUP("*CR",F69,1,FALSE)),F69),""),"")</f>
        <v/>
      </c>
    </row>
    <row r="70" spans="1:8" x14ac:dyDescent="0.25">
      <c r="A70" s="1947" t="s">
        <v>2920</v>
      </c>
      <c r="B70" s="1947" t="s">
        <v>2698</v>
      </c>
      <c r="C70" s="1947" t="s">
        <v>2132</v>
      </c>
      <c r="D70" s="1947">
        <v>0</v>
      </c>
      <c r="E70" s="1948">
        <v>147352.76</v>
      </c>
      <c r="F70" s="1948">
        <v>147352.76</v>
      </c>
      <c r="G70" s="1947"/>
      <c r="H70" s="1949" t="str">
        <f>IFERROR(IF(F70&gt;=VLOOKUP(A70,[1]Materiality!$I$6:$J$12,2,TRUE),IFERROR(IF(VLOOKUP("*CR",F70,1,FALSE)&gt;=0,"",VLOOKUP("*CR",F70,1,FALSE)),F70),""),"")</f>
        <v/>
      </c>
    </row>
    <row r="71" spans="1:8" x14ac:dyDescent="0.25">
      <c r="A71" s="1947" t="s">
        <v>2921</v>
      </c>
      <c r="B71" s="1947" t="s">
        <v>2698</v>
      </c>
      <c r="C71" s="1947" t="s">
        <v>2132</v>
      </c>
      <c r="D71" s="1947">
        <v>0</v>
      </c>
      <c r="E71" s="1948">
        <v>7970.56</v>
      </c>
      <c r="F71" s="1948">
        <v>7970.56</v>
      </c>
      <c r="G71" s="1947"/>
      <c r="H71" s="1949" t="str">
        <f>IFERROR(IF(F71&gt;=VLOOKUP(A71,[1]Materiality!$I$6:$J$12,2,TRUE),IFERROR(IF(VLOOKUP("*CR",F71,1,FALSE)&gt;=0,"",VLOOKUP("*CR",F71,1,FALSE)),F71),""),"")</f>
        <v/>
      </c>
    </row>
    <row r="72" spans="1:8" x14ac:dyDescent="0.25">
      <c r="A72" s="1947" t="s">
        <v>2922</v>
      </c>
      <c r="B72" s="1947" t="s">
        <v>2698</v>
      </c>
      <c r="C72" s="1947" t="s">
        <v>2132</v>
      </c>
      <c r="D72" s="1947">
        <v>0</v>
      </c>
      <c r="E72" s="1948">
        <v>2363.3000000000002</v>
      </c>
      <c r="F72" s="1948">
        <v>2363.3000000000002</v>
      </c>
      <c r="G72" s="1947"/>
      <c r="H72" s="1949" t="str">
        <f>IFERROR(IF(F72&gt;=VLOOKUP(A72,[1]Materiality!$I$6:$J$12,2,TRUE),IFERROR(IF(VLOOKUP("*CR",F72,1,FALSE)&gt;=0,"",VLOOKUP("*CR",F72,1,FALSE)),F72),""),"")</f>
        <v/>
      </c>
    </row>
    <row r="73" spans="1:8" x14ac:dyDescent="0.25">
      <c r="A73" s="1947" t="s">
        <v>2923</v>
      </c>
      <c r="B73" s="1947" t="s">
        <v>2698</v>
      </c>
      <c r="C73" s="1947" t="s">
        <v>2132</v>
      </c>
      <c r="D73" s="1947">
        <v>0</v>
      </c>
      <c r="E73" s="1948">
        <v>11958</v>
      </c>
      <c r="F73" s="1948">
        <v>11958</v>
      </c>
      <c r="G73" s="1947"/>
      <c r="H73" s="1949" t="str">
        <f>IFERROR(IF(F73&gt;=VLOOKUP(A73,[1]Materiality!$I$6:$J$12,2,TRUE),IFERROR(IF(VLOOKUP("*CR",F73,1,FALSE)&gt;=0,"",VLOOKUP("*CR",F73,1,FALSE)),F73),""),"")</f>
        <v/>
      </c>
    </row>
    <row r="74" spans="1:8" x14ac:dyDescent="0.25">
      <c r="A74" s="1947" t="s">
        <v>2924</v>
      </c>
      <c r="B74" s="1947" t="s">
        <v>2698</v>
      </c>
      <c r="C74" s="1947" t="s">
        <v>2132</v>
      </c>
      <c r="D74" s="1947">
        <v>0</v>
      </c>
      <c r="E74" s="1948">
        <v>3717</v>
      </c>
      <c r="F74" s="1948">
        <v>3717</v>
      </c>
      <c r="G74" s="1947"/>
      <c r="H74" s="1949" t="str">
        <f>IFERROR(IF(F74&gt;=VLOOKUP(A74,[1]Materiality!$I$6:$J$12,2,TRUE),IFERROR(IF(VLOOKUP("*CR",F74,1,FALSE)&gt;=0,"",VLOOKUP("*CR",F74,1,FALSE)),F74),""),"")</f>
        <v/>
      </c>
    </row>
    <row r="75" spans="1:8" x14ac:dyDescent="0.25">
      <c r="A75" s="1947" t="s">
        <v>2925</v>
      </c>
      <c r="B75" s="1947" t="s">
        <v>2698</v>
      </c>
      <c r="C75" s="1947" t="s">
        <v>2132</v>
      </c>
      <c r="D75" s="1947">
        <v>0</v>
      </c>
      <c r="E75" s="1948">
        <v>1036.1099999999999</v>
      </c>
      <c r="F75" s="1948">
        <v>1036.1099999999999</v>
      </c>
      <c r="G75" s="1947"/>
      <c r="H75" s="1949" t="str">
        <f>IFERROR(IF(F75&gt;=VLOOKUP(A75,[1]Materiality!$I$6:$J$12,2,TRUE),IFERROR(IF(VLOOKUP("*CR",F75,1,FALSE)&gt;=0,"",VLOOKUP("*CR",F75,1,FALSE)),F75),""),"")</f>
        <v/>
      </c>
    </row>
    <row r="76" spans="1:8" x14ac:dyDescent="0.25">
      <c r="A76" s="1947" t="s">
        <v>2926</v>
      </c>
      <c r="B76" s="1947" t="s">
        <v>2698</v>
      </c>
      <c r="C76" s="1947" t="s">
        <v>2132</v>
      </c>
      <c r="D76" s="1947">
        <v>0</v>
      </c>
      <c r="E76" s="1948">
        <v>1064.81</v>
      </c>
      <c r="F76" s="1948">
        <v>1064.81</v>
      </c>
      <c r="G76" s="1947"/>
      <c r="H76" s="1949" t="str">
        <f>IFERROR(IF(F76&gt;=VLOOKUP(A76,[1]Materiality!$I$6:$J$12,2,TRUE),IFERROR(IF(VLOOKUP("*CR",F76,1,FALSE)&gt;=0,"",VLOOKUP("*CR",F76,1,FALSE)),F76),""),"")</f>
        <v/>
      </c>
    </row>
    <row r="77" spans="1:8" x14ac:dyDescent="0.25">
      <c r="A77" s="1947" t="s">
        <v>2927</v>
      </c>
      <c r="B77" s="1947" t="s">
        <v>2698</v>
      </c>
      <c r="C77" s="1947" t="s">
        <v>2132</v>
      </c>
      <c r="D77" s="1947">
        <v>0</v>
      </c>
      <c r="E77" s="1948">
        <v>41998.49</v>
      </c>
      <c r="F77" s="1948">
        <v>41998.49</v>
      </c>
      <c r="G77" s="1947"/>
      <c r="H77" s="1949" t="str">
        <f>IFERROR(IF(F77&gt;=VLOOKUP(A77,[1]Materiality!$I$6:$J$12,2,TRUE),IFERROR(IF(VLOOKUP("*CR",F77,1,FALSE)&gt;=0,"",VLOOKUP("*CR",F77,1,FALSE)),F77),""),"")</f>
        <v/>
      </c>
    </row>
    <row r="78" spans="1:8" x14ac:dyDescent="0.25">
      <c r="A78" s="1947" t="s">
        <v>2928</v>
      </c>
      <c r="B78" s="1947" t="s">
        <v>2698</v>
      </c>
      <c r="C78" s="1947" t="s">
        <v>2132</v>
      </c>
      <c r="D78" s="1947">
        <v>532</v>
      </c>
      <c r="E78" s="1948">
        <v>159899.85</v>
      </c>
      <c r="F78" s="1948">
        <f>159367.85-608.85</f>
        <v>158759</v>
      </c>
      <c r="G78" s="1947"/>
      <c r="H78" s="1949" t="str">
        <f>IFERROR(IF(F78&gt;=VLOOKUP(A78,[1]Materiality!$I$6:$J$12,2,TRUE),IFERROR(IF(VLOOKUP("*CR",F78,1,FALSE)&gt;=0,"",VLOOKUP("*CR",F78,1,FALSE)),F78),""),"")</f>
        <v/>
      </c>
    </row>
    <row r="79" spans="1:8" x14ac:dyDescent="0.25">
      <c r="A79" s="1947" t="s">
        <v>2928</v>
      </c>
      <c r="B79" s="1947" t="s">
        <v>2701</v>
      </c>
      <c r="C79" s="1947" t="s">
        <v>2133</v>
      </c>
      <c r="D79" s="1947">
        <v>0</v>
      </c>
      <c r="E79" s="1948">
        <v>66342.75</v>
      </c>
      <c r="F79" s="1948">
        <f>66342.75+608.85</f>
        <v>66951.600000000006</v>
      </c>
      <c r="G79" s="1947"/>
      <c r="H79" s="1949" t="str">
        <f>IFERROR(IF(F79&gt;=VLOOKUP(A79,[1]Materiality!$I$6:$J$12,2,TRUE),IFERROR(IF(VLOOKUP("*CR",F79,1,FALSE)&gt;=0,"",VLOOKUP("*CR",F79,1,FALSE)),F79),""),"")</f>
        <v/>
      </c>
    </row>
    <row r="80" spans="1:8" x14ac:dyDescent="0.25">
      <c r="A80" s="1947" t="s">
        <v>2929</v>
      </c>
      <c r="B80" s="1947" t="s">
        <v>2698</v>
      </c>
      <c r="C80" s="1947" t="s">
        <v>2132</v>
      </c>
      <c r="D80" s="1947">
        <v>0</v>
      </c>
      <c r="E80" s="1948">
        <v>11623.24</v>
      </c>
      <c r="F80" s="1948">
        <v>11623.24</v>
      </c>
      <c r="G80" s="1947"/>
      <c r="H80" s="1949" t="str">
        <f>IFERROR(IF(F80&gt;=VLOOKUP(A80,[1]Materiality!$I$6:$J$12,2,TRUE),IFERROR(IF(VLOOKUP("*CR",F80,1,FALSE)&gt;=0,"",VLOOKUP("*CR",F80,1,FALSE)),F80),""),"")</f>
        <v/>
      </c>
    </row>
    <row r="81" spans="1:8" x14ac:dyDescent="0.25">
      <c r="A81" s="1947" t="s">
        <v>2930</v>
      </c>
      <c r="B81" s="1947" t="s">
        <v>2698</v>
      </c>
      <c r="C81" s="1947" t="s">
        <v>2132</v>
      </c>
      <c r="D81" s="1947">
        <v>0</v>
      </c>
      <c r="E81" s="1948">
        <v>276273</v>
      </c>
      <c r="F81" s="1948">
        <v>276273</v>
      </c>
      <c r="G81" s="1947"/>
      <c r="H81" s="1949" t="str">
        <f>IFERROR(IF(F81&gt;=VLOOKUP(A81,[1]Materiality!$I$6:$J$12,2,TRUE),IFERROR(IF(VLOOKUP("*CR",F81,1,FALSE)&gt;=0,"",VLOOKUP("*CR",F81,1,FALSE)),F81),""),"")</f>
        <v/>
      </c>
    </row>
    <row r="82" spans="1:8" x14ac:dyDescent="0.25">
      <c r="A82" s="1947" t="s">
        <v>2931</v>
      </c>
      <c r="B82" s="1947" t="s">
        <v>2698</v>
      </c>
      <c r="C82" s="1947" t="s">
        <v>2132</v>
      </c>
      <c r="D82" s="1948">
        <v>90199.42</v>
      </c>
      <c r="E82" s="1948">
        <v>290340.25</v>
      </c>
      <c r="F82" s="1948">
        <v>200140.83</v>
      </c>
      <c r="G82" s="1947"/>
      <c r="H82" s="1949" t="str">
        <f>IFERROR(IF(F82&gt;=VLOOKUP(A82,[1]Materiality!$I$6:$J$12,2,TRUE),IFERROR(IF(VLOOKUP("*CR",F82,1,FALSE)&gt;=0,"",VLOOKUP("*CR",F82,1,FALSE)),F82),""),"")</f>
        <v/>
      </c>
    </row>
    <row r="83" spans="1:8" x14ac:dyDescent="0.25">
      <c r="A83" s="1947" t="s">
        <v>2932</v>
      </c>
      <c r="B83" s="1947" t="s">
        <v>2698</v>
      </c>
      <c r="C83" s="1947" t="s">
        <v>2132</v>
      </c>
      <c r="D83" s="1947">
        <v>0</v>
      </c>
      <c r="E83" s="1948">
        <v>40346.46</v>
      </c>
      <c r="F83" s="1948">
        <v>40346.46</v>
      </c>
      <c r="G83" s="1947"/>
      <c r="H83" s="1949" t="str">
        <f>IFERROR(IF(F83&gt;=VLOOKUP(A83,[1]Materiality!$I$6:$J$12,2,TRUE),IFERROR(IF(VLOOKUP("*CR",F83,1,FALSE)&gt;=0,"",VLOOKUP("*CR",F83,1,FALSE)),F83),""),"")</f>
        <v/>
      </c>
    </row>
    <row r="84" spans="1:8" x14ac:dyDescent="0.25">
      <c r="A84" s="1947" t="s">
        <v>2933</v>
      </c>
      <c r="B84" s="1947" t="s">
        <v>2698</v>
      </c>
      <c r="C84" s="1947" t="s">
        <v>2132</v>
      </c>
      <c r="D84" s="1947">
        <v>0</v>
      </c>
      <c r="E84" s="1948">
        <v>4172.51</v>
      </c>
      <c r="F84" s="1948">
        <v>4172.51</v>
      </c>
      <c r="G84" s="1947"/>
      <c r="H84" s="1949" t="str">
        <f>IFERROR(IF(F84&gt;=VLOOKUP(A84,[1]Materiality!$I$6:$J$12,2,TRUE),IFERROR(IF(VLOOKUP("*CR",F84,1,FALSE)&gt;=0,"",VLOOKUP("*CR",F84,1,FALSE)),F84),""),"")</f>
        <v/>
      </c>
    </row>
    <row r="85" spans="1:8" x14ac:dyDescent="0.25">
      <c r="A85" s="1947" t="s">
        <v>2934</v>
      </c>
      <c r="B85" s="1947" t="s">
        <v>2698</v>
      </c>
      <c r="C85" s="1947" t="s">
        <v>2132</v>
      </c>
      <c r="D85" s="1947">
        <v>0</v>
      </c>
      <c r="E85" s="1948">
        <v>74809</v>
      </c>
      <c r="F85" s="1948">
        <v>74809</v>
      </c>
      <c r="G85" s="1947"/>
      <c r="H85" s="1949" t="str">
        <f>IFERROR(IF(F85&gt;=VLOOKUP(A85,[1]Materiality!$I$6:$J$12,2,TRUE),IFERROR(IF(VLOOKUP("*CR",F85,1,FALSE)&gt;=0,"",VLOOKUP("*CR",F85,1,FALSE)),F85),""),"")</f>
        <v/>
      </c>
    </row>
    <row r="86" spans="1:8" x14ac:dyDescent="0.25">
      <c r="A86" s="1947" t="s">
        <v>3369</v>
      </c>
      <c r="B86" s="1947" t="s">
        <v>2698</v>
      </c>
      <c r="C86" s="1947" t="s">
        <v>2132</v>
      </c>
      <c r="D86" s="1947">
        <v>0</v>
      </c>
      <c r="E86" s="1948">
        <v>12563</v>
      </c>
      <c r="F86" s="1948">
        <v>12563</v>
      </c>
      <c r="G86" s="1947"/>
      <c r="H86" s="1949" t="str">
        <f>IFERROR(IF(F86&gt;=VLOOKUP(A86,[1]Materiality!$I$6:$J$12,2,TRUE),IFERROR(IF(VLOOKUP("*CR",F86,1,FALSE)&gt;=0,"",VLOOKUP("*CR",F86,1,FALSE)),F86),""),"")</f>
        <v/>
      </c>
    </row>
    <row r="87" spans="1:8" x14ac:dyDescent="0.25">
      <c r="A87" s="1947" t="s">
        <v>2935</v>
      </c>
      <c r="B87" s="1947" t="s">
        <v>2698</v>
      </c>
      <c r="C87" s="1947" t="s">
        <v>2132</v>
      </c>
      <c r="D87" s="1947">
        <v>0</v>
      </c>
      <c r="E87" s="1948">
        <v>15257.82</v>
      </c>
      <c r="F87" s="1948">
        <f>15257.82+4453.94</f>
        <v>19711.759999999998</v>
      </c>
      <c r="G87" s="1947"/>
      <c r="H87" s="1949" t="str">
        <f>IFERROR(IF(F87&gt;=VLOOKUP(A87,[1]Materiality!$I$6:$J$12,2,TRUE),IFERROR(IF(VLOOKUP("*CR",F87,1,FALSE)&gt;=0,"",VLOOKUP("*CR",F87,1,FALSE)),F87),""),"")</f>
        <v/>
      </c>
    </row>
    <row r="88" spans="1:8" x14ac:dyDescent="0.25">
      <c r="A88" s="1947" t="s">
        <v>2936</v>
      </c>
      <c r="B88" s="1947" t="s">
        <v>2698</v>
      </c>
      <c r="C88" s="1947" t="s">
        <v>2132</v>
      </c>
      <c r="D88" s="1948">
        <v>2608.5300000000002</v>
      </c>
      <c r="E88" s="1948">
        <v>18699.919999999998</v>
      </c>
      <c r="F88" s="1948">
        <f>16091.39-4453.94</f>
        <v>11637.45</v>
      </c>
      <c r="G88" s="1947"/>
      <c r="H88" s="1949" t="str">
        <f>IFERROR(IF(F88&gt;=VLOOKUP(A88,[1]Materiality!$I$6:$J$12,2,TRUE),IFERROR(IF(VLOOKUP("*CR",F88,1,FALSE)&gt;=0,"",VLOOKUP("*CR",F88,1,FALSE)),F88),""),"")</f>
        <v/>
      </c>
    </row>
    <row r="89" spans="1:8" x14ac:dyDescent="0.25">
      <c r="A89" s="1947" t="s">
        <v>2937</v>
      </c>
      <c r="B89" s="1947" t="s">
        <v>2698</v>
      </c>
      <c r="C89" s="1947" t="s">
        <v>2132</v>
      </c>
      <c r="D89" s="1947">
        <v>0</v>
      </c>
      <c r="E89" s="1948">
        <v>1500000</v>
      </c>
      <c r="F89" s="1948">
        <v>1500000</v>
      </c>
      <c r="G89" s="1947"/>
      <c r="H89" s="1949" t="str">
        <f>IFERROR(IF(F89&gt;=VLOOKUP(A89,[1]Materiality!$I$6:$J$12,2,TRUE),IFERROR(IF(VLOOKUP("*CR",F89,1,FALSE)&gt;=0,"",VLOOKUP("*CR",F89,1,FALSE)),F89),""),"")</f>
        <v/>
      </c>
    </row>
    <row r="90" spans="1:8" x14ac:dyDescent="0.25">
      <c r="A90" s="1947" t="s">
        <v>2938</v>
      </c>
      <c r="B90" s="1947" t="s">
        <v>2698</v>
      </c>
      <c r="C90" s="1947" t="s">
        <v>2132</v>
      </c>
      <c r="D90" s="1947">
        <v>0</v>
      </c>
      <c r="E90" s="1948">
        <v>118635.48</v>
      </c>
      <c r="F90" s="1948">
        <v>118635.48</v>
      </c>
      <c r="G90" s="1947"/>
      <c r="H90" s="1949" t="str">
        <f>IFERROR(IF(F90&gt;=VLOOKUP(A90,[1]Materiality!$I$6:$J$12,2,TRUE),IFERROR(IF(VLOOKUP("*CR",F90,1,FALSE)&gt;=0,"",VLOOKUP("*CR",F90,1,FALSE)),F90),""),"")</f>
        <v/>
      </c>
    </row>
    <row r="91" spans="1:8" x14ac:dyDescent="0.25">
      <c r="A91" s="1947" t="s">
        <v>1038</v>
      </c>
      <c r="B91" s="1947"/>
      <c r="C91" s="1947"/>
      <c r="D91" s="1947"/>
      <c r="E91" s="1947"/>
      <c r="F91" s="1947"/>
      <c r="G91" s="1947"/>
      <c r="H91" s="1949" t="str">
        <f>IFERROR(IF(F91&gt;=VLOOKUP(A91,[1]Materiality!$I$6:$J$12,2,TRUE),IFERROR(IF(VLOOKUP("*CR",F91,1,FALSE)&gt;=0,"",VLOOKUP("*CR",F91,1,FALSE)),F91),""),"")</f>
        <v/>
      </c>
    </row>
    <row r="92" spans="1:8" x14ac:dyDescent="0.25">
      <c r="A92" s="1952" t="s">
        <v>2852</v>
      </c>
      <c r="B92" s="1952" t="s">
        <v>2702</v>
      </c>
      <c r="C92" s="1947" t="s">
        <v>2134</v>
      </c>
      <c r="D92" s="1948">
        <v>407504.08</v>
      </c>
      <c r="E92" s="1948">
        <v>15278117.07</v>
      </c>
      <c r="F92" s="1948">
        <v>14870612.99</v>
      </c>
      <c r="G92" s="1947"/>
      <c r="H92" s="1949" t="str">
        <f>IFERROR(IF(F92&gt;=VLOOKUP(A92,[1]Materiality!$I$6:$J$12,2,TRUE),IFERROR(IF(VLOOKUP("*CR",F92,1,FALSE)&gt;=0,"",VLOOKUP("*CR",F92,1,FALSE)),F92),""),"")</f>
        <v/>
      </c>
    </row>
    <row r="93" spans="1:8" x14ac:dyDescent="0.25">
      <c r="A93" s="1947" t="s">
        <v>1038</v>
      </c>
      <c r="B93" s="1947"/>
      <c r="C93" s="1947"/>
      <c r="D93" s="1947"/>
      <c r="E93" s="1947"/>
      <c r="F93" s="1947"/>
      <c r="G93" s="1947"/>
      <c r="H93" s="1949" t="str">
        <f>IFERROR(IF(F93&gt;=VLOOKUP(A93,[1]Materiality!$I$6:$J$12,2,TRUE),IFERROR(IF(VLOOKUP("*CR",F93,1,FALSE)&gt;=0,"",VLOOKUP("*CR",F93,1,FALSE)),F93),""),"")</f>
        <v/>
      </c>
    </row>
    <row r="94" spans="1:8" x14ac:dyDescent="0.25">
      <c r="A94" s="1947" t="s">
        <v>2939</v>
      </c>
      <c r="B94" s="1947" t="s">
        <v>2703</v>
      </c>
      <c r="C94" s="1947" t="s">
        <v>2135</v>
      </c>
      <c r="D94" s="1948">
        <v>63560.75</v>
      </c>
      <c r="E94" s="1947">
        <v>69</v>
      </c>
      <c r="F94" s="1948">
        <v>63491.75</v>
      </c>
      <c r="G94" s="1947"/>
      <c r="H94" s="1949" t="str">
        <f>IFERROR(IF(F94&gt;=VLOOKUP(A94,[1]Materiality!$I$6:$J$12,2,TRUE),IFERROR(IF(VLOOKUP("*CR",F94,1,FALSE)&gt;=0,"",VLOOKUP("*CR",F94,1,FALSE)),F94),""),"")</f>
        <v/>
      </c>
    </row>
    <row r="95" spans="1:8" x14ac:dyDescent="0.25">
      <c r="A95" s="1947" t="s">
        <v>2939</v>
      </c>
      <c r="B95" s="1947" t="s">
        <v>2704</v>
      </c>
      <c r="C95" s="1947" t="s">
        <v>2136</v>
      </c>
      <c r="D95" s="1948">
        <v>8685.6200000000008</v>
      </c>
      <c r="E95" s="1947">
        <v>0</v>
      </c>
      <c r="F95" s="1948">
        <v>8685.6200000000008</v>
      </c>
      <c r="G95" s="1947"/>
      <c r="H95" s="1949" t="str">
        <f>IFERROR(IF(F95&gt;=VLOOKUP(A95,[1]Materiality!$I$6:$J$12,2,TRUE),IFERROR(IF(VLOOKUP("*CR",F95,1,FALSE)&gt;=0,"",VLOOKUP("*CR",F95,1,FALSE)),F95),""),"")</f>
        <v/>
      </c>
    </row>
    <row r="96" spans="1:8" x14ac:dyDescent="0.25">
      <c r="A96" s="1947" t="s">
        <v>2940</v>
      </c>
      <c r="B96" s="1947" t="s">
        <v>2703</v>
      </c>
      <c r="C96" s="1947" t="s">
        <v>2137</v>
      </c>
      <c r="D96" s="1948">
        <v>1552.5</v>
      </c>
      <c r="E96" s="1947">
        <v>0</v>
      </c>
      <c r="F96" s="1948">
        <v>1552.5</v>
      </c>
      <c r="G96" s="1947"/>
      <c r="H96" s="1949" t="str">
        <f>IFERROR(IF(F96&gt;=VLOOKUP(A96,[1]Materiality!$I$6:$J$12,2,TRUE),IFERROR(IF(VLOOKUP("*CR",F96,1,FALSE)&gt;=0,"",VLOOKUP("*CR",F96,1,FALSE)),F96),""),"")</f>
        <v/>
      </c>
    </row>
    <row r="97" spans="1:8" x14ac:dyDescent="0.25">
      <c r="A97" s="1947" t="s">
        <v>2940</v>
      </c>
      <c r="B97" s="1947" t="s">
        <v>2704</v>
      </c>
      <c r="C97" s="1947" t="s">
        <v>2138</v>
      </c>
      <c r="D97" s="1948">
        <v>4020</v>
      </c>
      <c r="E97" s="1947">
        <v>0</v>
      </c>
      <c r="F97" s="1948">
        <v>4020</v>
      </c>
      <c r="G97" s="1947"/>
      <c r="H97" s="1949" t="str">
        <f>IFERROR(IF(F97&gt;=VLOOKUP(A97,[1]Materiality!$I$6:$J$12,2,TRUE),IFERROR(IF(VLOOKUP("*CR",F97,1,FALSE)&gt;=0,"",VLOOKUP("*CR",F97,1,FALSE)),F97),""),"")</f>
        <v/>
      </c>
    </row>
    <row r="98" spans="1:8" x14ac:dyDescent="0.25">
      <c r="A98" s="1947" t="s">
        <v>2941</v>
      </c>
      <c r="B98" s="1947" t="s">
        <v>2703</v>
      </c>
      <c r="C98" s="1947" t="s">
        <v>2139</v>
      </c>
      <c r="D98" s="1948">
        <v>4590</v>
      </c>
      <c r="E98" s="1947">
        <v>0</v>
      </c>
      <c r="F98" s="1948">
        <v>4590</v>
      </c>
      <c r="G98" s="1947"/>
      <c r="H98" s="1949" t="str">
        <f>IFERROR(IF(F98&gt;=VLOOKUP(A98,[1]Materiality!$I$6:$J$12,2,TRUE),IFERROR(IF(VLOOKUP("*CR",F98,1,FALSE)&gt;=0,"",VLOOKUP("*CR",F98,1,FALSE)),F98),""),"")</f>
        <v/>
      </c>
    </row>
    <row r="99" spans="1:8" x14ac:dyDescent="0.25">
      <c r="A99" s="1947" t="s">
        <v>2942</v>
      </c>
      <c r="B99" s="1947" t="s">
        <v>2703</v>
      </c>
      <c r="C99" s="1947" t="s">
        <v>2140</v>
      </c>
      <c r="D99" s="1948">
        <v>21903.72</v>
      </c>
      <c r="E99" s="1947">
        <v>0</v>
      </c>
      <c r="F99" s="1948">
        <v>21903.72</v>
      </c>
      <c r="G99" s="1947"/>
      <c r="H99" s="1949" t="str">
        <f>IFERROR(IF(F99&gt;=VLOOKUP(A99,[1]Materiality!$I$6:$J$12,2,TRUE),IFERROR(IF(VLOOKUP("*CR",F99,1,FALSE)&gt;=0,"",VLOOKUP("*CR",F99,1,FALSE)),F99),""),"")</f>
        <v/>
      </c>
    </row>
    <row r="100" spans="1:8" x14ac:dyDescent="0.25">
      <c r="A100" s="1947" t="s">
        <v>2942</v>
      </c>
      <c r="B100" s="1947" t="s">
        <v>2704</v>
      </c>
      <c r="C100" s="1947" t="s">
        <v>2141</v>
      </c>
      <c r="D100" s="1948">
        <v>2442.7600000000002</v>
      </c>
      <c r="E100" s="1947">
        <v>0</v>
      </c>
      <c r="F100" s="1948">
        <v>2442.7600000000002</v>
      </c>
      <c r="G100" s="1947"/>
      <c r="H100" s="1949" t="str">
        <f>IFERROR(IF(F100&gt;=VLOOKUP(A100,[1]Materiality!$I$6:$J$12,2,TRUE),IFERROR(IF(VLOOKUP("*CR",F100,1,FALSE)&gt;=0,"",VLOOKUP("*CR",F100,1,FALSE)),F100),""),"")</f>
        <v/>
      </c>
    </row>
    <row r="101" spans="1:8" x14ac:dyDescent="0.25">
      <c r="A101" s="1947" t="s">
        <v>2943</v>
      </c>
      <c r="B101" s="1947" t="s">
        <v>2703</v>
      </c>
      <c r="C101" s="1947" t="s">
        <v>2142</v>
      </c>
      <c r="D101" s="1948">
        <v>5816.01</v>
      </c>
      <c r="E101" s="1947">
        <v>0</v>
      </c>
      <c r="F101" s="1948">
        <v>5816.01</v>
      </c>
      <c r="G101" s="1947"/>
      <c r="H101" s="1949" t="str">
        <f>IFERROR(IF(F101&gt;=VLOOKUP(A101,[1]Materiality!$I$6:$J$12,2,TRUE),IFERROR(IF(VLOOKUP("*CR",F101,1,FALSE)&gt;=0,"",VLOOKUP("*CR",F101,1,FALSE)),F101),""),"")</f>
        <v/>
      </c>
    </row>
    <row r="102" spans="1:8" x14ac:dyDescent="0.25">
      <c r="A102" s="1947" t="s">
        <v>2943</v>
      </c>
      <c r="B102" s="1947" t="s">
        <v>2704</v>
      </c>
      <c r="C102" s="1947" t="s">
        <v>2143</v>
      </c>
      <c r="D102" s="1947">
        <v>397.59</v>
      </c>
      <c r="E102" s="1947">
        <v>0</v>
      </c>
      <c r="F102" s="1947">
        <v>397.59</v>
      </c>
      <c r="G102" s="1947"/>
      <c r="H102" s="1949" t="str">
        <f>IFERROR(IF(F102&gt;=VLOOKUP(A102,[1]Materiality!$I$6:$J$12,2,TRUE),IFERROR(IF(VLOOKUP("*CR",F102,1,FALSE)&gt;=0,"",VLOOKUP("*CR",F102,1,FALSE)),F102),""),"")</f>
        <v/>
      </c>
    </row>
    <row r="103" spans="1:8" x14ac:dyDescent="0.25">
      <c r="A103" s="1947" t="s">
        <v>2944</v>
      </c>
      <c r="B103" s="1947" t="s">
        <v>2703</v>
      </c>
      <c r="C103" s="1947" t="s">
        <v>2144</v>
      </c>
      <c r="D103" s="1948">
        <v>6724.81</v>
      </c>
      <c r="E103" s="1947">
        <v>0</v>
      </c>
      <c r="F103" s="1948">
        <v>6724.81</v>
      </c>
      <c r="G103" s="1947"/>
      <c r="H103" s="1949" t="str">
        <f>IFERROR(IF(F103&gt;=VLOOKUP(A103,[1]Materiality!$I$6:$J$12,2,TRUE),IFERROR(IF(VLOOKUP("*CR",F103,1,FALSE)&gt;=0,"",VLOOKUP("*CR",F103,1,FALSE)),F103),""),"")</f>
        <v/>
      </c>
    </row>
    <row r="104" spans="1:8" x14ac:dyDescent="0.25">
      <c r="A104" s="1947" t="s">
        <v>2944</v>
      </c>
      <c r="B104" s="1947" t="s">
        <v>2704</v>
      </c>
      <c r="C104" s="1947" t="s">
        <v>2145</v>
      </c>
      <c r="D104" s="1947">
        <v>406.02</v>
      </c>
      <c r="E104" s="1947">
        <v>0</v>
      </c>
      <c r="F104" s="1947">
        <v>406.02</v>
      </c>
      <c r="G104" s="1947"/>
      <c r="H104" s="1949" t="str">
        <f>IFERROR(IF(F104&gt;=VLOOKUP(A104,[1]Materiality!$I$6:$J$12,2,TRUE),IFERROR(IF(VLOOKUP("*CR",F104,1,FALSE)&gt;=0,"",VLOOKUP("*CR",F104,1,FALSE)),F104),""),"")</f>
        <v/>
      </c>
    </row>
    <row r="105" spans="1:8" x14ac:dyDescent="0.25">
      <c r="A105" s="1947" t="s">
        <v>2945</v>
      </c>
      <c r="B105" s="1947" t="s">
        <v>2703</v>
      </c>
      <c r="C105" s="1947" t="s">
        <v>2142</v>
      </c>
      <c r="D105" s="1947">
        <v>370.87</v>
      </c>
      <c r="E105" s="1947">
        <v>0</v>
      </c>
      <c r="F105" s="1947">
        <v>370.87</v>
      </c>
      <c r="G105" s="1947"/>
      <c r="H105" s="1949" t="str">
        <f>IFERROR(IF(F105&gt;=VLOOKUP(A105,[1]Materiality!$I$6:$J$12,2,TRUE),IFERROR(IF(VLOOKUP("*CR",F105,1,FALSE)&gt;=0,"",VLOOKUP("*CR",F105,1,FALSE)),F105),""),"")</f>
        <v/>
      </c>
    </row>
    <row r="106" spans="1:8" x14ac:dyDescent="0.25">
      <c r="A106" s="1947" t="s">
        <v>2945</v>
      </c>
      <c r="B106" s="1947" t="s">
        <v>2704</v>
      </c>
      <c r="C106" s="1947" t="s">
        <v>2143</v>
      </c>
      <c r="D106" s="1947">
        <v>23.31</v>
      </c>
      <c r="E106" s="1947">
        <v>0</v>
      </c>
      <c r="F106" s="1947">
        <v>23.31</v>
      </c>
      <c r="G106" s="1947"/>
      <c r="H106" s="1949" t="str">
        <f>IFERROR(IF(F106&gt;=VLOOKUP(A106,[1]Materiality!$I$6:$J$12,2,TRUE),IFERROR(IF(VLOOKUP("*CR",F106,1,FALSE)&gt;=0,"",VLOOKUP("*CR",F106,1,FALSE)),F106),""),"")</f>
        <v/>
      </c>
    </row>
    <row r="107" spans="1:8" x14ac:dyDescent="0.25">
      <c r="A107" s="1947" t="s">
        <v>2946</v>
      </c>
      <c r="B107" s="1947" t="s">
        <v>2703</v>
      </c>
      <c r="C107" s="1947" t="s">
        <v>2146</v>
      </c>
      <c r="D107" s="1948">
        <v>1136.8800000000001</v>
      </c>
      <c r="E107" s="1947">
        <v>0</v>
      </c>
      <c r="F107" s="1948">
        <v>1136.8800000000001</v>
      </c>
      <c r="G107" s="1947"/>
      <c r="H107" s="1949" t="str">
        <f>IFERROR(IF(F107&gt;=VLOOKUP(A107,[1]Materiality!$I$6:$J$12,2,TRUE),IFERROR(IF(VLOOKUP("*CR",F107,1,FALSE)&gt;=0,"",VLOOKUP("*CR",F107,1,FALSE)),F107),""),"")</f>
        <v/>
      </c>
    </row>
    <row r="108" spans="1:8" x14ac:dyDescent="0.25">
      <c r="A108" s="1947" t="s">
        <v>2946</v>
      </c>
      <c r="B108" s="1947" t="s">
        <v>2704</v>
      </c>
      <c r="C108" s="1947" t="s">
        <v>2147</v>
      </c>
      <c r="D108" s="1947">
        <v>77.73</v>
      </c>
      <c r="E108" s="1947">
        <v>0</v>
      </c>
      <c r="F108" s="1947">
        <v>77.73</v>
      </c>
      <c r="G108" s="1947"/>
      <c r="H108" s="1949" t="str">
        <f>IFERROR(IF(F108&gt;=VLOOKUP(A108,[1]Materiality!$I$6:$J$12,2,TRUE),IFERROR(IF(VLOOKUP("*CR",F108,1,FALSE)&gt;=0,"",VLOOKUP("*CR",F108,1,FALSE)),F108),""),"")</f>
        <v/>
      </c>
    </row>
    <row r="109" spans="1:8" x14ac:dyDescent="0.25">
      <c r="A109" s="1947" t="s">
        <v>2947</v>
      </c>
      <c r="B109" s="1947" t="s">
        <v>2703</v>
      </c>
      <c r="C109" s="1947" t="s">
        <v>2148</v>
      </c>
      <c r="D109" s="1948">
        <v>41001.69</v>
      </c>
      <c r="E109" s="1947">
        <v>193.54</v>
      </c>
      <c r="F109" s="1948">
        <v>40808.15</v>
      </c>
      <c r="G109" s="1947"/>
      <c r="H109" s="1949" t="str">
        <f>IFERROR(IF(F109&gt;=VLOOKUP(A109,[1]Materiality!$I$6:$J$12,2,TRUE),IFERROR(IF(VLOOKUP("*CR",F109,1,FALSE)&gt;=0,"",VLOOKUP("*CR",F109,1,FALSE)),F109),""),"")</f>
        <v/>
      </c>
    </row>
    <row r="110" spans="1:8" x14ac:dyDescent="0.25">
      <c r="A110" s="1947" t="s">
        <v>2947</v>
      </c>
      <c r="B110" s="1947" t="s">
        <v>2704</v>
      </c>
      <c r="C110" s="1947" t="s">
        <v>2149</v>
      </c>
      <c r="D110" s="1947">
        <v>0</v>
      </c>
      <c r="E110" s="1948">
        <v>8243.4500000000007</v>
      </c>
      <c r="F110" s="1948">
        <v>-8243.4500000000007</v>
      </c>
      <c r="G110" s="1947"/>
      <c r="H110" s="1949" t="str">
        <f>IFERROR(IF(F110&gt;=VLOOKUP(A110,[1]Materiality!$I$6:$J$12,2,TRUE),IFERROR(IF(VLOOKUP("*CR",F110,1,FALSE)&gt;=0,"",VLOOKUP("*CR",F110,1,FALSE)),F110),""),"")</f>
        <v/>
      </c>
    </row>
    <row r="111" spans="1:8" x14ac:dyDescent="0.25">
      <c r="A111" s="1947" t="s">
        <v>2948</v>
      </c>
      <c r="B111" s="1947" t="s">
        <v>2703</v>
      </c>
      <c r="C111" s="1947" t="s">
        <v>2150</v>
      </c>
      <c r="D111" s="1948">
        <v>27944</v>
      </c>
      <c r="E111" s="1947">
        <v>194</v>
      </c>
      <c r="F111" s="1948">
        <v>27750</v>
      </c>
      <c r="G111" s="1947"/>
      <c r="H111" s="1949" t="str">
        <f>IFERROR(IF(F111&gt;=VLOOKUP(A111,[1]Materiality!$I$6:$J$12,2,TRUE),IFERROR(IF(VLOOKUP("*CR",F111,1,FALSE)&gt;=0,"",VLOOKUP("*CR",F111,1,FALSE)),F111),""),"")</f>
        <v/>
      </c>
    </row>
    <row r="112" spans="1:8" x14ac:dyDescent="0.25">
      <c r="A112" s="1947" t="s">
        <v>2949</v>
      </c>
      <c r="B112" s="1947" t="s">
        <v>2703</v>
      </c>
      <c r="C112" s="1947" t="s">
        <v>2151</v>
      </c>
      <c r="D112" s="1948">
        <v>2738.3</v>
      </c>
      <c r="E112" s="1947">
        <v>26</v>
      </c>
      <c r="F112" s="1948">
        <v>2712.3</v>
      </c>
      <c r="G112" s="1947"/>
      <c r="H112" s="1949" t="str">
        <f>IFERROR(IF(F112&gt;=VLOOKUP(A112,[1]Materiality!$I$6:$J$12,2,TRUE),IFERROR(IF(VLOOKUP("*CR",F112,1,FALSE)&gt;=0,"",VLOOKUP("*CR",F112,1,FALSE)),F112),""),"")</f>
        <v/>
      </c>
    </row>
    <row r="113" spans="1:8" x14ac:dyDescent="0.25">
      <c r="A113" s="1947" t="s">
        <v>2949</v>
      </c>
      <c r="B113" s="1947" t="s">
        <v>2704</v>
      </c>
      <c r="C113" s="1947" t="s">
        <v>2152</v>
      </c>
      <c r="D113" s="1947">
        <v>10</v>
      </c>
      <c r="E113" s="1947">
        <v>0</v>
      </c>
      <c r="F113" s="1947">
        <v>10</v>
      </c>
      <c r="G113" s="1947"/>
      <c r="H113" s="1949" t="str">
        <f>IFERROR(IF(F113&gt;=VLOOKUP(A113,[1]Materiality!$I$6:$J$12,2,TRUE),IFERROR(IF(VLOOKUP("*CR",F113,1,FALSE)&gt;=0,"",VLOOKUP("*CR",F113,1,FALSE)),F113),""),"")</f>
        <v/>
      </c>
    </row>
    <row r="114" spans="1:8" x14ac:dyDescent="0.25">
      <c r="A114" s="1947" t="s">
        <v>2950</v>
      </c>
      <c r="B114" s="1947" t="s">
        <v>2703</v>
      </c>
      <c r="C114" s="1947" t="s">
        <v>2153</v>
      </c>
      <c r="D114" s="1948">
        <v>5051.3599999999997</v>
      </c>
      <c r="E114" s="1948">
        <v>1701.29</v>
      </c>
      <c r="F114" s="1948">
        <v>3350.07</v>
      </c>
      <c r="G114" s="1947"/>
      <c r="H114" s="1949" t="str">
        <f>IFERROR(IF(F114&gt;=VLOOKUP(A114,[1]Materiality!$I$6:$J$12,2,TRUE),IFERROR(IF(VLOOKUP("*CR",F114,1,FALSE)&gt;=0,"",VLOOKUP("*CR",F114,1,FALSE)),F114),""),"")</f>
        <v/>
      </c>
    </row>
    <row r="115" spans="1:8" x14ac:dyDescent="0.25">
      <c r="A115" s="1947" t="s">
        <v>2951</v>
      </c>
      <c r="B115" s="1947" t="s">
        <v>2703</v>
      </c>
      <c r="C115" s="1947" t="s">
        <v>2154</v>
      </c>
      <c r="D115" s="1947">
        <v>919.8</v>
      </c>
      <c r="E115" s="1947">
        <v>0</v>
      </c>
      <c r="F115" s="1947">
        <v>919.8</v>
      </c>
      <c r="G115" s="1947"/>
      <c r="H115" s="1949" t="str">
        <f>IFERROR(IF(F115&gt;=VLOOKUP(A115,[1]Materiality!$I$6:$J$12,2,TRUE),IFERROR(IF(VLOOKUP("*CR",F115,1,FALSE)&gt;=0,"",VLOOKUP("*CR",F115,1,FALSE)),F115),""),"")</f>
        <v/>
      </c>
    </row>
    <row r="116" spans="1:8" x14ac:dyDescent="0.25">
      <c r="A116" s="1947" t="s">
        <v>2952</v>
      </c>
      <c r="B116" s="1947" t="s">
        <v>2703</v>
      </c>
      <c r="C116" s="1947" t="s">
        <v>2155</v>
      </c>
      <c r="D116" s="1948">
        <v>36486.839999999997</v>
      </c>
      <c r="E116" s="1947">
        <v>0</v>
      </c>
      <c r="F116" s="1948">
        <v>36486.839999999997</v>
      </c>
      <c r="G116" s="1947"/>
      <c r="H116" s="1949" t="str">
        <f>IFERROR(IF(F116&gt;=VLOOKUP(A116,[1]Materiality!$I$6:$J$12,2,TRUE),IFERROR(IF(VLOOKUP("*CR",F116,1,FALSE)&gt;=0,"",VLOOKUP("*CR",F116,1,FALSE)),F116),""),"")</f>
        <v/>
      </c>
    </row>
    <row r="117" spans="1:8" x14ac:dyDescent="0.25">
      <c r="A117" s="1947" t="s">
        <v>2953</v>
      </c>
      <c r="B117" s="1947" t="s">
        <v>2703</v>
      </c>
      <c r="C117" s="1947" t="s">
        <v>2135</v>
      </c>
      <c r="D117" s="1948">
        <v>48749.97</v>
      </c>
      <c r="E117" s="1947">
        <v>0</v>
      </c>
      <c r="F117" s="1948">
        <v>48749.97</v>
      </c>
      <c r="G117" s="1947"/>
      <c r="H117" s="1949" t="str">
        <f>IFERROR(IF(F117&gt;=VLOOKUP(A117,[1]Materiality!$I$6:$J$12,2,TRUE),IFERROR(IF(VLOOKUP("*CR",F117,1,FALSE)&gt;=0,"",VLOOKUP("*CR",F117,1,FALSE)),F117),""),"")</f>
        <v/>
      </c>
    </row>
    <row r="118" spans="1:8" x14ac:dyDescent="0.25">
      <c r="A118" s="1947" t="s">
        <v>2953</v>
      </c>
      <c r="B118" s="1947" t="s">
        <v>2705</v>
      </c>
      <c r="C118" s="1947" t="s">
        <v>2156</v>
      </c>
      <c r="D118" s="1948">
        <v>16250.03</v>
      </c>
      <c r="E118" s="1947">
        <v>0</v>
      </c>
      <c r="F118" s="1948">
        <v>16250.03</v>
      </c>
      <c r="G118" s="1947"/>
      <c r="H118" s="1949" t="str">
        <f>IFERROR(IF(F118&gt;=VLOOKUP(A118,[1]Materiality!$I$6:$J$12,2,TRUE),IFERROR(IF(VLOOKUP("*CR",F118,1,FALSE)&gt;=0,"",VLOOKUP("*CR",F118,1,FALSE)),F118),""),"")</f>
        <v/>
      </c>
    </row>
    <row r="119" spans="1:8" x14ac:dyDescent="0.25">
      <c r="A119" s="1947" t="s">
        <v>2954</v>
      </c>
      <c r="B119" s="1947" t="s">
        <v>2703</v>
      </c>
      <c r="C119" s="1947" t="s">
        <v>2142</v>
      </c>
      <c r="D119" s="1948">
        <v>4821.3599999999997</v>
      </c>
      <c r="E119" s="1947">
        <v>0</v>
      </c>
      <c r="F119" s="1948">
        <v>4821.3599999999997</v>
      </c>
      <c r="G119" s="1947"/>
      <c r="H119" s="1949" t="str">
        <f>IFERROR(IF(F119&gt;=VLOOKUP(A119,[1]Materiality!$I$6:$J$12,2,TRUE),IFERROR(IF(VLOOKUP("*CR",F119,1,FALSE)&gt;=0,"",VLOOKUP("*CR",F119,1,FALSE)),F119),""),"")</f>
        <v/>
      </c>
    </row>
    <row r="120" spans="1:8" x14ac:dyDescent="0.25">
      <c r="A120" s="1947" t="s">
        <v>2954</v>
      </c>
      <c r="B120" s="1947" t="s">
        <v>2705</v>
      </c>
      <c r="C120" s="1947" t="s">
        <v>2157</v>
      </c>
      <c r="D120" s="1948">
        <v>1607.16</v>
      </c>
      <c r="E120" s="1947">
        <v>0</v>
      </c>
      <c r="F120" s="1948">
        <v>1607.16</v>
      </c>
      <c r="G120" s="1947"/>
      <c r="H120" s="1949" t="str">
        <f>IFERROR(IF(F120&gt;=VLOOKUP(A120,[1]Materiality!$I$6:$J$12,2,TRUE),IFERROR(IF(VLOOKUP("*CR",F120,1,FALSE)&gt;=0,"",VLOOKUP("*CR",F120,1,FALSE)),F120),""),"")</f>
        <v/>
      </c>
    </row>
    <row r="121" spans="1:8" x14ac:dyDescent="0.25">
      <c r="A121" s="1947" t="s">
        <v>2955</v>
      </c>
      <c r="B121" s="1947" t="s">
        <v>2703</v>
      </c>
      <c r="C121" s="1947" t="s">
        <v>2144</v>
      </c>
      <c r="D121" s="1948">
        <v>9129.6299999999992</v>
      </c>
      <c r="E121" s="1947">
        <v>0</v>
      </c>
      <c r="F121" s="1948">
        <v>9129.6299999999992</v>
      </c>
      <c r="G121" s="1947"/>
      <c r="H121" s="1949" t="str">
        <f>IFERROR(IF(F121&gt;=VLOOKUP(A121,[1]Materiality!$I$6:$J$12,2,TRUE),IFERROR(IF(VLOOKUP("*CR",F121,1,FALSE)&gt;=0,"",VLOOKUP("*CR",F121,1,FALSE)),F121),""),"")</f>
        <v/>
      </c>
    </row>
    <row r="122" spans="1:8" x14ac:dyDescent="0.25">
      <c r="A122" s="1947" t="s">
        <v>2955</v>
      </c>
      <c r="B122" s="1947" t="s">
        <v>2705</v>
      </c>
      <c r="C122" s="1947" t="s">
        <v>2158</v>
      </c>
      <c r="D122" s="1948">
        <v>3043.23</v>
      </c>
      <c r="E122" s="1947">
        <v>0</v>
      </c>
      <c r="F122" s="1948">
        <v>3043.23</v>
      </c>
      <c r="G122" s="1947"/>
      <c r="H122" s="1949" t="str">
        <f>IFERROR(IF(F122&gt;=VLOOKUP(A122,[1]Materiality!$I$6:$J$12,2,TRUE),IFERROR(IF(VLOOKUP("*CR",F122,1,FALSE)&gt;=0,"",VLOOKUP("*CR",F122,1,FALSE)),F122),""),"")</f>
        <v/>
      </c>
    </row>
    <row r="123" spans="1:8" x14ac:dyDescent="0.25">
      <c r="A123" s="1947" t="s">
        <v>2956</v>
      </c>
      <c r="B123" s="1947" t="s">
        <v>2703</v>
      </c>
      <c r="C123" s="1947" t="s">
        <v>2142</v>
      </c>
      <c r="D123" s="1947">
        <v>282.72000000000003</v>
      </c>
      <c r="E123" s="1947">
        <v>0</v>
      </c>
      <c r="F123" s="1947">
        <v>282.72000000000003</v>
      </c>
      <c r="G123" s="1947"/>
      <c r="H123" s="1949" t="str">
        <f>IFERROR(IF(F123&gt;=VLOOKUP(A123,[1]Materiality!$I$6:$J$12,2,TRUE),IFERROR(IF(VLOOKUP("*CR",F123,1,FALSE)&gt;=0,"",VLOOKUP("*CR",F123,1,FALSE)),F123),""),"")</f>
        <v/>
      </c>
    </row>
    <row r="124" spans="1:8" x14ac:dyDescent="0.25">
      <c r="A124" s="1947" t="s">
        <v>2956</v>
      </c>
      <c r="B124" s="1947" t="s">
        <v>2705</v>
      </c>
      <c r="C124" s="1947" t="s">
        <v>2157</v>
      </c>
      <c r="D124" s="1947">
        <v>94.31</v>
      </c>
      <c r="E124" s="1947">
        <v>0</v>
      </c>
      <c r="F124" s="1947">
        <v>94.31</v>
      </c>
      <c r="G124" s="1947"/>
      <c r="H124" s="1949" t="str">
        <f>IFERROR(IF(F124&gt;=VLOOKUP(A124,[1]Materiality!$I$6:$J$12,2,TRUE),IFERROR(IF(VLOOKUP("*CR",F124,1,FALSE)&gt;=0,"",VLOOKUP("*CR",F124,1,FALSE)),F124),""),"")</f>
        <v/>
      </c>
    </row>
    <row r="125" spans="1:8" x14ac:dyDescent="0.25">
      <c r="A125" s="1947" t="s">
        <v>2957</v>
      </c>
      <c r="B125" s="1947" t="s">
        <v>2706</v>
      </c>
      <c r="C125" s="1947" t="s">
        <v>2159</v>
      </c>
      <c r="D125" s="1947">
        <v>6.02</v>
      </c>
      <c r="E125" s="1947">
        <v>6.02</v>
      </c>
      <c r="F125" s="1947">
        <v>0</v>
      </c>
      <c r="G125" s="1947"/>
      <c r="H125" s="1949" t="str">
        <f>IFERROR(IF(F125&gt;=VLOOKUP(A125,[1]Materiality!$I$6:$J$12,2,TRUE),IFERROR(IF(VLOOKUP("*CR",F125,1,FALSE)&gt;=0,"",VLOOKUP("*CR",F125,1,FALSE)),F125),""),"")</f>
        <v/>
      </c>
    </row>
    <row r="126" spans="1:8" x14ac:dyDescent="0.25">
      <c r="A126" s="1947" t="s">
        <v>2957</v>
      </c>
      <c r="B126" s="1947" t="s">
        <v>2703</v>
      </c>
      <c r="C126" s="1947" t="s">
        <v>2146</v>
      </c>
      <c r="D126" s="1947">
        <v>942.84</v>
      </c>
      <c r="E126" s="1947">
        <v>0</v>
      </c>
      <c r="F126" s="1947">
        <v>942.84</v>
      </c>
      <c r="G126" s="1947"/>
      <c r="H126" s="1949" t="str">
        <f>IFERROR(IF(F126&gt;=VLOOKUP(A126,[1]Materiality!$I$6:$J$12,2,TRUE),IFERROR(IF(VLOOKUP("*CR",F126,1,FALSE)&gt;=0,"",VLOOKUP("*CR",F126,1,FALSE)),F126),""),"")</f>
        <v/>
      </c>
    </row>
    <row r="127" spans="1:8" x14ac:dyDescent="0.25">
      <c r="A127" s="1947" t="s">
        <v>2957</v>
      </c>
      <c r="B127" s="1947" t="s">
        <v>2705</v>
      </c>
      <c r="C127" s="1947" t="s">
        <v>2160</v>
      </c>
      <c r="D127" s="1947">
        <v>314.27999999999997</v>
      </c>
      <c r="E127" s="1947">
        <v>0</v>
      </c>
      <c r="F127" s="1947">
        <v>314.27999999999997</v>
      </c>
      <c r="G127" s="1947"/>
      <c r="H127" s="1949" t="str">
        <f>IFERROR(IF(F127&gt;=VLOOKUP(A127,[1]Materiality!$I$6:$J$12,2,TRUE),IFERROR(IF(VLOOKUP("*CR",F127,1,FALSE)&gt;=0,"",VLOOKUP("*CR",F127,1,FALSE)),F127),""),"")</f>
        <v/>
      </c>
    </row>
    <row r="128" spans="1:8" x14ac:dyDescent="0.25">
      <c r="A128" s="1947" t="s">
        <v>2958</v>
      </c>
      <c r="B128" s="1947" t="s">
        <v>2703</v>
      </c>
      <c r="C128" s="1947" t="s">
        <v>2148</v>
      </c>
      <c r="D128" s="1948">
        <v>4853.5200000000004</v>
      </c>
      <c r="E128" s="1948">
        <v>1250.74</v>
      </c>
      <c r="F128" s="1948">
        <v>3602.78</v>
      </c>
      <c r="G128" s="1947"/>
      <c r="H128" s="1949" t="str">
        <f>IFERROR(IF(F128&gt;=VLOOKUP(A128,[1]Materiality!$I$6:$J$12,2,TRUE),IFERROR(IF(VLOOKUP("*CR",F128,1,FALSE)&gt;=0,"",VLOOKUP("*CR",F128,1,FALSE)),F128),""),"")</f>
        <v/>
      </c>
    </row>
    <row r="129" spans="1:8" x14ac:dyDescent="0.25">
      <c r="A129" s="1947" t="s">
        <v>2958</v>
      </c>
      <c r="B129" s="1947" t="s">
        <v>2705</v>
      </c>
      <c r="C129" s="1947" t="s">
        <v>2161</v>
      </c>
      <c r="D129" s="1948">
        <v>2202.1</v>
      </c>
      <c r="E129" s="1947">
        <v>576.26</v>
      </c>
      <c r="F129" s="1948">
        <v>1625.84</v>
      </c>
      <c r="G129" s="1947"/>
      <c r="H129" s="1949" t="str">
        <f>IFERROR(IF(F129&gt;=VLOOKUP(A129,[1]Materiality!$I$6:$J$12,2,TRUE),IFERROR(IF(VLOOKUP("*CR",F129,1,FALSE)&gt;=0,"",VLOOKUP("*CR",F129,1,FALSE)),F129),""),"")</f>
        <v/>
      </c>
    </row>
    <row r="130" spans="1:8" x14ac:dyDescent="0.25">
      <c r="A130" s="1947" t="s">
        <v>2959</v>
      </c>
      <c r="B130" s="1947" t="s">
        <v>2703</v>
      </c>
      <c r="C130" s="1947" t="s">
        <v>2151</v>
      </c>
      <c r="D130" s="1947">
        <v>763</v>
      </c>
      <c r="E130" s="1947">
        <v>0</v>
      </c>
      <c r="F130" s="1947">
        <v>763</v>
      </c>
      <c r="G130" s="1947"/>
      <c r="H130" s="1949" t="str">
        <f>IFERROR(IF(F130&gt;=VLOOKUP(A130,[1]Materiality!$I$6:$J$12,2,TRUE),IFERROR(IF(VLOOKUP("*CR",F130,1,FALSE)&gt;=0,"",VLOOKUP("*CR",F130,1,FALSE)),F130),""),"")</f>
        <v/>
      </c>
    </row>
    <row r="131" spans="1:8" x14ac:dyDescent="0.25">
      <c r="A131" s="1947" t="s">
        <v>2959</v>
      </c>
      <c r="B131" s="1947" t="s">
        <v>2704</v>
      </c>
      <c r="C131" s="1947" t="s">
        <v>2152</v>
      </c>
      <c r="D131" s="1947">
        <v>49</v>
      </c>
      <c r="E131" s="1947">
        <v>0</v>
      </c>
      <c r="F131" s="1947">
        <v>49</v>
      </c>
      <c r="G131" s="1947"/>
      <c r="H131" s="1949" t="str">
        <f>IFERROR(IF(F131&gt;=VLOOKUP(A131,[1]Materiality!$I$6:$J$12,2,TRUE),IFERROR(IF(VLOOKUP("*CR",F131,1,FALSE)&gt;=0,"",VLOOKUP("*CR",F131,1,FALSE)),F131),""),"")</f>
        <v/>
      </c>
    </row>
    <row r="132" spans="1:8" x14ac:dyDescent="0.25">
      <c r="A132" s="1947" t="s">
        <v>2960</v>
      </c>
      <c r="B132" s="1947" t="s">
        <v>2705</v>
      </c>
      <c r="C132" s="1947" t="s">
        <v>2162</v>
      </c>
      <c r="D132" s="1948">
        <v>3600</v>
      </c>
      <c r="E132" s="1947">
        <v>0</v>
      </c>
      <c r="F132" s="1948">
        <v>3600</v>
      </c>
      <c r="G132" s="1947"/>
      <c r="H132" s="1949" t="str">
        <f>IFERROR(IF(F132&gt;=VLOOKUP(A132,[1]Materiality!$I$6:$J$12,2,TRUE),IFERROR(IF(VLOOKUP("*CR",F132,1,FALSE)&gt;=0,"",VLOOKUP("*CR",F132,1,FALSE)),F132),""),"")</f>
        <v/>
      </c>
    </row>
    <row r="133" spans="1:8" x14ac:dyDescent="0.25">
      <c r="A133" s="1947" t="s">
        <v>2961</v>
      </c>
      <c r="B133" s="1947" t="s">
        <v>2705</v>
      </c>
      <c r="C133" s="1947" t="s">
        <v>2163</v>
      </c>
      <c r="D133" s="1947">
        <v>650</v>
      </c>
      <c r="E133" s="1947">
        <v>0</v>
      </c>
      <c r="F133" s="1947">
        <v>650</v>
      </c>
      <c r="G133" s="1947"/>
      <c r="H133" s="1949" t="str">
        <f>IFERROR(IF(F133&gt;=VLOOKUP(A133,[1]Materiality!$I$6:$J$12,2,TRUE),IFERROR(IF(VLOOKUP("*CR",F133,1,FALSE)&gt;=0,"",VLOOKUP("*CR",F133,1,FALSE)),F133),""),"")</f>
        <v/>
      </c>
    </row>
    <row r="134" spans="1:8" x14ac:dyDescent="0.25">
      <c r="A134" s="1947" t="s">
        <v>2962</v>
      </c>
      <c r="B134" s="1947" t="s">
        <v>2705</v>
      </c>
      <c r="C134" s="1947" t="s">
        <v>2164</v>
      </c>
      <c r="D134" s="1948">
        <v>51964.74</v>
      </c>
      <c r="E134" s="1948">
        <v>12152</v>
      </c>
      <c r="F134" s="1948">
        <v>39812.74</v>
      </c>
      <c r="G134" s="1947"/>
      <c r="H134" s="1949" t="str">
        <f>IFERROR(IF(F134&gt;=VLOOKUP(A134,[1]Materiality!$I$6:$J$12,2,TRUE),IFERROR(IF(VLOOKUP("*CR",F134,1,FALSE)&gt;=0,"",VLOOKUP("*CR",F134,1,FALSE)),F134),""),"")</f>
        <v/>
      </c>
    </row>
    <row r="135" spans="1:8" x14ac:dyDescent="0.25">
      <c r="A135" s="1947" t="s">
        <v>2962</v>
      </c>
      <c r="B135" s="1947" t="s">
        <v>2707</v>
      </c>
      <c r="C135" s="1947" t="s">
        <v>2165</v>
      </c>
      <c r="D135" s="1947">
        <v>386.3</v>
      </c>
      <c r="E135" s="1947">
        <v>0</v>
      </c>
      <c r="F135" s="1947">
        <v>386.3</v>
      </c>
      <c r="G135" s="1947"/>
      <c r="H135" s="1949" t="str">
        <f>IFERROR(IF(F135&gt;=VLOOKUP(A135,[1]Materiality!$I$6:$J$12,2,TRUE),IFERROR(IF(VLOOKUP("*CR",F135,1,FALSE)&gt;=0,"",VLOOKUP("*CR",F135,1,FALSE)),F135),""),"")</f>
        <v/>
      </c>
    </row>
    <row r="136" spans="1:8" x14ac:dyDescent="0.25">
      <c r="A136" s="1947" t="s">
        <v>2963</v>
      </c>
      <c r="B136" s="1947" t="s">
        <v>2703</v>
      </c>
      <c r="C136" s="1947" t="s">
        <v>2135</v>
      </c>
      <c r="D136" s="1948">
        <v>6200</v>
      </c>
      <c r="E136" s="1947">
        <v>0</v>
      </c>
      <c r="F136" s="1948">
        <v>6200</v>
      </c>
      <c r="G136" s="1947"/>
      <c r="H136" s="1949" t="str">
        <f>IFERROR(IF(F136&gt;=VLOOKUP(A136,[1]Materiality!$I$6:$J$12,2,TRUE),IFERROR(IF(VLOOKUP("*CR",F136,1,FALSE)&gt;=0,"",VLOOKUP("*CR",F136,1,FALSE)),F136),""),"")</f>
        <v/>
      </c>
    </row>
    <row r="137" spans="1:8" x14ac:dyDescent="0.25">
      <c r="A137" s="1947" t="s">
        <v>2964</v>
      </c>
      <c r="B137" s="1947" t="s">
        <v>2703</v>
      </c>
      <c r="C137" s="1947" t="s">
        <v>2144</v>
      </c>
      <c r="D137" s="1947">
        <v>626.20000000000005</v>
      </c>
      <c r="E137" s="1947">
        <v>0</v>
      </c>
      <c r="F137" s="1947">
        <v>626.20000000000005</v>
      </c>
      <c r="G137" s="1947"/>
      <c r="H137" s="1949" t="str">
        <f>IFERROR(IF(F137&gt;=VLOOKUP(A137,[1]Materiality!$I$6:$J$12,2,TRUE),IFERROR(IF(VLOOKUP("*CR",F137,1,FALSE)&gt;=0,"",VLOOKUP("*CR",F137,1,FALSE)),F137),""),"")</f>
        <v/>
      </c>
    </row>
    <row r="138" spans="1:8" x14ac:dyDescent="0.25">
      <c r="A138" s="1947" t="s">
        <v>2965</v>
      </c>
      <c r="B138" s="1947" t="s">
        <v>2703</v>
      </c>
      <c r="C138" s="1947" t="s">
        <v>2142</v>
      </c>
      <c r="D138" s="1947">
        <v>35.96</v>
      </c>
      <c r="E138" s="1947">
        <v>0</v>
      </c>
      <c r="F138" s="1947">
        <v>35.96</v>
      </c>
      <c r="G138" s="1947"/>
      <c r="H138" s="1949" t="str">
        <f>IFERROR(IF(F138&gt;=VLOOKUP(A138,[1]Materiality!$I$6:$J$12,2,TRUE),IFERROR(IF(VLOOKUP("*CR",F138,1,FALSE)&gt;=0,"",VLOOKUP("*CR",F138,1,FALSE)),F138),""),"")</f>
        <v/>
      </c>
    </row>
    <row r="139" spans="1:8" x14ac:dyDescent="0.25">
      <c r="A139" s="1947" t="s">
        <v>2966</v>
      </c>
      <c r="B139" s="1947" t="s">
        <v>2703</v>
      </c>
      <c r="C139" s="1947" t="s">
        <v>2146</v>
      </c>
      <c r="D139" s="1947">
        <v>54.56</v>
      </c>
      <c r="E139" s="1947">
        <v>0</v>
      </c>
      <c r="F139" s="1947">
        <v>54.56</v>
      </c>
      <c r="G139" s="1947"/>
      <c r="H139" s="1949" t="str">
        <f>IFERROR(IF(F139&gt;=VLOOKUP(A139,[1]Materiality!$I$6:$J$12,2,TRUE),IFERROR(IF(VLOOKUP("*CR",F139,1,FALSE)&gt;=0,"",VLOOKUP("*CR",F139,1,FALSE)),F139),""),"")</f>
        <v/>
      </c>
    </row>
    <row r="140" spans="1:8" x14ac:dyDescent="0.25">
      <c r="A140" s="1947" t="s">
        <v>2967</v>
      </c>
      <c r="B140" s="1947" t="s">
        <v>2705</v>
      </c>
      <c r="C140" s="1947" t="s">
        <v>2163</v>
      </c>
      <c r="D140" s="1947">
        <v>299</v>
      </c>
      <c r="E140" s="1947">
        <v>0</v>
      </c>
      <c r="F140" s="1947">
        <v>299</v>
      </c>
      <c r="G140" s="1947"/>
      <c r="H140" s="1949" t="str">
        <f>IFERROR(IF(F140&gt;=VLOOKUP(A140,[1]Materiality!$I$6:$J$12,2,TRUE),IFERROR(IF(VLOOKUP("*CR",F140,1,FALSE)&gt;=0,"",VLOOKUP("*CR",F140,1,FALSE)),F140),""),"")</f>
        <v/>
      </c>
    </row>
    <row r="141" spans="1:8" x14ac:dyDescent="0.25">
      <c r="A141" s="1947" t="s">
        <v>2968</v>
      </c>
      <c r="B141" s="1947" t="s">
        <v>2703</v>
      </c>
      <c r="C141" s="1947" t="s">
        <v>2151</v>
      </c>
      <c r="D141" s="1947">
        <v>891</v>
      </c>
      <c r="E141" s="1947">
        <v>194</v>
      </c>
      <c r="F141" s="1947">
        <v>697</v>
      </c>
      <c r="G141" s="1947"/>
      <c r="H141" s="1949" t="str">
        <f>IFERROR(IF(F141&gt;=VLOOKUP(A141,[1]Materiality!$I$6:$J$12,2,TRUE),IFERROR(IF(VLOOKUP("*CR",F141,1,FALSE)&gt;=0,"",VLOOKUP("*CR",F141,1,FALSE)),F141),""),"")</f>
        <v/>
      </c>
    </row>
    <row r="142" spans="1:8" x14ac:dyDescent="0.25">
      <c r="A142" s="1947" t="s">
        <v>2968</v>
      </c>
      <c r="B142" s="1947" t="s">
        <v>2705</v>
      </c>
      <c r="C142" s="1947" t="s">
        <v>2164</v>
      </c>
      <c r="D142" s="1948">
        <v>2387</v>
      </c>
      <c r="E142" s="1947">
        <v>60</v>
      </c>
      <c r="F142" s="1948">
        <v>2327</v>
      </c>
      <c r="G142" s="1947"/>
      <c r="H142" s="1949" t="str">
        <f>IFERROR(IF(F142&gt;=VLOOKUP(A142,[1]Materiality!$I$6:$J$12,2,TRUE),IFERROR(IF(VLOOKUP("*CR",F142,1,FALSE)&gt;=0,"",VLOOKUP("*CR",F142,1,FALSE)),F142),""),"")</f>
        <v/>
      </c>
    </row>
    <row r="143" spans="1:8" x14ac:dyDescent="0.25">
      <c r="A143" s="1947" t="s">
        <v>2969</v>
      </c>
      <c r="B143" s="1947" t="s">
        <v>2703</v>
      </c>
      <c r="C143" s="1947" t="s">
        <v>2153</v>
      </c>
      <c r="D143" s="1948">
        <v>1076.46</v>
      </c>
      <c r="E143" s="1947">
        <v>0</v>
      </c>
      <c r="F143" s="1948">
        <v>1076.46</v>
      </c>
      <c r="G143" s="1947"/>
      <c r="H143" s="1949" t="str">
        <f>IFERROR(IF(F143&gt;=VLOOKUP(A143,[1]Materiality!$I$6:$J$12,2,TRUE),IFERROR(IF(VLOOKUP("*CR",F143,1,FALSE)&gt;=0,"",VLOOKUP("*CR",F143,1,FALSE)),F143),""),"")</f>
        <v/>
      </c>
    </row>
    <row r="144" spans="1:8" x14ac:dyDescent="0.25">
      <c r="A144" s="1947" t="s">
        <v>2970</v>
      </c>
      <c r="B144" s="1947" t="s">
        <v>2707</v>
      </c>
      <c r="C144" s="1947" t="s">
        <v>2166</v>
      </c>
      <c r="D144" s="1948">
        <v>4615</v>
      </c>
      <c r="E144" s="1947">
        <v>0</v>
      </c>
      <c r="F144" s="1948">
        <v>4615</v>
      </c>
      <c r="G144" s="1947"/>
      <c r="H144" s="1949" t="str">
        <f>IFERROR(IF(F144&gt;=VLOOKUP(A144,[1]Materiality!$I$6:$J$12,2,TRUE),IFERROR(IF(VLOOKUP("*CR",F144,1,FALSE)&gt;=0,"",VLOOKUP("*CR",F144,1,FALSE)),F144),""),"")</f>
        <v/>
      </c>
    </row>
    <row r="145" spans="1:8" x14ac:dyDescent="0.25">
      <c r="A145" s="1947" t="s">
        <v>2971</v>
      </c>
      <c r="B145" s="1947" t="s">
        <v>2698</v>
      </c>
      <c r="C145" s="1947" t="s">
        <v>2132</v>
      </c>
      <c r="D145" s="1948">
        <v>121913.2</v>
      </c>
      <c r="E145" s="1947">
        <v>0</v>
      </c>
      <c r="F145" s="1948">
        <v>121913.2</v>
      </c>
      <c r="G145" s="1947"/>
      <c r="H145" s="1949" t="str">
        <f>IFERROR(IF(F145&gt;=VLOOKUP(A145,[1]Materiality!$I$6:$J$12,2,TRUE),IFERROR(IF(VLOOKUP("*CR",F145,1,FALSE)&gt;=0,"",VLOOKUP("*CR",F145,1,FALSE)),F145),""),"")</f>
        <v/>
      </c>
    </row>
    <row r="146" spans="1:8" x14ac:dyDescent="0.25">
      <c r="A146" s="1947" t="s">
        <v>2972</v>
      </c>
      <c r="B146" s="1947" t="s">
        <v>2698</v>
      </c>
      <c r="C146" s="1947" t="s">
        <v>2132</v>
      </c>
      <c r="D146" s="1948">
        <v>2380.89</v>
      </c>
      <c r="E146" s="1947">
        <v>0</v>
      </c>
      <c r="F146" s="1948">
        <v>2380.89</v>
      </c>
      <c r="G146" s="1947"/>
      <c r="H146" s="1949" t="str">
        <f>IFERROR(IF(F146&gt;=VLOOKUP(A146,[1]Materiality!$I$6:$J$12,2,TRUE),IFERROR(IF(VLOOKUP("*CR",F146,1,FALSE)&gt;=0,"",VLOOKUP("*CR",F146,1,FALSE)),F146),""),"")</f>
        <v/>
      </c>
    </row>
    <row r="147" spans="1:8" x14ac:dyDescent="0.25">
      <c r="A147" s="1947" t="s">
        <v>3370</v>
      </c>
      <c r="B147" s="1947" t="s">
        <v>2708</v>
      </c>
      <c r="C147" s="1947" t="s">
        <v>2167</v>
      </c>
      <c r="D147" s="1948">
        <v>3577917.15</v>
      </c>
      <c r="E147" s="1948">
        <v>17371</v>
      </c>
      <c r="F147" s="1948">
        <v>3560546.15</v>
      </c>
      <c r="G147" s="1947"/>
      <c r="H147" s="1949" t="str">
        <f>IFERROR(IF(F147&gt;=VLOOKUP(A147,[1]Materiality!$I$6:$J$12,2,TRUE),IFERROR(IF(VLOOKUP("*CR",F147,1,FALSE)&gt;=0,"",VLOOKUP("*CR",F147,1,FALSE)),F147),""),"")</f>
        <v/>
      </c>
    </row>
    <row r="148" spans="1:8" x14ac:dyDescent="0.25">
      <c r="A148" s="1947" t="s">
        <v>3371</v>
      </c>
      <c r="B148" s="1947" t="s">
        <v>2708</v>
      </c>
      <c r="C148" s="1947" t="s">
        <v>2168</v>
      </c>
      <c r="D148" s="1948">
        <v>14000</v>
      </c>
      <c r="E148" s="1947">
        <v>0</v>
      </c>
      <c r="F148" s="1948">
        <v>14000</v>
      </c>
      <c r="G148" s="1947"/>
      <c r="H148" s="1949" t="str">
        <f>IFERROR(IF(F148&gt;=VLOOKUP(A148,[1]Materiality!$I$6:$J$12,2,TRUE),IFERROR(IF(VLOOKUP("*CR",F148,1,FALSE)&gt;=0,"",VLOOKUP("*CR",F148,1,FALSE)),F148),""),"")</f>
        <v/>
      </c>
    </row>
    <row r="149" spans="1:8" x14ac:dyDescent="0.25">
      <c r="A149" s="1947" t="s">
        <v>3372</v>
      </c>
      <c r="B149" s="1947" t="s">
        <v>2708</v>
      </c>
      <c r="C149" s="1947" t="s">
        <v>2169</v>
      </c>
      <c r="D149" s="1948">
        <v>23854.48</v>
      </c>
      <c r="E149" s="1947">
        <v>0</v>
      </c>
      <c r="F149" s="1948">
        <v>23854.48</v>
      </c>
      <c r="G149" s="1947"/>
      <c r="H149" s="1949" t="str">
        <f>IFERROR(IF(F149&gt;=VLOOKUP(A149,[1]Materiality!$I$6:$J$12,2,TRUE),IFERROR(IF(VLOOKUP("*CR",F149,1,FALSE)&gt;=0,"",VLOOKUP("*CR",F149,1,FALSE)),F149),""),"")</f>
        <v/>
      </c>
    </row>
    <row r="150" spans="1:8" x14ac:dyDescent="0.25">
      <c r="A150" s="1947" t="s">
        <v>3373</v>
      </c>
      <c r="B150" s="1947" t="s">
        <v>2708</v>
      </c>
      <c r="C150" s="1947" t="s">
        <v>2170</v>
      </c>
      <c r="D150" s="1948">
        <v>71340.02</v>
      </c>
      <c r="E150" s="1948">
        <v>4410</v>
      </c>
      <c r="F150" s="1948">
        <v>66930.02</v>
      </c>
      <c r="G150" s="1947"/>
      <c r="H150" s="1949" t="str">
        <f>IFERROR(IF(F150&gt;=VLOOKUP(A150,[1]Materiality!$I$6:$J$12,2,TRUE),IFERROR(IF(VLOOKUP("*CR",F150,1,FALSE)&gt;=0,"",VLOOKUP("*CR",F150,1,FALSE)),F150),""),"")</f>
        <v/>
      </c>
    </row>
    <row r="151" spans="1:8" x14ac:dyDescent="0.25">
      <c r="A151" s="1947" t="s">
        <v>3374</v>
      </c>
      <c r="B151" s="1947" t="s">
        <v>2708</v>
      </c>
      <c r="C151" s="1947" t="s">
        <v>2171</v>
      </c>
      <c r="D151" s="1948">
        <v>3570</v>
      </c>
      <c r="E151" s="1947">
        <v>0</v>
      </c>
      <c r="F151" s="1948">
        <v>3570</v>
      </c>
      <c r="G151" s="1947"/>
      <c r="H151" s="1949" t="str">
        <f>IFERROR(IF(F151&gt;=VLOOKUP(A151,[1]Materiality!$I$6:$J$12,2,TRUE),IFERROR(IF(VLOOKUP("*CR",F151,1,FALSE)&gt;=0,"",VLOOKUP("*CR",F151,1,FALSE)),F151),""),"")</f>
        <v/>
      </c>
    </row>
    <row r="152" spans="1:8" x14ac:dyDescent="0.25">
      <c r="A152" s="1947" t="s">
        <v>3375</v>
      </c>
      <c r="B152" s="1947" t="s">
        <v>2708</v>
      </c>
      <c r="C152" s="1947" t="s">
        <v>2172</v>
      </c>
      <c r="D152" s="1948">
        <v>376892.47</v>
      </c>
      <c r="E152" s="1947">
        <v>0</v>
      </c>
      <c r="F152" s="1948">
        <v>376892.47</v>
      </c>
      <c r="G152" s="1947"/>
      <c r="H152" s="1949" t="str">
        <f>IFERROR(IF(F152&gt;=VLOOKUP(A152,[1]Materiality!$I$6:$J$12,2,TRUE),IFERROR(IF(VLOOKUP("*CR",F152,1,FALSE)&gt;=0,"",VLOOKUP("*CR",F152,1,FALSE)),F152),""),"")</f>
        <v/>
      </c>
    </row>
    <row r="153" spans="1:8" x14ac:dyDescent="0.25">
      <c r="A153" s="1947" t="s">
        <v>3376</v>
      </c>
      <c r="B153" s="1947" t="s">
        <v>2708</v>
      </c>
      <c r="C153" s="1947" t="s">
        <v>2173</v>
      </c>
      <c r="D153" s="1948">
        <v>2034.68</v>
      </c>
      <c r="E153" s="1947">
        <v>0</v>
      </c>
      <c r="F153" s="1948">
        <v>2034.68</v>
      </c>
      <c r="G153" s="1947"/>
      <c r="H153" s="1949" t="str">
        <f>IFERROR(IF(F153&gt;=VLOOKUP(A153,[1]Materiality!$I$6:$J$12,2,TRUE),IFERROR(IF(VLOOKUP("*CR",F153,1,FALSE)&gt;=0,"",VLOOKUP("*CR",F153,1,FALSE)),F153),""),"")</f>
        <v/>
      </c>
    </row>
    <row r="154" spans="1:8" x14ac:dyDescent="0.25">
      <c r="A154" s="1947" t="s">
        <v>3377</v>
      </c>
      <c r="B154" s="1947" t="s">
        <v>2708</v>
      </c>
      <c r="C154" s="1947" t="s">
        <v>2172</v>
      </c>
      <c r="D154" s="1948">
        <v>23191.25</v>
      </c>
      <c r="E154" s="1947">
        <v>0</v>
      </c>
      <c r="F154" s="1948">
        <v>23191.25</v>
      </c>
      <c r="G154" s="1947"/>
      <c r="H154" s="1949" t="str">
        <f>IFERROR(IF(F154&gt;=VLOOKUP(A154,[1]Materiality!$I$6:$J$12,2,TRUE),IFERROR(IF(VLOOKUP("*CR",F154,1,FALSE)&gt;=0,"",VLOOKUP("*CR",F154,1,FALSE)),F154),""),"")</f>
        <v/>
      </c>
    </row>
    <row r="155" spans="1:8" x14ac:dyDescent="0.25">
      <c r="A155" s="1947" t="s">
        <v>3378</v>
      </c>
      <c r="B155" s="1947" t="s">
        <v>2708</v>
      </c>
      <c r="C155" s="1947" t="s">
        <v>2174</v>
      </c>
      <c r="D155" s="1948">
        <v>70145.7</v>
      </c>
      <c r="E155" s="1947">
        <v>0</v>
      </c>
      <c r="F155" s="1948">
        <v>70145.7</v>
      </c>
      <c r="G155" s="1947"/>
      <c r="H155" s="1949" t="str">
        <f>IFERROR(IF(F155&gt;=VLOOKUP(A155,[1]Materiality!$I$6:$J$12,2,TRUE),IFERROR(IF(VLOOKUP("*CR",F155,1,FALSE)&gt;=0,"",VLOOKUP("*CR",F155,1,FALSE)),F155),""),"")</f>
        <v/>
      </c>
    </row>
    <row r="156" spans="1:8" x14ac:dyDescent="0.25">
      <c r="A156" s="1947" t="s">
        <v>3379</v>
      </c>
      <c r="B156" s="1947" t="s">
        <v>2708</v>
      </c>
      <c r="C156" s="1947" t="s">
        <v>2175</v>
      </c>
      <c r="D156" s="1948">
        <v>1032536.28</v>
      </c>
      <c r="E156" s="1948">
        <v>213135.91</v>
      </c>
      <c r="F156" s="1948">
        <v>819400.37</v>
      </c>
      <c r="G156" s="1947"/>
      <c r="H156" s="1949" t="str">
        <f>IFERROR(IF(F156&gt;=VLOOKUP(A156,[1]Materiality!$I$6:$J$12,2,TRUE),IFERROR(IF(VLOOKUP("*CR",F156,1,FALSE)&gt;=0,"",VLOOKUP("*CR",F156,1,FALSE)),F156),""),"")</f>
        <v/>
      </c>
    </row>
    <row r="157" spans="1:8" x14ac:dyDescent="0.25">
      <c r="A157" s="1947" t="s">
        <v>3380</v>
      </c>
      <c r="B157" s="1947" t="s">
        <v>2708</v>
      </c>
      <c r="C157" s="1947" t="s">
        <v>2176</v>
      </c>
      <c r="D157" s="1948">
        <v>1500</v>
      </c>
      <c r="E157" s="1947">
        <v>0</v>
      </c>
      <c r="F157" s="1948">
        <v>1500</v>
      </c>
      <c r="G157" s="1947"/>
      <c r="H157" s="1949" t="str">
        <f>IFERROR(IF(F157&gt;=VLOOKUP(A157,[1]Materiality!$I$6:$J$12,2,TRUE),IFERROR(IF(VLOOKUP("*CR",F157,1,FALSE)&gt;=0,"",VLOOKUP("*CR",F157,1,FALSE)),F157),""),"")</f>
        <v/>
      </c>
    </row>
    <row r="158" spans="1:8" x14ac:dyDescent="0.25">
      <c r="A158" s="1947" t="s">
        <v>3381</v>
      </c>
      <c r="B158" s="1947" t="s">
        <v>2709</v>
      </c>
      <c r="C158" s="1947" t="s">
        <v>2177</v>
      </c>
      <c r="D158" s="1948">
        <v>3768.96</v>
      </c>
      <c r="E158" s="1947">
        <v>0</v>
      </c>
      <c r="F158" s="1948">
        <v>3768.96</v>
      </c>
      <c r="G158" s="1947"/>
      <c r="H158" s="1949" t="str">
        <f>IFERROR(IF(F158&gt;=VLOOKUP(A158,[1]Materiality!$I$6:$J$12,2,TRUE),IFERROR(IF(VLOOKUP("*CR",F158,1,FALSE)&gt;=0,"",VLOOKUP("*CR",F158,1,FALSE)),F158),""),"")</f>
        <v/>
      </c>
    </row>
    <row r="159" spans="1:8" x14ac:dyDescent="0.25">
      <c r="A159" s="1947" t="s">
        <v>3382</v>
      </c>
      <c r="B159" s="1947" t="s">
        <v>2709</v>
      </c>
      <c r="C159" s="1947" t="s">
        <v>2178</v>
      </c>
      <c r="D159" s="1948">
        <v>24154.67</v>
      </c>
      <c r="E159" s="1947">
        <v>0</v>
      </c>
      <c r="F159" s="1948">
        <v>24154.67</v>
      </c>
      <c r="G159" s="1947"/>
      <c r="H159" s="1949" t="str">
        <f>IFERROR(IF(F159&gt;=VLOOKUP(A159,[1]Materiality!$I$6:$J$12,2,TRUE),IFERROR(IF(VLOOKUP("*CR",F159,1,FALSE)&gt;=0,"",VLOOKUP("*CR",F159,1,FALSE)),F159),""),"")</f>
        <v/>
      </c>
    </row>
    <row r="160" spans="1:8" x14ac:dyDescent="0.25">
      <c r="A160" s="1947" t="s">
        <v>3383</v>
      </c>
      <c r="B160" s="1947" t="s">
        <v>2710</v>
      </c>
      <c r="C160" s="1947" t="s">
        <v>2179</v>
      </c>
      <c r="D160" s="1948">
        <v>4000</v>
      </c>
      <c r="E160" s="1947">
        <v>0</v>
      </c>
      <c r="F160" s="1948">
        <v>4000</v>
      </c>
      <c r="G160" s="1947"/>
      <c r="H160" s="1949" t="str">
        <f>IFERROR(IF(F160&gt;=VLOOKUP(A160,[1]Materiality!$I$6:$J$12,2,TRUE),IFERROR(IF(VLOOKUP("*CR",F160,1,FALSE)&gt;=0,"",VLOOKUP("*CR",F160,1,FALSE)),F160),""),"")</f>
        <v/>
      </c>
    </row>
    <row r="161" spans="1:8" x14ac:dyDescent="0.25">
      <c r="A161" s="1947" t="s">
        <v>3383</v>
      </c>
      <c r="B161" s="1947" t="s">
        <v>2711</v>
      </c>
      <c r="C161" s="1947" t="s">
        <v>2180</v>
      </c>
      <c r="D161" s="1948">
        <v>1200</v>
      </c>
      <c r="E161" s="1947">
        <v>0</v>
      </c>
      <c r="F161" s="1948">
        <v>1200</v>
      </c>
      <c r="G161" s="1947"/>
      <c r="H161" s="1949" t="str">
        <f>IFERROR(IF(F161&gt;=VLOOKUP(A161,[1]Materiality!$I$6:$J$12,2,TRUE),IFERROR(IF(VLOOKUP("*CR",F161,1,FALSE)&gt;=0,"",VLOOKUP("*CR",F161,1,FALSE)),F161),""),"")</f>
        <v/>
      </c>
    </row>
    <row r="162" spans="1:8" x14ac:dyDescent="0.25">
      <c r="A162" s="1947" t="s">
        <v>3384</v>
      </c>
      <c r="B162" s="1947" t="s">
        <v>2698</v>
      </c>
      <c r="C162" s="1947" t="s">
        <v>2181</v>
      </c>
      <c r="D162" s="1948">
        <v>36671.31</v>
      </c>
      <c r="E162" s="1947">
        <v>0</v>
      </c>
      <c r="F162" s="1948">
        <v>36671.31</v>
      </c>
      <c r="G162" s="1947"/>
      <c r="H162" s="1949" t="str">
        <f>IFERROR(IF(F162&gt;=VLOOKUP(A162,[1]Materiality!$I$6:$J$12,2,TRUE),IFERROR(IF(VLOOKUP("*CR",F162,1,FALSE)&gt;=0,"",VLOOKUP("*CR",F162,1,FALSE)),F162),""),"")</f>
        <v/>
      </c>
    </row>
    <row r="163" spans="1:8" x14ac:dyDescent="0.25">
      <c r="A163" s="1947" t="s">
        <v>3385</v>
      </c>
      <c r="B163" s="1947" t="s">
        <v>2698</v>
      </c>
      <c r="C163" s="1947" t="s">
        <v>2182</v>
      </c>
      <c r="D163" s="1947">
        <v>50</v>
      </c>
      <c r="E163" s="1947">
        <v>0</v>
      </c>
      <c r="F163" s="1947">
        <v>50</v>
      </c>
      <c r="G163" s="1947"/>
      <c r="H163" s="1949" t="str">
        <f>IFERROR(IF(F163&gt;=VLOOKUP(A163,[1]Materiality!$I$6:$J$12,2,TRUE),IFERROR(IF(VLOOKUP("*CR",F163,1,FALSE)&gt;=0,"",VLOOKUP("*CR",F163,1,FALSE)),F163),""),"")</f>
        <v/>
      </c>
    </row>
    <row r="164" spans="1:8" x14ac:dyDescent="0.25">
      <c r="A164" s="1947" t="s">
        <v>3385</v>
      </c>
      <c r="B164" s="1947" t="s">
        <v>2710</v>
      </c>
      <c r="C164" s="1947" t="s">
        <v>2183</v>
      </c>
      <c r="D164" s="1948">
        <v>4120.6400000000003</v>
      </c>
      <c r="E164" s="1947">
        <v>0</v>
      </c>
      <c r="F164" s="1948">
        <v>4120.6400000000003</v>
      </c>
      <c r="G164" s="1947"/>
      <c r="H164" s="1949" t="str">
        <f>IFERROR(IF(F164&gt;=VLOOKUP(A164,[1]Materiality!$I$6:$J$12,2,TRUE),IFERROR(IF(VLOOKUP("*CR",F164,1,FALSE)&gt;=0,"",VLOOKUP("*CR",F164,1,FALSE)),F164),""),"")</f>
        <v/>
      </c>
    </row>
    <row r="165" spans="1:8" x14ac:dyDescent="0.25">
      <c r="A165" s="1947" t="s">
        <v>3385</v>
      </c>
      <c r="B165" s="1947" t="s">
        <v>2712</v>
      </c>
      <c r="C165" s="1947" t="s">
        <v>2184</v>
      </c>
      <c r="D165" s="1948">
        <v>3824.98</v>
      </c>
      <c r="E165" s="1947">
        <v>0</v>
      </c>
      <c r="F165" s="1948">
        <v>3824.98</v>
      </c>
      <c r="G165" s="1947"/>
      <c r="H165" s="1949" t="str">
        <f>IFERROR(IF(F165&gt;=VLOOKUP(A165,[1]Materiality!$I$6:$J$12,2,TRUE),IFERROR(IF(VLOOKUP("*CR",F165,1,FALSE)&gt;=0,"",VLOOKUP("*CR",F165,1,FALSE)),F165),""),"")</f>
        <v/>
      </c>
    </row>
    <row r="166" spans="1:8" x14ac:dyDescent="0.25">
      <c r="A166" s="1947" t="s">
        <v>3386</v>
      </c>
      <c r="B166" s="1947" t="s">
        <v>2698</v>
      </c>
      <c r="C166" s="1947" t="s">
        <v>2185</v>
      </c>
      <c r="D166" s="1948">
        <v>11545.39</v>
      </c>
      <c r="E166" s="1947">
        <v>0</v>
      </c>
      <c r="F166" s="1948">
        <v>11545.39</v>
      </c>
      <c r="G166" s="1947"/>
      <c r="H166" s="1949" t="str">
        <f>IFERROR(IF(F166&gt;=VLOOKUP(A166,[1]Materiality!$I$6:$J$12,2,TRUE),IFERROR(IF(VLOOKUP("*CR",F166,1,FALSE)&gt;=0,"",VLOOKUP("*CR",F166,1,FALSE)),F166),""),"")</f>
        <v/>
      </c>
    </row>
    <row r="167" spans="1:8" x14ac:dyDescent="0.25">
      <c r="A167" s="1947" t="s">
        <v>3387</v>
      </c>
      <c r="B167" s="1947" t="s">
        <v>2698</v>
      </c>
      <c r="C167" s="1947" t="s">
        <v>2186</v>
      </c>
      <c r="D167" s="1948">
        <v>4698.6000000000004</v>
      </c>
      <c r="E167" s="1947">
        <v>0</v>
      </c>
      <c r="F167" s="1948">
        <v>4698.6000000000004</v>
      </c>
      <c r="G167" s="1947"/>
      <c r="H167" s="1949" t="str">
        <f>IFERROR(IF(F167&gt;=VLOOKUP(A167,[1]Materiality!$I$6:$J$12,2,TRUE),IFERROR(IF(VLOOKUP("*CR",F167,1,FALSE)&gt;=0,"",VLOOKUP("*CR",F167,1,FALSE)),F167),""),"")</f>
        <v/>
      </c>
    </row>
    <row r="168" spans="1:8" x14ac:dyDescent="0.25">
      <c r="A168" s="1947" t="s">
        <v>3388</v>
      </c>
      <c r="B168" s="1947" t="s">
        <v>2698</v>
      </c>
      <c r="C168" s="1947" t="s">
        <v>2187</v>
      </c>
      <c r="D168" s="1948">
        <v>21643.47</v>
      </c>
      <c r="E168" s="1947">
        <v>0</v>
      </c>
      <c r="F168" s="1948">
        <v>21643.47</v>
      </c>
      <c r="G168" s="1947"/>
      <c r="H168" s="1949" t="str">
        <f>IFERROR(IF(F168&gt;=VLOOKUP(A168,[1]Materiality!$I$6:$J$12,2,TRUE),IFERROR(IF(VLOOKUP("*CR",F168,1,FALSE)&gt;=0,"",VLOOKUP("*CR",F168,1,FALSE)),F168),""),"")</f>
        <v/>
      </c>
    </row>
    <row r="169" spans="1:8" x14ac:dyDescent="0.25">
      <c r="A169" s="1947" t="s">
        <v>3389</v>
      </c>
      <c r="B169" s="1947" t="s">
        <v>2698</v>
      </c>
      <c r="C169" s="1947" t="s">
        <v>2188</v>
      </c>
      <c r="D169" s="1947">
        <v>641.83000000000004</v>
      </c>
      <c r="E169" s="1947">
        <v>0</v>
      </c>
      <c r="F169" s="1947">
        <v>641.83000000000004</v>
      </c>
      <c r="G169" s="1947"/>
      <c r="H169" s="1949" t="str">
        <f>IFERROR(IF(F169&gt;=VLOOKUP(A169,[1]Materiality!$I$6:$J$12,2,TRUE),IFERROR(IF(VLOOKUP("*CR",F169,1,FALSE)&gt;=0,"",VLOOKUP("*CR",F169,1,FALSE)),F169),""),"")</f>
        <v/>
      </c>
    </row>
    <row r="170" spans="1:8" x14ac:dyDescent="0.25">
      <c r="A170" s="1947" t="s">
        <v>3389</v>
      </c>
      <c r="B170" s="1947" t="s">
        <v>2713</v>
      </c>
      <c r="C170" s="1947" t="s">
        <v>2189</v>
      </c>
      <c r="D170" s="1948">
        <v>4887.07</v>
      </c>
      <c r="E170" s="1947">
        <v>0</v>
      </c>
      <c r="F170" s="1948">
        <v>4887.07</v>
      </c>
      <c r="G170" s="1947"/>
      <c r="H170" s="1949" t="str">
        <f>IFERROR(IF(F170&gt;=VLOOKUP(A170,[1]Materiality!$I$6:$J$12,2,TRUE),IFERROR(IF(VLOOKUP("*CR",F170,1,FALSE)&gt;=0,"",VLOOKUP("*CR",F170,1,FALSE)),F170),""),"")</f>
        <v/>
      </c>
    </row>
    <row r="171" spans="1:8" x14ac:dyDescent="0.25">
      <c r="A171" s="1947" t="s">
        <v>3389</v>
      </c>
      <c r="B171" s="1947" t="s">
        <v>2714</v>
      </c>
      <c r="C171" s="1947" t="s">
        <v>2190</v>
      </c>
      <c r="D171" s="1947">
        <v>226.37</v>
      </c>
      <c r="E171" s="1947">
        <v>0</v>
      </c>
      <c r="F171" s="1947">
        <v>226.37</v>
      </c>
      <c r="G171" s="1947"/>
      <c r="H171" s="1949" t="str">
        <f>IFERROR(IF(F171&gt;=VLOOKUP(A171,[1]Materiality!$I$6:$J$12,2,TRUE),IFERROR(IF(VLOOKUP("*CR",F171,1,FALSE)&gt;=0,"",VLOOKUP("*CR",F171,1,FALSE)),F171),""),"")</f>
        <v/>
      </c>
    </row>
    <row r="172" spans="1:8" x14ac:dyDescent="0.25">
      <c r="A172" s="1947" t="s">
        <v>3389</v>
      </c>
      <c r="B172" s="1947" t="s">
        <v>2715</v>
      </c>
      <c r="C172" s="1947" t="s">
        <v>2191</v>
      </c>
      <c r="D172" s="1948">
        <v>1844.59</v>
      </c>
      <c r="E172" s="1947">
        <v>0</v>
      </c>
      <c r="F172" s="1948">
        <v>1844.59</v>
      </c>
      <c r="G172" s="1947"/>
      <c r="H172" s="1949" t="str">
        <f>IFERROR(IF(F172&gt;=VLOOKUP(A172,[1]Materiality!$I$6:$J$12,2,TRUE),IFERROR(IF(VLOOKUP("*CR",F172,1,FALSE)&gt;=0,"",VLOOKUP("*CR",F172,1,FALSE)),F172),""),"")</f>
        <v/>
      </c>
    </row>
    <row r="173" spans="1:8" x14ac:dyDescent="0.25">
      <c r="A173" s="1947" t="s">
        <v>3389</v>
      </c>
      <c r="B173" s="1947" t="s">
        <v>2710</v>
      </c>
      <c r="C173" s="1947" t="s">
        <v>2192</v>
      </c>
      <c r="D173" s="1948">
        <v>3043.49</v>
      </c>
      <c r="E173" s="1947">
        <v>98.49</v>
      </c>
      <c r="F173" s="1948">
        <v>2945</v>
      </c>
      <c r="G173" s="1947"/>
      <c r="H173" s="1949" t="str">
        <f>IFERROR(IF(F173&gt;=VLOOKUP(A173,[1]Materiality!$I$6:$J$12,2,TRUE),IFERROR(IF(VLOOKUP("*CR",F173,1,FALSE)&gt;=0,"",VLOOKUP("*CR",F173,1,FALSE)),F173),""),"")</f>
        <v/>
      </c>
    </row>
    <row r="174" spans="1:8" x14ac:dyDescent="0.25">
      <c r="A174" s="1947" t="s">
        <v>3389</v>
      </c>
      <c r="B174" s="1947" t="s">
        <v>2711</v>
      </c>
      <c r="C174" s="1947" t="s">
        <v>2193</v>
      </c>
      <c r="D174" s="1948">
        <v>8676.6</v>
      </c>
      <c r="E174" s="1947">
        <v>0</v>
      </c>
      <c r="F174" s="1948">
        <v>8676.6</v>
      </c>
      <c r="G174" s="1947"/>
      <c r="H174" s="1949" t="str">
        <f>IFERROR(IF(F174&gt;=VLOOKUP(A174,[1]Materiality!$I$6:$J$12,2,TRUE),IFERROR(IF(VLOOKUP("*CR",F174,1,FALSE)&gt;=0,"",VLOOKUP("*CR",F174,1,FALSE)),F174),""),"")</f>
        <v/>
      </c>
    </row>
    <row r="175" spans="1:8" x14ac:dyDescent="0.25">
      <c r="A175" s="1947" t="s">
        <v>3389</v>
      </c>
      <c r="B175" s="1947" t="s">
        <v>2712</v>
      </c>
      <c r="C175" s="1947" t="s">
        <v>2194</v>
      </c>
      <c r="D175" s="1948">
        <v>3200</v>
      </c>
      <c r="E175" s="1947">
        <v>0</v>
      </c>
      <c r="F175" s="1948">
        <v>3200</v>
      </c>
      <c r="G175" s="1947"/>
      <c r="H175" s="1949" t="str">
        <f>IFERROR(IF(F175&gt;=VLOOKUP(A175,[1]Materiality!$I$6:$J$12,2,TRUE),IFERROR(IF(VLOOKUP("*CR",F175,1,FALSE)&gt;=0,"",VLOOKUP("*CR",F175,1,FALSE)),F175),""),"")</f>
        <v/>
      </c>
    </row>
    <row r="176" spans="1:8" x14ac:dyDescent="0.25">
      <c r="A176" s="1947" t="s">
        <v>3389</v>
      </c>
      <c r="B176" s="1947" t="s">
        <v>2716</v>
      </c>
      <c r="C176" s="1947" t="s">
        <v>2195</v>
      </c>
      <c r="D176" s="1947">
        <v>64.069999999999993</v>
      </c>
      <c r="E176" s="1947">
        <v>0</v>
      </c>
      <c r="F176" s="1947">
        <v>64.069999999999993</v>
      </c>
      <c r="G176" s="1947"/>
      <c r="H176" s="1949" t="str">
        <f>IFERROR(IF(F176&gt;=VLOOKUP(A176,[1]Materiality!$I$6:$J$12,2,TRUE),IFERROR(IF(VLOOKUP("*CR",F176,1,FALSE)&gt;=0,"",VLOOKUP("*CR",F176,1,FALSE)),F176),""),"")</f>
        <v/>
      </c>
    </row>
    <row r="177" spans="1:8" x14ac:dyDescent="0.25">
      <c r="A177" s="1947" t="s">
        <v>3389</v>
      </c>
      <c r="B177" s="1947" t="s">
        <v>2717</v>
      </c>
      <c r="C177" s="1947" t="s">
        <v>2196</v>
      </c>
      <c r="D177" s="1948">
        <v>3654.59</v>
      </c>
      <c r="E177" s="1947">
        <v>0</v>
      </c>
      <c r="F177" s="1948">
        <v>3654.59</v>
      </c>
      <c r="G177" s="1947"/>
      <c r="H177" s="1949" t="str">
        <f>IFERROR(IF(F177&gt;=VLOOKUP(A177,[1]Materiality!$I$6:$J$12,2,TRUE),IFERROR(IF(VLOOKUP("*CR",F177,1,FALSE)&gt;=0,"",VLOOKUP("*CR",F177,1,FALSE)),F177),""),"")</f>
        <v/>
      </c>
    </row>
    <row r="178" spans="1:8" x14ac:dyDescent="0.25">
      <c r="A178" s="1947" t="s">
        <v>3389</v>
      </c>
      <c r="B178" s="1947" t="s">
        <v>2718</v>
      </c>
      <c r="C178" s="1947" t="s">
        <v>2197</v>
      </c>
      <c r="D178" s="1947">
        <v>543.58000000000004</v>
      </c>
      <c r="E178" s="1947">
        <v>0</v>
      </c>
      <c r="F178" s="1947">
        <v>543.58000000000004</v>
      </c>
      <c r="G178" s="1947"/>
      <c r="H178" s="1949" t="str">
        <f>IFERROR(IF(F178&gt;=VLOOKUP(A178,[1]Materiality!$I$6:$J$12,2,TRUE),IFERROR(IF(VLOOKUP("*CR",F178,1,FALSE)&gt;=0,"",VLOOKUP("*CR",F178,1,FALSE)),F178),""),"")</f>
        <v/>
      </c>
    </row>
    <row r="179" spans="1:8" x14ac:dyDescent="0.25">
      <c r="A179" s="1947" t="s">
        <v>3389</v>
      </c>
      <c r="B179" s="1947" t="s">
        <v>2719</v>
      </c>
      <c r="C179" s="1947" t="s">
        <v>2198</v>
      </c>
      <c r="D179" s="1947">
        <v>104.35</v>
      </c>
      <c r="E179" s="1947">
        <v>0</v>
      </c>
      <c r="F179" s="1947">
        <v>104.35</v>
      </c>
      <c r="G179" s="1947"/>
      <c r="H179" s="1949" t="str">
        <f>IFERROR(IF(F179&gt;=VLOOKUP(A179,[1]Materiality!$I$6:$J$12,2,TRUE),IFERROR(IF(VLOOKUP("*CR",F179,1,FALSE)&gt;=0,"",VLOOKUP("*CR",F179,1,FALSE)),F179),""),"")</f>
        <v/>
      </c>
    </row>
    <row r="180" spans="1:8" x14ac:dyDescent="0.25">
      <c r="A180" s="1947" t="s">
        <v>3390</v>
      </c>
      <c r="B180" s="1947" t="s">
        <v>2698</v>
      </c>
      <c r="C180" s="1947" t="s">
        <v>2199</v>
      </c>
      <c r="D180" s="1948">
        <v>5314.77</v>
      </c>
      <c r="E180" s="1947">
        <v>0</v>
      </c>
      <c r="F180" s="1948">
        <v>5314.77</v>
      </c>
      <c r="G180" s="1947"/>
      <c r="H180" s="1949" t="str">
        <f>IFERROR(IF(F180&gt;=VLOOKUP(A180,[1]Materiality!$I$6:$J$12,2,TRUE),IFERROR(IF(VLOOKUP("*CR",F180,1,FALSE)&gt;=0,"",VLOOKUP("*CR",F180,1,FALSE)),F180),""),"")</f>
        <v/>
      </c>
    </row>
    <row r="181" spans="1:8" x14ac:dyDescent="0.25">
      <c r="A181" s="1947" t="s">
        <v>3390</v>
      </c>
      <c r="B181" s="1947" t="s">
        <v>2720</v>
      </c>
      <c r="C181" s="1947" t="s">
        <v>2200</v>
      </c>
      <c r="D181" s="1947">
        <v>120</v>
      </c>
      <c r="E181" s="1947">
        <v>30</v>
      </c>
      <c r="F181" s="1947">
        <v>90</v>
      </c>
      <c r="G181" s="1947"/>
      <c r="H181" s="1949" t="str">
        <f>IFERROR(IF(F181&gt;=VLOOKUP(A181,[1]Materiality!$I$6:$J$12,2,TRUE),IFERROR(IF(VLOOKUP("*CR",F181,1,FALSE)&gt;=0,"",VLOOKUP("*CR",F181,1,FALSE)),F181),""),"")</f>
        <v/>
      </c>
    </row>
    <row r="182" spans="1:8" x14ac:dyDescent="0.25">
      <c r="A182" s="1947" t="s">
        <v>3391</v>
      </c>
      <c r="B182" s="1947" t="s">
        <v>2709</v>
      </c>
      <c r="C182" s="1947" t="s">
        <v>2201</v>
      </c>
      <c r="D182" s="1948">
        <v>29181.75</v>
      </c>
      <c r="E182" s="1947">
        <v>0</v>
      </c>
      <c r="F182" s="1948">
        <v>29181.75</v>
      </c>
      <c r="G182" s="1947"/>
      <c r="H182" s="1949" t="str">
        <f>IFERROR(IF(F182&gt;=VLOOKUP(A182,[1]Materiality!$I$6:$J$12,2,TRUE),IFERROR(IF(VLOOKUP("*CR",F182,1,FALSE)&gt;=0,"",VLOOKUP("*CR",F182,1,FALSE)),F182),""),"")</f>
        <v/>
      </c>
    </row>
    <row r="183" spans="1:8" x14ac:dyDescent="0.25">
      <c r="A183" s="1947" t="s">
        <v>3392</v>
      </c>
      <c r="B183" s="1947" t="s">
        <v>2698</v>
      </c>
      <c r="C183" s="1947" t="s">
        <v>2202</v>
      </c>
      <c r="D183" s="1947">
        <v>284</v>
      </c>
      <c r="E183" s="1947">
        <v>0</v>
      </c>
      <c r="F183" s="1947">
        <v>284</v>
      </c>
      <c r="G183" s="1947"/>
      <c r="H183" s="1949" t="str">
        <f>IFERROR(IF(F183&gt;=VLOOKUP(A183,[1]Materiality!$I$6:$J$12,2,TRUE),IFERROR(IF(VLOOKUP("*CR",F183,1,FALSE)&gt;=0,"",VLOOKUP("*CR",F183,1,FALSE)),F183),""),"")</f>
        <v/>
      </c>
    </row>
    <row r="184" spans="1:8" x14ac:dyDescent="0.25">
      <c r="A184" s="1947" t="s">
        <v>3393</v>
      </c>
      <c r="B184" s="1947" t="s">
        <v>2712</v>
      </c>
      <c r="C184" s="1947" t="s">
        <v>2203</v>
      </c>
      <c r="D184" s="1947">
        <v>500</v>
      </c>
      <c r="E184" s="1947">
        <v>0</v>
      </c>
      <c r="F184" s="1947">
        <v>500</v>
      </c>
      <c r="G184" s="1947"/>
      <c r="H184" s="1949" t="str">
        <f>IFERROR(IF(F184&gt;=VLOOKUP(A184,[1]Materiality!$I$6:$J$12,2,TRUE),IFERROR(IF(VLOOKUP("*CR",F184,1,FALSE)&gt;=0,"",VLOOKUP("*CR",F184,1,FALSE)),F184),""),"")</f>
        <v/>
      </c>
    </row>
    <row r="185" spans="1:8" x14ac:dyDescent="0.25">
      <c r="A185" s="1947" t="s">
        <v>3394</v>
      </c>
      <c r="B185" s="1947" t="s">
        <v>2698</v>
      </c>
      <c r="C185" s="1947" t="s">
        <v>2204</v>
      </c>
      <c r="D185" s="1947">
        <v>156.57</v>
      </c>
      <c r="E185" s="1947">
        <v>0</v>
      </c>
      <c r="F185" s="1947">
        <v>156.57</v>
      </c>
      <c r="G185" s="1947"/>
      <c r="H185" s="1949" t="str">
        <f>IFERROR(IF(F185&gt;=VLOOKUP(A185,[1]Materiality!$I$6:$J$12,2,TRUE),IFERROR(IF(VLOOKUP("*CR",F185,1,FALSE)&gt;=0,"",VLOOKUP("*CR",F185,1,FALSE)),F185),""),"")</f>
        <v/>
      </c>
    </row>
    <row r="186" spans="1:8" x14ac:dyDescent="0.25">
      <c r="A186" s="1947" t="s">
        <v>2973</v>
      </c>
      <c r="B186" s="1947" t="s">
        <v>2721</v>
      </c>
      <c r="C186" s="1947" t="s">
        <v>2205</v>
      </c>
      <c r="D186" s="1948">
        <v>812199.29</v>
      </c>
      <c r="E186" s="1947">
        <v>0</v>
      </c>
      <c r="F186" s="1948">
        <v>812199.29</v>
      </c>
      <c r="G186" s="1947"/>
      <c r="H186" s="1949" t="str">
        <f>IFERROR(IF(F186&gt;=VLOOKUP(A186,[1]Materiality!$I$6:$J$12,2,TRUE),IFERROR(IF(VLOOKUP("*CR",F186,1,FALSE)&gt;=0,"",VLOOKUP("*CR",F186,1,FALSE)),F186),""),"")</f>
        <v/>
      </c>
    </row>
    <row r="187" spans="1:8" x14ac:dyDescent="0.25">
      <c r="A187" s="1947" t="s">
        <v>2973</v>
      </c>
      <c r="B187" s="1947" t="s">
        <v>2722</v>
      </c>
      <c r="C187" s="1947" t="s">
        <v>2206</v>
      </c>
      <c r="D187" s="1947">
        <v>135</v>
      </c>
      <c r="E187" s="1947">
        <v>0</v>
      </c>
      <c r="F187" s="1947">
        <v>135</v>
      </c>
      <c r="G187" s="1947"/>
      <c r="H187" s="1949" t="str">
        <f>IFERROR(IF(F187&gt;=VLOOKUP(A187,[1]Materiality!$I$6:$J$12,2,TRUE),IFERROR(IF(VLOOKUP("*CR",F187,1,FALSE)&gt;=0,"",VLOOKUP("*CR",F187,1,FALSE)),F187),""),"")</f>
        <v/>
      </c>
    </row>
    <row r="188" spans="1:8" x14ac:dyDescent="0.25">
      <c r="A188" s="1947" t="s">
        <v>2974</v>
      </c>
      <c r="B188" s="1947" t="s">
        <v>2721</v>
      </c>
      <c r="C188" s="1947" t="s">
        <v>2207</v>
      </c>
      <c r="D188" s="1948">
        <v>178628.8</v>
      </c>
      <c r="E188" s="1948">
        <v>137784.07999999999</v>
      </c>
      <c r="F188" s="1948">
        <v>40844.720000000001</v>
      </c>
      <c r="G188" s="1947"/>
      <c r="H188" s="1949" t="str">
        <f>IFERROR(IF(F188&gt;=VLOOKUP(A188,[1]Materiality!$I$6:$J$12,2,TRUE),IFERROR(IF(VLOOKUP("*CR",F188,1,FALSE)&gt;=0,"",VLOOKUP("*CR",F188,1,FALSE)),F188),""),"")</f>
        <v/>
      </c>
    </row>
    <row r="189" spans="1:8" x14ac:dyDescent="0.25">
      <c r="A189" s="1947" t="s">
        <v>2974</v>
      </c>
      <c r="B189" s="1947" t="s">
        <v>2706</v>
      </c>
      <c r="C189" s="1947" t="s">
        <v>2208</v>
      </c>
      <c r="D189" s="1948">
        <v>140000</v>
      </c>
      <c r="E189" s="1947">
        <v>0</v>
      </c>
      <c r="F189" s="1948">
        <v>140000</v>
      </c>
      <c r="G189" s="1947"/>
      <c r="H189" s="1949" t="str">
        <f>IFERROR(IF(F189&gt;=VLOOKUP(A189,[1]Materiality!$I$6:$J$12,2,TRUE),IFERROR(IF(VLOOKUP("*CR",F189,1,FALSE)&gt;=0,"",VLOOKUP("*CR",F189,1,FALSE)),F189),""),"")</f>
        <v/>
      </c>
    </row>
    <row r="190" spans="1:8" x14ac:dyDescent="0.25">
      <c r="A190" s="1947" t="s">
        <v>2974</v>
      </c>
      <c r="B190" s="1947" t="s">
        <v>2722</v>
      </c>
      <c r="C190" s="1947" t="s">
        <v>2209</v>
      </c>
      <c r="D190" s="1948">
        <v>16865.96</v>
      </c>
      <c r="E190" s="1948">
        <v>11572.95</v>
      </c>
      <c r="F190" s="1948">
        <v>5293.01</v>
      </c>
      <c r="G190" s="1947"/>
      <c r="H190" s="1949" t="str">
        <f>IFERROR(IF(F190&gt;=VLOOKUP(A190,[1]Materiality!$I$6:$J$12,2,TRUE),IFERROR(IF(VLOOKUP("*CR",F190,1,FALSE)&gt;=0,"",VLOOKUP("*CR",F190,1,FALSE)),F190),""),"")</f>
        <v/>
      </c>
    </row>
    <row r="191" spans="1:8" x14ac:dyDescent="0.25">
      <c r="A191" s="1947" t="s">
        <v>2975</v>
      </c>
      <c r="B191" s="1947" t="s">
        <v>2721</v>
      </c>
      <c r="C191" s="1947" t="s">
        <v>2210</v>
      </c>
      <c r="D191" s="1948">
        <v>28493.18</v>
      </c>
      <c r="E191" s="1948">
        <v>5310</v>
      </c>
      <c r="F191" s="1948">
        <v>23183.18</v>
      </c>
      <c r="G191" s="1947"/>
      <c r="H191" s="1949" t="str">
        <f>IFERROR(IF(F191&gt;=VLOOKUP(A191,[1]Materiality!$I$6:$J$12,2,TRUE),IFERROR(IF(VLOOKUP("*CR",F191,1,FALSE)&gt;=0,"",VLOOKUP("*CR",F191,1,FALSE)),F191),""),"")</f>
        <v/>
      </c>
    </row>
    <row r="192" spans="1:8" x14ac:dyDescent="0.25">
      <c r="A192" s="1947" t="s">
        <v>2975</v>
      </c>
      <c r="B192" s="1947" t="s">
        <v>2706</v>
      </c>
      <c r="C192" s="1947" t="s">
        <v>2211</v>
      </c>
      <c r="D192" s="1948">
        <v>9930</v>
      </c>
      <c r="E192" s="1948">
        <v>1785</v>
      </c>
      <c r="F192" s="1948">
        <v>8145</v>
      </c>
      <c r="G192" s="1947"/>
      <c r="H192" s="1949" t="str">
        <f>IFERROR(IF(F192&gt;=VLOOKUP(A192,[1]Materiality!$I$6:$J$12,2,TRUE),IFERROR(IF(VLOOKUP("*CR",F192,1,FALSE)&gt;=0,"",VLOOKUP("*CR",F192,1,FALSE)),F192),""),"")</f>
        <v/>
      </c>
    </row>
    <row r="193" spans="1:8" x14ac:dyDescent="0.25">
      <c r="A193" s="1947" t="s">
        <v>2976</v>
      </c>
      <c r="B193" s="1947" t="s">
        <v>2721</v>
      </c>
      <c r="C193" s="1947" t="s">
        <v>2212</v>
      </c>
      <c r="D193" s="1948">
        <v>25837.5</v>
      </c>
      <c r="E193" s="1947">
        <v>0</v>
      </c>
      <c r="F193" s="1948">
        <v>25837.5</v>
      </c>
      <c r="G193" s="1947"/>
      <c r="H193" s="1949" t="str">
        <f>IFERROR(IF(F193&gt;=VLOOKUP(A193,[1]Materiality!$I$6:$J$12,2,TRUE),IFERROR(IF(VLOOKUP("*CR",F193,1,FALSE)&gt;=0,"",VLOOKUP("*CR",F193,1,FALSE)),F193),""),"")</f>
        <v/>
      </c>
    </row>
    <row r="194" spans="1:8" x14ac:dyDescent="0.25">
      <c r="A194" s="1947" t="s">
        <v>2977</v>
      </c>
      <c r="B194" s="1947" t="s">
        <v>2721</v>
      </c>
      <c r="C194" s="1947" t="s">
        <v>2213</v>
      </c>
      <c r="D194" s="1948">
        <v>8835.82</v>
      </c>
      <c r="E194" s="1947">
        <v>0</v>
      </c>
      <c r="F194" s="1948">
        <v>8835.82</v>
      </c>
      <c r="G194" s="1947"/>
      <c r="H194" s="1949" t="str">
        <f>IFERROR(IF(F194&gt;=VLOOKUP(A194,[1]Materiality!$I$6:$J$12,2,TRUE),IFERROR(IF(VLOOKUP("*CR",F194,1,FALSE)&gt;=0,"",VLOOKUP("*CR",F194,1,FALSE)),F194),""),"")</f>
        <v/>
      </c>
    </row>
    <row r="195" spans="1:8" x14ac:dyDescent="0.25">
      <c r="A195" s="1947" t="s">
        <v>2978</v>
      </c>
      <c r="B195" s="1947" t="s">
        <v>2721</v>
      </c>
      <c r="C195" s="1947" t="s">
        <v>2214</v>
      </c>
      <c r="D195" s="1948">
        <v>81834.22</v>
      </c>
      <c r="E195" s="1947">
        <v>0</v>
      </c>
      <c r="F195" s="1948">
        <v>81834.22</v>
      </c>
      <c r="G195" s="1947"/>
      <c r="H195" s="1949" t="str">
        <f>IFERROR(IF(F195&gt;=VLOOKUP(A195,[1]Materiality!$I$6:$J$12,2,TRUE),IFERROR(IF(VLOOKUP("*CR",F195,1,FALSE)&gt;=0,"",VLOOKUP("*CR",F195,1,FALSE)),F195),""),"")</f>
        <v/>
      </c>
    </row>
    <row r="196" spans="1:8" x14ac:dyDescent="0.25">
      <c r="A196" s="1947" t="s">
        <v>2978</v>
      </c>
      <c r="B196" s="1947" t="s">
        <v>2706</v>
      </c>
      <c r="C196" s="1947" t="s">
        <v>2215</v>
      </c>
      <c r="D196" s="1947">
        <v>62.33</v>
      </c>
      <c r="E196" s="1947">
        <v>26.72</v>
      </c>
      <c r="F196" s="1947">
        <v>35.61</v>
      </c>
      <c r="G196" s="1947"/>
      <c r="H196" s="1949" t="str">
        <f>IFERROR(IF(F196&gt;=VLOOKUP(A196,[1]Materiality!$I$6:$J$12,2,TRUE),IFERROR(IF(VLOOKUP("*CR",F196,1,FALSE)&gt;=0,"",VLOOKUP("*CR",F196,1,FALSE)),F196),""),"")</f>
        <v/>
      </c>
    </row>
    <row r="197" spans="1:8" x14ac:dyDescent="0.25">
      <c r="A197" s="1947" t="s">
        <v>2978</v>
      </c>
      <c r="B197" s="1947" t="s">
        <v>2722</v>
      </c>
      <c r="C197" s="1947" t="s">
        <v>2216</v>
      </c>
      <c r="D197" s="1947">
        <v>13.36</v>
      </c>
      <c r="E197" s="1947">
        <v>0</v>
      </c>
      <c r="F197" s="1947">
        <v>13.36</v>
      </c>
      <c r="G197" s="1947"/>
      <c r="H197" s="1949" t="str">
        <f>IFERROR(IF(F197&gt;=VLOOKUP(A197,[1]Materiality!$I$6:$J$12,2,TRUE),IFERROR(IF(VLOOKUP("*CR",F197,1,FALSE)&gt;=0,"",VLOOKUP("*CR",F197,1,FALSE)),F197),""),"")</f>
        <v/>
      </c>
    </row>
    <row r="198" spans="1:8" x14ac:dyDescent="0.25">
      <c r="A198" s="1947" t="s">
        <v>2979</v>
      </c>
      <c r="B198" s="1947" t="s">
        <v>2706</v>
      </c>
      <c r="C198" s="1947" t="s">
        <v>2217</v>
      </c>
      <c r="D198" s="1947">
        <v>301.62</v>
      </c>
      <c r="E198" s="1947">
        <v>120.43</v>
      </c>
      <c r="F198" s="1947">
        <v>181.19</v>
      </c>
      <c r="G198" s="1947"/>
      <c r="H198" s="1949" t="str">
        <f>IFERROR(IF(F198&gt;=VLOOKUP(A198,[1]Materiality!$I$6:$J$12,2,TRUE),IFERROR(IF(VLOOKUP("*CR",F198,1,FALSE)&gt;=0,"",VLOOKUP("*CR",F198,1,FALSE)),F198),""),"")</f>
        <v/>
      </c>
    </row>
    <row r="199" spans="1:8" x14ac:dyDescent="0.25">
      <c r="A199" s="1947" t="s">
        <v>2980</v>
      </c>
      <c r="B199" s="1947" t="s">
        <v>2721</v>
      </c>
      <c r="C199" s="1947" t="s">
        <v>2214</v>
      </c>
      <c r="D199" s="1948">
        <v>5336.32</v>
      </c>
      <c r="E199" s="1947">
        <v>0</v>
      </c>
      <c r="F199" s="1948">
        <v>5336.32</v>
      </c>
      <c r="G199" s="1947"/>
      <c r="H199" s="1949" t="str">
        <f>IFERROR(IF(F199&gt;=VLOOKUP(A199,[1]Materiality!$I$6:$J$12,2,TRUE),IFERROR(IF(VLOOKUP("*CR",F199,1,FALSE)&gt;=0,"",VLOOKUP("*CR",F199,1,FALSE)),F199),""),"")</f>
        <v/>
      </c>
    </row>
    <row r="200" spans="1:8" x14ac:dyDescent="0.25">
      <c r="A200" s="1947" t="s">
        <v>2980</v>
      </c>
      <c r="B200" s="1947" t="s">
        <v>2706</v>
      </c>
      <c r="C200" s="1947" t="s">
        <v>2215</v>
      </c>
      <c r="D200" s="1947">
        <v>8.52</v>
      </c>
      <c r="E200" s="1947">
        <v>2.06</v>
      </c>
      <c r="F200" s="1947">
        <v>6.46</v>
      </c>
      <c r="G200" s="1947"/>
      <c r="H200" s="1949" t="str">
        <f>IFERROR(IF(F200&gt;=VLOOKUP(A200,[1]Materiality!$I$6:$J$12,2,TRUE),IFERROR(IF(VLOOKUP("*CR",F200,1,FALSE)&gt;=0,"",VLOOKUP("*CR",F200,1,FALSE)),F200),""),"")</f>
        <v/>
      </c>
    </row>
    <row r="201" spans="1:8" x14ac:dyDescent="0.25">
      <c r="A201" s="1947" t="s">
        <v>2980</v>
      </c>
      <c r="B201" s="1947" t="s">
        <v>2722</v>
      </c>
      <c r="C201" s="1947" t="s">
        <v>2216</v>
      </c>
      <c r="D201" s="1947">
        <v>0.78</v>
      </c>
      <c r="E201" s="1947">
        <v>0</v>
      </c>
      <c r="F201" s="1947">
        <v>0.78</v>
      </c>
      <c r="G201" s="1947"/>
      <c r="H201" s="1949" t="str">
        <f>IFERROR(IF(F201&gt;=VLOOKUP(A201,[1]Materiality!$I$6:$J$12,2,TRUE),IFERROR(IF(VLOOKUP("*CR",F201,1,FALSE)&gt;=0,"",VLOOKUP("*CR",F201,1,FALSE)),F201),""),"")</f>
        <v/>
      </c>
    </row>
    <row r="202" spans="1:8" x14ac:dyDescent="0.25">
      <c r="A202" s="1947" t="s">
        <v>2981</v>
      </c>
      <c r="B202" s="1947" t="s">
        <v>2721</v>
      </c>
      <c r="C202" s="1947" t="s">
        <v>2218</v>
      </c>
      <c r="D202" s="1948">
        <v>16155.98</v>
      </c>
      <c r="E202" s="1947">
        <v>0</v>
      </c>
      <c r="F202" s="1948">
        <v>16155.98</v>
      </c>
      <c r="G202" s="1947"/>
      <c r="H202" s="1949" t="str">
        <f>IFERROR(IF(F202&gt;=VLOOKUP(A202,[1]Materiality!$I$6:$J$12,2,TRUE),IFERROR(IF(VLOOKUP("*CR",F202,1,FALSE)&gt;=0,"",VLOOKUP("*CR",F202,1,FALSE)),F202),""),"")</f>
        <v/>
      </c>
    </row>
    <row r="203" spans="1:8" x14ac:dyDescent="0.25">
      <c r="A203" s="1947" t="s">
        <v>2981</v>
      </c>
      <c r="B203" s="1947" t="s">
        <v>2706</v>
      </c>
      <c r="C203" s="1947" t="s">
        <v>2219</v>
      </c>
      <c r="D203" s="1947">
        <v>19.72</v>
      </c>
      <c r="E203" s="1947">
        <v>6.02</v>
      </c>
      <c r="F203" s="1947">
        <v>13.7</v>
      </c>
      <c r="G203" s="1947"/>
      <c r="H203" s="1949" t="str">
        <f>IFERROR(IF(F203&gt;=VLOOKUP(A203,[1]Materiality!$I$6:$J$12,2,TRUE),IFERROR(IF(VLOOKUP("*CR",F203,1,FALSE)&gt;=0,"",VLOOKUP("*CR",F203,1,FALSE)),F203),""),"")</f>
        <v/>
      </c>
    </row>
    <row r="204" spans="1:8" x14ac:dyDescent="0.25">
      <c r="A204" s="1947" t="s">
        <v>2981</v>
      </c>
      <c r="B204" s="1947" t="s">
        <v>2722</v>
      </c>
      <c r="C204" s="1947" t="s">
        <v>2220</v>
      </c>
      <c r="D204" s="1947">
        <v>2.61</v>
      </c>
      <c r="E204" s="1947">
        <v>0</v>
      </c>
      <c r="F204" s="1947">
        <v>2.61</v>
      </c>
      <c r="G204" s="1947"/>
      <c r="H204" s="1949" t="str">
        <f>IFERROR(IF(F204&gt;=VLOOKUP(A204,[1]Materiality!$I$6:$J$12,2,TRUE),IFERROR(IF(VLOOKUP("*CR",F204,1,FALSE)&gt;=0,"",VLOOKUP("*CR",F204,1,FALSE)),F204),""),"")</f>
        <v/>
      </c>
    </row>
    <row r="205" spans="1:8" x14ac:dyDescent="0.25">
      <c r="A205" s="1947" t="s">
        <v>2982</v>
      </c>
      <c r="B205" s="1947" t="s">
        <v>2721</v>
      </c>
      <c r="C205" s="1947" t="s">
        <v>2221</v>
      </c>
      <c r="D205" s="1948">
        <v>323745.89</v>
      </c>
      <c r="E205" s="1948">
        <v>108928.18</v>
      </c>
      <c r="F205" s="1948">
        <v>214817.71</v>
      </c>
      <c r="G205" s="1947"/>
      <c r="H205" s="1949" t="str">
        <f>IFERROR(IF(F205&gt;=VLOOKUP(A205,[1]Materiality!$I$6:$J$12,2,TRUE),IFERROR(IF(VLOOKUP("*CR",F205,1,FALSE)&gt;=0,"",VLOOKUP("*CR",F205,1,FALSE)),F205),""),"")</f>
        <v/>
      </c>
    </row>
    <row r="206" spans="1:8" x14ac:dyDescent="0.25">
      <c r="A206" s="1947" t="s">
        <v>2982</v>
      </c>
      <c r="B206" s="1947" t="s">
        <v>2706</v>
      </c>
      <c r="C206" s="1947" t="s">
        <v>2222</v>
      </c>
      <c r="D206" s="1948">
        <v>47010.59</v>
      </c>
      <c r="E206" s="1948">
        <v>20036.59</v>
      </c>
      <c r="F206" s="1948">
        <v>26974</v>
      </c>
      <c r="G206" s="1947"/>
      <c r="H206" s="1949" t="str">
        <f>IFERROR(IF(F206&gt;=VLOOKUP(A206,[1]Materiality!$I$6:$J$12,2,TRUE),IFERROR(IF(VLOOKUP("*CR",F206,1,FALSE)&gt;=0,"",VLOOKUP("*CR",F206,1,FALSE)),F206),""),"")</f>
        <v/>
      </c>
    </row>
    <row r="207" spans="1:8" x14ac:dyDescent="0.25">
      <c r="A207" s="1947" t="s">
        <v>2983</v>
      </c>
      <c r="B207" s="1947" t="s">
        <v>2721</v>
      </c>
      <c r="C207" s="1947" t="s">
        <v>2223</v>
      </c>
      <c r="D207" s="1947">
        <v>10</v>
      </c>
      <c r="E207" s="1947">
        <v>0</v>
      </c>
      <c r="F207" s="1947">
        <v>10</v>
      </c>
      <c r="G207" s="1947"/>
      <c r="H207" s="1949" t="str">
        <f>IFERROR(IF(F207&gt;=VLOOKUP(A207,[1]Materiality!$I$6:$J$12,2,TRUE),IFERROR(IF(VLOOKUP("*CR",F207,1,FALSE)&gt;=0,"",VLOOKUP("*CR",F207,1,FALSE)),F207),""),"")</f>
        <v/>
      </c>
    </row>
    <row r="208" spans="1:8" x14ac:dyDescent="0.25">
      <c r="A208" s="1947" t="s">
        <v>2984</v>
      </c>
      <c r="B208" s="1947" t="s">
        <v>2721</v>
      </c>
      <c r="C208" s="1947" t="s">
        <v>2224</v>
      </c>
      <c r="D208" s="1948">
        <v>33878.949999999997</v>
      </c>
      <c r="E208" s="1948">
        <v>2525.5700000000002</v>
      </c>
      <c r="F208" s="1948">
        <v>31353.38</v>
      </c>
      <c r="G208" s="1947"/>
      <c r="H208" s="1949" t="str">
        <f>IFERROR(IF(F208&gt;=VLOOKUP(A208,[1]Materiality!$I$6:$J$12,2,TRUE),IFERROR(IF(VLOOKUP("*CR",F208,1,FALSE)&gt;=0,"",VLOOKUP("*CR",F208,1,FALSE)),F208),""),"")</f>
        <v/>
      </c>
    </row>
    <row r="209" spans="1:8" x14ac:dyDescent="0.25">
      <c r="A209" s="1947" t="s">
        <v>2984</v>
      </c>
      <c r="B209" s="1947" t="s">
        <v>2706</v>
      </c>
      <c r="C209" s="1947" t="s">
        <v>2225</v>
      </c>
      <c r="D209" s="1947">
        <v>443.75</v>
      </c>
      <c r="E209" s="1947">
        <v>443.75</v>
      </c>
      <c r="F209" s="1947">
        <v>0</v>
      </c>
      <c r="G209" s="1947"/>
      <c r="H209" s="1949" t="str">
        <f>IFERROR(IF(F209&gt;=VLOOKUP(A209,[1]Materiality!$I$6:$J$12,2,TRUE),IFERROR(IF(VLOOKUP("*CR",F209,1,FALSE)&gt;=0,"",VLOOKUP("*CR",F209,1,FALSE)),F209),""),"")</f>
        <v/>
      </c>
    </row>
    <row r="210" spans="1:8" x14ac:dyDescent="0.25">
      <c r="A210" s="1947" t="s">
        <v>2985</v>
      </c>
      <c r="B210" s="1947" t="s">
        <v>2721</v>
      </c>
      <c r="C210" s="1947" t="s">
        <v>2226</v>
      </c>
      <c r="D210" s="1948">
        <v>10482.5</v>
      </c>
      <c r="E210" s="1947">
        <v>0</v>
      </c>
      <c r="F210" s="1948">
        <v>10482.5</v>
      </c>
      <c r="G210" s="1947"/>
      <c r="H210" s="1949" t="str">
        <f>IFERROR(IF(F210&gt;=VLOOKUP(A210,[1]Materiality!$I$6:$J$12,2,TRUE),IFERROR(IF(VLOOKUP("*CR",F210,1,FALSE)&gt;=0,"",VLOOKUP("*CR",F210,1,FALSE)),F210),""),"")</f>
        <v/>
      </c>
    </row>
    <row r="211" spans="1:8" x14ac:dyDescent="0.25">
      <c r="A211" s="1947" t="s">
        <v>2986</v>
      </c>
      <c r="B211" s="1947" t="s">
        <v>2723</v>
      </c>
      <c r="C211" s="1947" t="s">
        <v>2227</v>
      </c>
      <c r="D211" s="1947">
        <v>106.24</v>
      </c>
      <c r="E211" s="1947">
        <v>0</v>
      </c>
      <c r="F211" s="1947">
        <v>106.24</v>
      </c>
      <c r="G211" s="1947"/>
      <c r="H211" s="1949" t="str">
        <f>IFERROR(IF(F211&gt;=VLOOKUP(A211,[1]Materiality!$I$6:$J$12,2,TRUE),IFERROR(IF(VLOOKUP("*CR",F211,1,FALSE)&gt;=0,"",VLOOKUP("*CR",F211,1,FALSE)),F211),""),"")</f>
        <v/>
      </c>
    </row>
    <row r="212" spans="1:8" x14ac:dyDescent="0.25">
      <c r="A212" s="1947" t="s">
        <v>2987</v>
      </c>
      <c r="B212" s="1947" t="s">
        <v>2721</v>
      </c>
      <c r="C212" s="1947" t="s">
        <v>2228</v>
      </c>
      <c r="D212" s="1948">
        <v>44185.03</v>
      </c>
      <c r="E212" s="1947">
        <v>0</v>
      </c>
      <c r="F212" s="1948">
        <v>44185.03</v>
      </c>
      <c r="G212" s="1947"/>
      <c r="H212" s="1949" t="str">
        <f>IFERROR(IF(F212&gt;=VLOOKUP(A212,[1]Materiality!$I$6:$J$12,2,TRUE),IFERROR(IF(VLOOKUP("*CR",F212,1,FALSE)&gt;=0,"",VLOOKUP("*CR",F212,1,FALSE)),F212),""),"")</f>
        <v/>
      </c>
    </row>
    <row r="213" spans="1:8" x14ac:dyDescent="0.25">
      <c r="A213" s="1947" t="s">
        <v>2988</v>
      </c>
      <c r="B213" s="1947" t="s">
        <v>2721</v>
      </c>
      <c r="C213" s="1947" t="s">
        <v>2229</v>
      </c>
      <c r="D213" s="1947">
        <v>279.14</v>
      </c>
      <c r="E213" s="1947">
        <v>0</v>
      </c>
      <c r="F213" s="1947">
        <v>279.14</v>
      </c>
      <c r="G213" s="1947"/>
      <c r="H213" s="1949" t="str">
        <f>IFERROR(IF(F213&gt;=VLOOKUP(A213,[1]Materiality!$I$6:$J$12,2,TRUE),IFERROR(IF(VLOOKUP("*CR",F213,1,FALSE)&gt;=0,"",VLOOKUP("*CR",F213,1,FALSE)),F213),""),"")</f>
        <v/>
      </c>
    </row>
    <row r="214" spans="1:8" x14ac:dyDescent="0.25">
      <c r="A214" s="1947" t="s">
        <v>2989</v>
      </c>
      <c r="B214" s="1947" t="s">
        <v>2721</v>
      </c>
      <c r="C214" s="1947" t="s">
        <v>2230</v>
      </c>
      <c r="D214" s="1948">
        <v>2008.7</v>
      </c>
      <c r="E214" s="1947">
        <v>119.48</v>
      </c>
      <c r="F214" s="1948">
        <v>1889.22</v>
      </c>
      <c r="G214" s="1947"/>
      <c r="H214" s="1949" t="str">
        <f>IFERROR(IF(F214&gt;=VLOOKUP(A214,[1]Materiality!$I$6:$J$12,2,TRUE),IFERROR(IF(VLOOKUP("*CR",F214,1,FALSE)&gt;=0,"",VLOOKUP("*CR",F214,1,FALSE)),F214),""),"")</f>
        <v/>
      </c>
    </row>
    <row r="215" spans="1:8" x14ac:dyDescent="0.25">
      <c r="A215" s="1947" t="s">
        <v>2989</v>
      </c>
      <c r="B215" s="1947" t="s">
        <v>2706</v>
      </c>
      <c r="C215" s="1947" t="s">
        <v>2231</v>
      </c>
      <c r="D215" s="1948">
        <v>14360.05</v>
      </c>
      <c r="E215" s="1947">
        <v>974.19</v>
      </c>
      <c r="F215" s="1948">
        <v>13385.86</v>
      </c>
      <c r="G215" s="1947"/>
      <c r="H215" s="1949" t="str">
        <f>IFERROR(IF(F215&gt;=VLOOKUP(A215,[1]Materiality!$I$6:$J$12,2,TRUE),IFERROR(IF(VLOOKUP("*CR",F215,1,FALSE)&gt;=0,"",VLOOKUP("*CR",F215,1,FALSE)),F215),""),"")</f>
        <v/>
      </c>
    </row>
    <row r="216" spans="1:8" x14ac:dyDescent="0.25">
      <c r="A216" s="1947" t="s">
        <v>2989</v>
      </c>
      <c r="B216" s="1947" t="s">
        <v>2723</v>
      </c>
      <c r="C216" s="1947" t="s">
        <v>2232</v>
      </c>
      <c r="D216" s="1948">
        <v>1782.44</v>
      </c>
      <c r="E216" s="1947">
        <v>0</v>
      </c>
      <c r="F216" s="1948">
        <v>1782.44</v>
      </c>
      <c r="G216" s="1947"/>
      <c r="H216" s="1949" t="str">
        <f>IFERROR(IF(F216&gt;=VLOOKUP(A216,[1]Materiality!$I$6:$J$12,2,TRUE),IFERROR(IF(VLOOKUP("*CR",F216,1,FALSE)&gt;=0,"",VLOOKUP("*CR",F216,1,FALSE)),F216),""),"")</f>
        <v/>
      </c>
    </row>
    <row r="217" spans="1:8" x14ac:dyDescent="0.25">
      <c r="A217" s="1947" t="s">
        <v>2990</v>
      </c>
      <c r="B217" s="1947" t="s">
        <v>2721</v>
      </c>
      <c r="C217" s="1947" t="s">
        <v>2233</v>
      </c>
      <c r="D217" s="1948">
        <v>1849.82</v>
      </c>
      <c r="E217" s="1947">
        <v>222.63</v>
      </c>
      <c r="F217" s="1948">
        <v>1627.19</v>
      </c>
      <c r="G217" s="1947"/>
      <c r="H217" s="1949" t="str">
        <f>IFERROR(IF(F217&gt;=VLOOKUP(A217,[1]Materiality!$I$6:$J$12,2,TRUE),IFERROR(IF(VLOOKUP("*CR",F217,1,FALSE)&gt;=0,"",VLOOKUP("*CR",F217,1,FALSE)),F217),""),"")</f>
        <v/>
      </c>
    </row>
    <row r="218" spans="1:8" x14ac:dyDescent="0.25">
      <c r="A218" s="1947" t="s">
        <v>2991</v>
      </c>
      <c r="B218" s="1947" t="s">
        <v>2721</v>
      </c>
      <c r="C218" s="1947" t="s">
        <v>2234</v>
      </c>
      <c r="D218" s="1947">
        <v>18.54</v>
      </c>
      <c r="E218" s="1947">
        <v>0</v>
      </c>
      <c r="F218" s="1947">
        <v>18.54</v>
      </c>
      <c r="G218" s="1947"/>
      <c r="H218" s="1949" t="str">
        <f>IFERROR(IF(F218&gt;=VLOOKUP(A218,[1]Materiality!$I$6:$J$12,2,TRUE),IFERROR(IF(VLOOKUP("*CR",F218,1,FALSE)&gt;=0,"",VLOOKUP("*CR",F218,1,FALSE)),F218),""),"")</f>
        <v/>
      </c>
    </row>
    <row r="219" spans="1:8" x14ac:dyDescent="0.25">
      <c r="A219" s="1947" t="s">
        <v>2992</v>
      </c>
      <c r="B219" s="1947" t="s">
        <v>2721</v>
      </c>
      <c r="C219" s="1947" t="s">
        <v>2235</v>
      </c>
      <c r="D219" s="1947">
        <v>515.89</v>
      </c>
      <c r="E219" s="1947">
        <v>0</v>
      </c>
      <c r="F219" s="1947">
        <v>515.89</v>
      </c>
      <c r="G219" s="1947"/>
      <c r="H219" s="1949" t="str">
        <f>IFERROR(IF(F219&gt;=VLOOKUP(A219,[1]Materiality!$I$6:$J$12,2,TRUE),IFERROR(IF(VLOOKUP("*CR",F219,1,FALSE)&gt;=0,"",VLOOKUP("*CR",F219,1,FALSE)),F219),""),"")</f>
        <v/>
      </c>
    </row>
    <row r="220" spans="1:8" x14ac:dyDescent="0.25">
      <c r="A220" s="1947" t="s">
        <v>2992</v>
      </c>
      <c r="B220" s="1947" t="s">
        <v>2723</v>
      </c>
      <c r="C220" s="1947" t="s">
        <v>2236</v>
      </c>
      <c r="D220" s="1947">
        <v>488.96</v>
      </c>
      <c r="E220" s="1947">
        <v>0</v>
      </c>
      <c r="F220" s="1947">
        <v>488.96</v>
      </c>
      <c r="G220" s="1947"/>
      <c r="H220" s="1949" t="str">
        <f>IFERROR(IF(F220&gt;=VLOOKUP(A220,[1]Materiality!$I$6:$J$12,2,TRUE),IFERROR(IF(VLOOKUP("*CR",F220,1,FALSE)&gt;=0,"",VLOOKUP("*CR",F220,1,FALSE)),F220),""),"")</f>
        <v/>
      </c>
    </row>
    <row r="221" spans="1:8" x14ac:dyDescent="0.25">
      <c r="A221" s="1947" t="s">
        <v>2973</v>
      </c>
      <c r="B221" s="1947" t="s">
        <v>2721</v>
      </c>
      <c r="C221" s="1947" t="s">
        <v>2205</v>
      </c>
      <c r="D221" s="1948">
        <v>187129.51</v>
      </c>
      <c r="E221" s="1947">
        <v>0</v>
      </c>
      <c r="F221" s="1948">
        <v>187129.51</v>
      </c>
      <c r="G221" s="1947"/>
      <c r="H221" s="1949" t="str">
        <f>IFERROR(IF(F221&gt;=VLOOKUP(A221,[1]Materiality!$I$6:$J$12,2,TRUE),IFERROR(IF(VLOOKUP("*CR",F221,1,FALSE)&gt;=0,"",VLOOKUP("*CR",F221,1,FALSE)),F221),""),"")</f>
        <v/>
      </c>
    </row>
    <row r="222" spans="1:8" x14ac:dyDescent="0.25">
      <c r="A222" s="1947" t="s">
        <v>2978</v>
      </c>
      <c r="B222" s="1947" t="s">
        <v>2721</v>
      </c>
      <c r="C222" s="1947" t="s">
        <v>2214</v>
      </c>
      <c r="D222" s="1948">
        <v>18349.05</v>
      </c>
      <c r="E222" s="1947">
        <v>0</v>
      </c>
      <c r="F222" s="1948">
        <v>18349.05</v>
      </c>
      <c r="G222" s="1947"/>
      <c r="H222" s="1949" t="str">
        <f>IFERROR(IF(F222&gt;=VLOOKUP(A222,[1]Materiality!$I$6:$J$12,2,TRUE),IFERROR(IF(VLOOKUP("*CR",F222,1,FALSE)&gt;=0,"",VLOOKUP("*CR",F222,1,FALSE)),F222),""),"")</f>
        <v/>
      </c>
    </row>
    <row r="223" spans="1:8" x14ac:dyDescent="0.25">
      <c r="A223" s="1947" t="s">
        <v>2980</v>
      </c>
      <c r="B223" s="1947" t="s">
        <v>2721</v>
      </c>
      <c r="C223" s="1947" t="s">
        <v>2214</v>
      </c>
      <c r="D223" s="1948">
        <v>1177.6500000000001</v>
      </c>
      <c r="E223" s="1947">
        <v>0</v>
      </c>
      <c r="F223" s="1948">
        <v>1177.6500000000001</v>
      </c>
      <c r="G223" s="1947"/>
      <c r="H223" s="1949" t="str">
        <f>IFERROR(IF(F223&gt;=VLOOKUP(A223,[1]Materiality!$I$6:$J$12,2,TRUE),IFERROR(IF(VLOOKUP("*CR",F223,1,FALSE)&gt;=0,"",VLOOKUP("*CR",F223,1,FALSE)),F223),""),"")</f>
        <v/>
      </c>
    </row>
    <row r="224" spans="1:8" x14ac:dyDescent="0.25">
      <c r="A224" s="1947" t="s">
        <v>2981</v>
      </c>
      <c r="B224" s="1947" t="s">
        <v>2721</v>
      </c>
      <c r="C224" s="1947" t="s">
        <v>2218</v>
      </c>
      <c r="D224" s="1948">
        <v>3586.38</v>
      </c>
      <c r="E224" s="1947">
        <v>0</v>
      </c>
      <c r="F224" s="1948">
        <v>3586.38</v>
      </c>
      <c r="G224" s="1947"/>
      <c r="H224" s="1949" t="str">
        <f>IFERROR(IF(F224&gt;=VLOOKUP(A224,[1]Materiality!$I$6:$J$12,2,TRUE),IFERROR(IF(VLOOKUP("*CR",F224,1,FALSE)&gt;=0,"",VLOOKUP("*CR",F224,1,FALSE)),F224),""),"")</f>
        <v/>
      </c>
    </row>
    <row r="225" spans="1:8" x14ac:dyDescent="0.25">
      <c r="A225" s="1947" t="s">
        <v>2982</v>
      </c>
      <c r="B225" s="1947" t="s">
        <v>2721</v>
      </c>
      <c r="C225" s="1947" t="s">
        <v>2221</v>
      </c>
      <c r="D225" s="1948">
        <v>55777.72</v>
      </c>
      <c r="E225" s="1948">
        <v>11558.79</v>
      </c>
      <c r="F225" s="1948">
        <v>44218.93</v>
      </c>
      <c r="G225" s="1947"/>
      <c r="H225" s="1949" t="str">
        <f>IFERROR(IF(F225&gt;=VLOOKUP(A225,[1]Materiality!$I$6:$J$12,2,TRUE),IFERROR(IF(VLOOKUP("*CR",F225,1,FALSE)&gt;=0,"",VLOOKUP("*CR",F225,1,FALSE)),F225),""),"")</f>
        <v/>
      </c>
    </row>
    <row r="226" spans="1:8" x14ac:dyDescent="0.25">
      <c r="A226" s="1947" t="s">
        <v>2989</v>
      </c>
      <c r="B226" s="1947" t="s">
        <v>2721</v>
      </c>
      <c r="C226" s="1947" t="s">
        <v>2230</v>
      </c>
      <c r="D226" s="1947">
        <v>94.57</v>
      </c>
      <c r="E226" s="1947">
        <v>0</v>
      </c>
      <c r="F226" s="1947">
        <v>94.57</v>
      </c>
      <c r="G226" s="1947"/>
      <c r="H226" s="1949" t="str">
        <f>IFERROR(IF(F226&gt;=VLOOKUP(A226,[1]Materiality!$I$6:$J$12,2,TRUE),IFERROR(IF(VLOOKUP("*CR",F226,1,FALSE)&gt;=0,"",VLOOKUP("*CR",F226,1,FALSE)),F226),""),"")</f>
        <v/>
      </c>
    </row>
    <row r="227" spans="1:8" x14ac:dyDescent="0.25">
      <c r="A227" s="1947" t="s">
        <v>2993</v>
      </c>
      <c r="B227" s="1947" t="s">
        <v>2724</v>
      </c>
      <c r="C227" s="1947" t="s">
        <v>2237</v>
      </c>
      <c r="D227" s="1948">
        <v>628421.53</v>
      </c>
      <c r="E227" s="1947">
        <v>0</v>
      </c>
      <c r="F227" s="1948">
        <v>628421.53</v>
      </c>
      <c r="G227" s="1947"/>
      <c r="H227" s="1949" t="str">
        <f>IFERROR(IF(F227&gt;=VLOOKUP(A227,[1]Materiality!$I$6:$J$12,2,TRUE),IFERROR(IF(VLOOKUP("*CR",F227,1,FALSE)&gt;=0,"",VLOOKUP("*CR",F227,1,FALSE)),F227),""),"")</f>
        <v/>
      </c>
    </row>
    <row r="228" spans="1:8" x14ac:dyDescent="0.25">
      <c r="A228" s="1947" t="s">
        <v>2994</v>
      </c>
      <c r="B228" s="1947" t="s">
        <v>2724</v>
      </c>
      <c r="C228" s="1947" t="s">
        <v>2238</v>
      </c>
      <c r="D228" s="1948">
        <v>62329.61</v>
      </c>
      <c r="E228" s="1947">
        <v>0</v>
      </c>
      <c r="F228" s="1948">
        <v>62329.61</v>
      </c>
      <c r="G228" s="1947"/>
      <c r="H228" s="1949" t="str">
        <f>IFERROR(IF(F228&gt;=VLOOKUP(A228,[1]Materiality!$I$6:$J$12,2,TRUE),IFERROR(IF(VLOOKUP("*CR",F228,1,FALSE)&gt;=0,"",VLOOKUP("*CR",F228,1,FALSE)),F228),""),"")</f>
        <v/>
      </c>
    </row>
    <row r="229" spans="1:8" x14ac:dyDescent="0.25">
      <c r="A229" s="1947" t="s">
        <v>2995</v>
      </c>
      <c r="B229" s="1947" t="s">
        <v>2724</v>
      </c>
      <c r="C229" s="1947" t="s">
        <v>2238</v>
      </c>
      <c r="D229" s="1948">
        <v>3992.18</v>
      </c>
      <c r="E229" s="1947">
        <v>0</v>
      </c>
      <c r="F229" s="1948">
        <v>3992.18</v>
      </c>
      <c r="G229" s="1947"/>
      <c r="H229" s="1949" t="str">
        <f>IFERROR(IF(F229&gt;=VLOOKUP(A229,[1]Materiality!$I$6:$J$12,2,TRUE),IFERROR(IF(VLOOKUP("*CR",F229,1,FALSE)&gt;=0,"",VLOOKUP("*CR",F229,1,FALSE)),F229),""),"")</f>
        <v/>
      </c>
    </row>
    <row r="230" spans="1:8" x14ac:dyDescent="0.25">
      <c r="A230" s="1947" t="s">
        <v>2996</v>
      </c>
      <c r="B230" s="1947" t="s">
        <v>2724</v>
      </c>
      <c r="C230" s="1947" t="s">
        <v>2239</v>
      </c>
      <c r="D230" s="1948">
        <v>12182.28</v>
      </c>
      <c r="E230" s="1947">
        <v>0</v>
      </c>
      <c r="F230" s="1948">
        <v>12182.28</v>
      </c>
      <c r="G230" s="1947"/>
      <c r="H230" s="1949" t="str">
        <f>IFERROR(IF(F230&gt;=VLOOKUP(A230,[1]Materiality!$I$6:$J$12,2,TRUE),IFERROR(IF(VLOOKUP("*CR",F230,1,FALSE)&gt;=0,"",VLOOKUP("*CR",F230,1,FALSE)),F230),""),"")</f>
        <v/>
      </c>
    </row>
    <row r="231" spans="1:8" x14ac:dyDescent="0.25">
      <c r="A231" s="1947" t="s">
        <v>2997</v>
      </c>
      <c r="B231" s="1947" t="s">
        <v>2724</v>
      </c>
      <c r="C231" s="1947" t="s">
        <v>2240</v>
      </c>
      <c r="D231" s="1948">
        <v>175716.81</v>
      </c>
      <c r="E231" s="1948">
        <v>35269.5</v>
      </c>
      <c r="F231" s="1948">
        <v>140447.31</v>
      </c>
      <c r="G231" s="1947"/>
      <c r="H231" s="1949" t="str">
        <f>IFERROR(IF(F231&gt;=VLOOKUP(A231,[1]Materiality!$I$6:$J$12,2,TRUE),IFERROR(IF(VLOOKUP("*CR",F231,1,FALSE)&gt;=0,"",VLOOKUP("*CR",F231,1,FALSE)),F231),""),"")</f>
        <v/>
      </c>
    </row>
    <row r="232" spans="1:8" x14ac:dyDescent="0.25">
      <c r="A232" s="1947" t="s">
        <v>2998</v>
      </c>
      <c r="B232" s="1947" t="s">
        <v>2724</v>
      </c>
      <c r="C232" s="1947" t="s">
        <v>2241</v>
      </c>
      <c r="D232" s="1947">
        <v>372.5</v>
      </c>
      <c r="E232" s="1947">
        <v>0</v>
      </c>
      <c r="F232" s="1947">
        <v>372.5</v>
      </c>
      <c r="G232" s="1947"/>
      <c r="H232" s="1949" t="str">
        <f>IFERROR(IF(F232&gt;=VLOOKUP(A232,[1]Materiality!$I$6:$J$12,2,TRUE),IFERROR(IF(VLOOKUP("*CR",F232,1,FALSE)&gt;=0,"",VLOOKUP("*CR",F232,1,FALSE)),F232),""),"")</f>
        <v/>
      </c>
    </row>
    <row r="233" spans="1:8" x14ac:dyDescent="0.25">
      <c r="A233" s="1947" t="s">
        <v>2999</v>
      </c>
      <c r="B233" s="1947" t="s">
        <v>2725</v>
      </c>
      <c r="C233" s="1947" t="s">
        <v>2242</v>
      </c>
      <c r="D233" s="1947">
        <v>84.62</v>
      </c>
      <c r="E233" s="1947">
        <v>0</v>
      </c>
      <c r="F233" s="1947">
        <v>84.62</v>
      </c>
      <c r="G233" s="1947"/>
      <c r="H233" s="1949" t="str">
        <f>IFERROR(IF(F233&gt;=VLOOKUP(A233,[1]Materiality!$I$6:$J$12,2,TRUE),IFERROR(IF(VLOOKUP("*CR",F233,1,FALSE)&gt;=0,"",VLOOKUP("*CR",F233,1,FALSE)),F233),""),"")</f>
        <v/>
      </c>
    </row>
    <row r="234" spans="1:8" x14ac:dyDescent="0.25">
      <c r="A234" s="1947" t="s">
        <v>2999</v>
      </c>
      <c r="B234" s="1947" t="s">
        <v>2726</v>
      </c>
      <c r="C234" s="1947" t="s">
        <v>2243</v>
      </c>
      <c r="D234" s="1947">
        <v>118.74</v>
      </c>
      <c r="E234" s="1947">
        <v>0</v>
      </c>
      <c r="F234" s="1947">
        <v>118.74</v>
      </c>
      <c r="G234" s="1947"/>
      <c r="H234" s="1949" t="str">
        <f>IFERROR(IF(F234&gt;=VLOOKUP(A234,[1]Materiality!$I$6:$J$12,2,TRUE),IFERROR(IF(VLOOKUP("*CR",F234,1,FALSE)&gt;=0,"",VLOOKUP("*CR",F234,1,FALSE)),F234),""),"")</f>
        <v/>
      </c>
    </row>
    <row r="235" spans="1:8" x14ac:dyDescent="0.25">
      <c r="A235" s="1947" t="s">
        <v>2999</v>
      </c>
      <c r="B235" s="1947" t="s">
        <v>2727</v>
      </c>
      <c r="C235" s="1947" t="s">
        <v>2244</v>
      </c>
      <c r="D235" s="1948">
        <v>5287.37</v>
      </c>
      <c r="E235" s="1947">
        <v>0</v>
      </c>
      <c r="F235" s="1948">
        <v>5287.37</v>
      </c>
      <c r="G235" s="1947"/>
      <c r="H235" s="1949" t="str">
        <f>IFERROR(IF(F235&gt;=VLOOKUP(A235,[1]Materiality!$I$6:$J$12,2,TRUE),IFERROR(IF(VLOOKUP("*CR",F235,1,FALSE)&gt;=0,"",VLOOKUP("*CR",F235,1,FALSE)),F235),""),"")</f>
        <v/>
      </c>
    </row>
    <row r="236" spans="1:8" x14ac:dyDescent="0.25">
      <c r="A236" s="1947" t="s">
        <v>2999</v>
      </c>
      <c r="B236" s="1947" t="s">
        <v>2728</v>
      </c>
      <c r="C236" s="1947" t="s">
        <v>2245</v>
      </c>
      <c r="D236" s="1948">
        <v>1869.95</v>
      </c>
      <c r="E236" s="1947">
        <v>0</v>
      </c>
      <c r="F236" s="1948">
        <v>1869.95</v>
      </c>
      <c r="G236" s="1947"/>
      <c r="H236" s="1949" t="str">
        <f>IFERROR(IF(F236&gt;=VLOOKUP(A236,[1]Materiality!$I$6:$J$12,2,TRUE),IFERROR(IF(VLOOKUP("*CR",F236,1,FALSE)&gt;=0,"",VLOOKUP("*CR",F236,1,FALSE)),F236),""),"")</f>
        <v/>
      </c>
    </row>
    <row r="237" spans="1:8" x14ac:dyDescent="0.25">
      <c r="A237" s="1947" t="s">
        <v>3000</v>
      </c>
      <c r="B237" s="1947" t="s">
        <v>2729</v>
      </c>
      <c r="C237" s="1947" t="s">
        <v>2246</v>
      </c>
      <c r="D237" s="1948">
        <v>5283.53</v>
      </c>
      <c r="E237" s="1947">
        <v>0</v>
      </c>
      <c r="F237" s="1948">
        <v>5283.53</v>
      </c>
      <c r="G237" s="1947"/>
      <c r="H237" s="1949" t="str">
        <f>IFERROR(IF(F237&gt;=VLOOKUP(A237,[1]Materiality!$I$6:$J$12,2,TRUE),IFERROR(IF(VLOOKUP("*CR",F237,1,FALSE)&gt;=0,"",VLOOKUP("*CR",F237,1,FALSE)),F237),""),"")</f>
        <v/>
      </c>
    </row>
    <row r="238" spans="1:8" x14ac:dyDescent="0.25">
      <c r="A238" s="1947" t="s">
        <v>3001</v>
      </c>
      <c r="B238" s="1947" t="s">
        <v>2730</v>
      </c>
      <c r="C238" s="1947" t="s">
        <v>2247</v>
      </c>
      <c r="D238" s="1948">
        <v>23654.62</v>
      </c>
      <c r="E238" s="1947">
        <v>0</v>
      </c>
      <c r="F238" s="1948">
        <v>23654.62</v>
      </c>
      <c r="G238" s="1947"/>
      <c r="H238" s="1949" t="str">
        <f>IFERROR(IF(F238&gt;=VLOOKUP(A238,[1]Materiality!$I$6:$J$12,2,TRUE),IFERROR(IF(VLOOKUP("*CR",F238,1,FALSE)&gt;=0,"",VLOOKUP("*CR",F238,1,FALSE)),F238),""),"")</f>
        <v/>
      </c>
    </row>
    <row r="239" spans="1:8" x14ac:dyDescent="0.25">
      <c r="A239" s="1947" t="s">
        <v>3002</v>
      </c>
      <c r="B239" s="1947" t="s">
        <v>2731</v>
      </c>
      <c r="C239" s="1947" t="s">
        <v>2248</v>
      </c>
      <c r="D239" s="1948">
        <v>54689.39</v>
      </c>
      <c r="E239" s="1947">
        <v>0</v>
      </c>
      <c r="F239" s="1948">
        <v>54689.39</v>
      </c>
      <c r="G239" s="1947"/>
      <c r="H239" s="1949" t="str">
        <f>IFERROR(IF(F239&gt;=VLOOKUP(A239,[1]Materiality!$I$6:$J$12,2,TRUE),IFERROR(IF(VLOOKUP("*CR",F239,1,FALSE)&gt;=0,"",VLOOKUP("*CR",F239,1,FALSE)),F239),""),"")</f>
        <v/>
      </c>
    </row>
    <row r="240" spans="1:8" x14ac:dyDescent="0.25">
      <c r="A240" s="1947" t="s">
        <v>3002</v>
      </c>
      <c r="B240" s="1947" t="s">
        <v>2708</v>
      </c>
      <c r="C240" s="1947" t="s">
        <v>2249</v>
      </c>
      <c r="D240" s="1948">
        <v>330728.74</v>
      </c>
      <c r="E240" s="1947">
        <v>0</v>
      </c>
      <c r="F240" s="1948">
        <v>330728.74</v>
      </c>
      <c r="G240" s="1947"/>
      <c r="H240" s="1949" t="str">
        <f>IFERROR(IF(F240&gt;=VLOOKUP(A240,[1]Materiality!$I$6:$J$12,2,TRUE),IFERROR(IF(VLOOKUP("*CR",F240,1,FALSE)&gt;=0,"",VLOOKUP("*CR",F240,1,FALSE)),F240),""),"")</f>
        <v/>
      </c>
    </row>
    <row r="241" spans="1:8" x14ac:dyDescent="0.25">
      <c r="A241" s="1947" t="s">
        <v>3002</v>
      </c>
      <c r="B241" s="1947" t="s">
        <v>2732</v>
      </c>
      <c r="C241" s="1947" t="s">
        <v>2250</v>
      </c>
      <c r="D241" s="1948">
        <v>39133.67</v>
      </c>
      <c r="E241" s="1947">
        <v>0</v>
      </c>
      <c r="F241" s="1948">
        <v>39133.67</v>
      </c>
      <c r="G241" s="1947"/>
      <c r="H241" s="1949" t="str">
        <f>IFERROR(IF(F241&gt;=VLOOKUP(A241,[1]Materiality!$I$6:$J$12,2,TRUE),IFERROR(IF(VLOOKUP("*CR",F241,1,FALSE)&gt;=0,"",VLOOKUP("*CR",F241,1,FALSE)),F241),""),"")</f>
        <v/>
      </c>
    </row>
    <row r="242" spans="1:8" x14ac:dyDescent="0.25">
      <c r="A242" s="1947" t="s">
        <v>3003</v>
      </c>
      <c r="B242" s="1947" t="s">
        <v>2698</v>
      </c>
      <c r="C242" s="1947" t="s">
        <v>2251</v>
      </c>
      <c r="D242" s="1948">
        <v>98650</v>
      </c>
      <c r="E242" s="1947">
        <v>0</v>
      </c>
      <c r="F242" s="1948">
        <v>98650</v>
      </c>
      <c r="G242" s="1947"/>
      <c r="H242" s="1949" t="str">
        <f>IFERROR(IF(F242&gt;=VLOOKUP(A242,[1]Materiality!$I$6:$J$12,2,TRUE),IFERROR(IF(VLOOKUP("*CR",F242,1,FALSE)&gt;=0,"",VLOOKUP("*CR",F242,1,FALSE)),F242),""),"")</f>
        <v/>
      </c>
    </row>
    <row r="243" spans="1:8" x14ac:dyDescent="0.25">
      <c r="A243" s="1947" t="s">
        <v>3004</v>
      </c>
      <c r="B243" s="1947" t="s">
        <v>2698</v>
      </c>
      <c r="C243" s="1947" t="s">
        <v>2252</v>
      </c>
      <c r="D243" s="1948">
        <v>8944.2000000000007</v>
      </c>
      <c r="E243" s="1947">
        <v>0</v>
      </c>
      <c r="F243" s="1948">
        <v>8944.2000000000007</v>
      </c>
      <c r="G243" s="1947"/>
      <c r="H243" s="1949" t="str">
        <f>IFERROR(IF(F243&gt;=VLOOKUP(A243,[1]Materiality!$I$6:$J$12,2,TRUE),IFERROR(IF(VLOOKUP("*CR",F243,1,FALSE)&gt;=0,"",VLOOKUP("*CR",F243,1,FALSE)),F243),""),"")</f>
        <v/>
      </c>
    </row>
    <row r="244" spans="1:8" x14ac:dyDescent="0.25">
      <c r="A244" s="1947" t="s">
        <v>3004</v>
      </c>
      <c r="B244" s="1947" t="s">
        <v>2731</v>
      </c>
      <c r="C244" s="1947" t="s">
        <v>2253</v>
      </c>
      <c r="D244" s="1948">
        <v>5347.01</v>
      </c>
      <c r="E244" s="1947">
        <v>0</v>
      </c>
      <c r="F244" s="1948">
        <v>5347.01</v>
      </c>
      <c r="G244" s="1947"/>
      <c r="H244" s="1949" t="str">
        <f>IFERROR(IF(F244&gt;=VLOOKUP(A244,[1]Materiality!$I$6:$J$12,2,TRUE),IFERROR(IF(VLOOKUP("*CR",F244,1,FALSE)&gt;=0,"",VLOOKUP("*CR",F244,1,FALSE)),F244),""),"")</f>
        <v/>
      </c>
    </row>
    <row r="245" spans="1:8" x14ac:dyDescent="0.25">
      <c r="A245" s="1947" t="s">
        <v>3004</v>
      </c>
      <c r="B245" s="1947" t="s">
        <v>2708</v>
      </c>
      <c r="C245" s="1947" t="s">
        <v>2172</v>
      </c>
      <c r="D245" s="1948">
        <v>32200.89</v>
      </c>
      <c r="E245" s="1947">
        <v>0</v>
      </c>
      <c r="F245" s="1948">
        <v>32200.89</v>
      </c>
      <c r="G245" s="1947"/>
      <c r="H245" s="1949" t="str">
        <f>IFERROR(IF(F245&gt;=VLOOKUP(A245,[1]Materiality!$I$6:$J$12,2,TRUE),IFERROR(IF(VLOOKUP("*CR",F245,1,FALSE)&gt;=0,"",VLOOKUP("*CR",F245,1,FALSE)),F245),""),"")</f>
        <v/>
      </c>
    </row>
    <row r="246" spans="1:8" x14ac:dyDescent="0.25">
      <c r="A246" s="1947" t="s">
        <v>3005</v>
      </c>
      <c r="B246" s="1947" t="s">
        <v>2698</v>
      </c>
      <c r="C246" s="1947" t="s">
        <v>2252</v>
      </c>
      <c r="D246" s="1947">
        <v>524.52</v>
      </c>
      <c r="E246" s="1947">
        <v>0</v>
      </c>
      <c r="F246" s="1947">
        <v>524.52</v>
      </c>
      <c r="G246" s="1947"/>
      <c r="H246" s="1949" t="str">
        <f>IFERROR(IF(F246&gt;=VLOOKUP(A246,[1]Materiality!$I$6:$J$12,2,TRUE),IFERROR(IF(VLOOKUP("*CR",F246,1,FALSE)&gt;=0,"",VLOOKUP("*CR",F246,1,FALSE)),F246),""),"")</f>
        <v/>
      </c>
    </row>
    <row r="247" spans="1:8" x14ac:dyDescent="0.25">
      <c r="A247" s="1947" t="s">
        <v>3005</v>
      </c>
      <c r="B247" s="1947" t="s">
        <v>2731</v>
      </c>
      <c r="C247" s="1947" t="s">
        <v>2253</v>
      </c>
      <c r="D247" s="1947">
        <v>344.22</v>
      </c>
      <c r="E247" s="1947">
        <v>0</v>
      </c>
      <c r="F247" s="1947">
        <v>344.22</v>
      </c>
      <c r="G247" s="1947"/>
      <c r="H247" s="1949" t="str">
        <f>IFERROR(IF(F247&gt;=VLOOKUP(A247,[1]Materiality!$I$6:$J$12,2,TRUE),IFERROR(IF(VLOOKUP("*CR",F247,1,FALSE)&gt;=0,"",VLOOKUP("*CR",F247,1,FALSE)),F247),""),"")</f>
        <v/>
      </c>
    </row>
    <row r="248" spans="1:8" x14ac:dyDescent="0.25">
      <c r="A248" s="1947" t="s">
        <v>3005</v>
      </c>
      <c r="B248" s="1947" t="s">
        <v>2708</v>
      </c>
      <c r="C248" s="1947" t="s">
        <v>2172</v>
      </c>
      <c r="D248" s="1948">
        <v>1918.25</v>
      </c>
      <c r="E248" s="1947">
        <v>0</v>
      </c>
      <c r="F248" s="1948">
        <v>1918.25</v>
      </c>
      <c r="G248" s="1947"/>
      <c r="H248" s="1949" t="str">
        <f>IFERROR(IF(F248&gt;=VLOOKUP(A248,[1]Materiality!$I$6:$J$12,2,TRUE),IFERROR(IF(VLOOKUP("*CR",F248,1,FALSE)&gt;=0,"",VLOOKUP("*CR",F248,1,FALSE)),F248),""),"")</f>
        <v/>
      </c>
    </row>
    <row r="249" spans="1:8" x14ac:dyDescent="0.25">
      <c r="A249" s="1947" t="s">
        <v>3006</v>
      </c>
      <c r="B249" s="1947" t="s">
        <v>2698</v>
      </c>
      <c r="C249" s="1947" t="s">
        <v>2254</v>
      </c>
      <c r="D249" s="1948">
        <v>1749.08</v>
      </c>
      <c r="E249" s="1947">
        <v>0</v>
      </c>
      <c r="F249" s="1948">
        <v>1749.08</v>
      </c>
      <c r="G249" s="1947"/>
      <c r="H249" s="1949" t="str">
        <f>IFERROR(IF(F249&gt;=VLOOKUP(A249,[1]Materiality!$I$6:$J$12,2,TRUE),IFERROR(IF(VLOOKUP("*CR",F249,1,FALSE)&gt;=0,"",VLOOKUP("*CR",F249,1,FALSE)),F249),""),"")</f>
        <v/>
      </c>
    </row>
    <row r="250" spans="1:8" x14ac:dyDescent="0.25">
      <c r="A250" s="1947" t="s">
        <v>3006</v>
      </c>
      <c r="B250" s="1947" t="s">
        <v>2731</v>
      </c>
      <c r="C250" s="1947" t="s">
        <v>2255</v>
      </c>
      <c r="D250" s="1948">
        <v>1045.08</v>
      </c>
      <c r="E250" s="1947">
        <v>0</v>
      </c>
      <c r="F250" s="1948">
        <v>1045.08</v>
      </c>
      <c r="G250" s="1947"/>
      <c r="H250" s="1949" t="str">
        <f>IFERROR(IF(F250&gt;=VLOOKUP(A250,[1]Materiality!$I$6:$J$12,2,TRUE),IFERROR(IF(VLOOKUP("*CR",F250,1,FALSE)&gt;=0,"",VLOOKUP("*CR",F250,1,FALSE)),F250),""),"")</f>
        <v/>
      </c>
    </row>
    <row r="251" spans="1:8" x14ac:dyDescent="0.25">
      <c r="A251" s="1947" t="s">
        <v>3006</v>
      </c>
      <c r="B251" s="1947" t="s">
        <v>2708</v>
      </c>
      <c r="C251" s="1947" t="s">
        <v>2174</v>
      </c>
      <c r="D251" s="1948">
        <v>6342.38</v>
      </c>
      <c r="E251" s="1947">
        <v>0</v>
      </c>
      <c r="F251" s="1948">
        <v>6342.38</v>
      </c>
      <c r="G251" s="1947"/>
      <c r="H251" s="1949" t="str">
        <f>IFERROR(IF(F251&gt;=VLOOKUP(A251,[1]Materiality!$I$6:$J$12,2,TRUE),IFERROR(IF(VLOOKUP("*CR",F251,1,FALSE)&gt;=0,"",VLOOKUP("*CR",F251,1,FALSE)),F251),""),"")</f>
        <v/>
      </c>
    </row>
    <row r="252" spans="1:8" x14ac:dyDescent="0.25">
      <c r="A252" s="1947" t="s">
        <v>3007</v>
      </c>
      <c r="B252" s="1947" t="s">
        <v>2731</v>
      </c>
      <c r="C252" s="1947" t="s">
        <v>2256</v>
      </c>
      <c r="D252" s="1948">
        <v>38389.17</v>
      </c>
      <c r="E252" s="1948">
        <v>7883.32</v>
      </c>
      <c r="F252" s="1948">
        <v>30505.85</v>
      </c>
      <c r="G252" s="1947"/>
      <c r="H252" s="1949" t="str">
        <f>IFERROR(IF(F252&gt;=VLOOKUP(A252,[1]Materiality!$I$6:$J$12,2,TRUE),IFERROR(IF(VLOOKUP("*CR",F252,1,FALSE)&gt;=0,"",VLOOKUP("*CR",F252,1,FALSE)),F252),""),"")</f>
        <v/>
      </c>
    </row>
    <row r="253" spans="1:8" x14ac:dyDescent="0.25">
      <c r="A253" s="1947" t="s">
        <v>3008</v>
      </c>
      <c r="B253" s="1947" t="s">
        <v>2733</v>
      </c>
      <c r="C253" s="1947" t="s">
        <v>2257</v>
      </c>
      <c r="D253" s="1947">
        <v>500</v>
      </c>
      <c r="E253" s="1947">
        <v>0</v>
      </c>
      <c r="F253" s="1947">
        <v>500</v>
      </c>
      <c r="G253" s="1947"/>
      <c r="H253" s="1949" t="str">
        <f>IFERROR(IF(F253&gt;=VLOOKUP(A253,[1]Materiality!$I$6:$J$12,2,TRUE),IFERROR(IF(VLOOKUP("*CR",F253,1,FALSE)&gt;=0,"",VLOOKUP("*CR",F253,1,FALSE)),F253),""),"")</f>
        <v/>
      </c>
    </row>
    <row r="254" spans="1:8" x14ac:dyDescent="0.25">
      <c r="A254" s="1947" t="s">
        <v>3009</v>
      </c>
      <c r="B254" s="1947" t="s">
        <v>2734</v>
      </c>
      <c r="C254" s="1947" t="s">
        <v>2258</v>
      </c>
      <c r="D254" s="1948">
        <v>7256</v>
      </c>
      <c r="E254" s="1948">
        <v>1207</v>
      </c>
      <c r="F254" s="1948">
        <v>6049</v>
      </c>
      <c r="G254" s="1947"/>
      <c r="H254" s="1949" t="str">
        <f>IFERROR(IF(F254&gt;=VLOOKUP(A254,[1]Materiality!$I$6:$J$12,2,TRUE),IFERROR(IF(VLOOKUP("*CR",F254,1,FALSE)&gt;=0,"",VLOOKUP("*CR",F254,1,FALSE)),F254),""),"")</f>
        <v/>
      </c>
    </row>
    <row r="255" spans="1:8" x14ac:dyDescent="0.25">
      <c r="A255" s="1947" t="s">
        <v>3009</v>
      </c>
      <c r="B255" s="1947" t="s">
        <v>2735</v>
      </c>
      <c r="C255" s="1947" t="s">
        <v>2259</v>
      </c>
      <c r="D255" s="1948">
        <v>5767.5</v>
      </c>
      <c r="E255" s="1947">
        <v>494</v>
      </c>
      <c r="F255" s="1948">
        <v>5273.5</v>
      </c>
      <c r="G255" s="1947"/>
      <c r="H255" s="1949" t="str">
        <f>IFERROR(IF(F255&gt;=VLOOKUP(A255,[1]Materiality!$I$6:$J$12,2,TRUE),IFERROR(IF(VLOOKUP("*CR",F255,1,FALSE)&gt;=0,"",VLOOKUP("*CR",F255,1,FALSE)),F255),""),"")</f>
        <v/>
      </c>
    </row>
    <row r="256" spans="1:8" x14ac:dyDescent="0.25">
      <c r="A256" s="1947" t="s">
        <v>3009</v>
      </c>
      <c r="B256" s="1947" t="s">
        <v>2736</v>
      </c>
      <c r="C256" s="1947" t="s">
        <v>2260</v>
      </c>
      <c r="D256" s="1948">
        <v>47698.2</v>
      </c>
      <c r="E256" s="1948">
        <v>44109.7</v>
      </c>
      <c r="F256" s="1948">
        <v>3588.5</v>
      </c>
      <c r="G256" s="1947"/>
      <c r="H256" s="1949" t="str">
        <f>IFERROR(IF(F256&gt;=VLOOKUP(A256,[1]Materiality!$I$6:$J$12,2,TRUE),IFERROR(IF(VLOOKUP("*CR",F256,1,FALSE)&gt;=0,"",VLOOKUP("*CR",F256,1,FALSE)),F256),""),"")</f>
        <v/>
      </c>
    </row>
    <row r="257" spans="1:8" x14ac:dyDescent="0.25">
      <c r="A257" s="1947" t="s">
        <v>3009</v>
      </c>
      <c r="B257" s="1947" t="s">
        <v>2737</v>
      </c>
      <c r="C257" s="1947" t="s">
        <v>2261</v>
      </c>
      <c r="D257" s="1947">
        <v>141.99</v>
      </c>
      <c r="E257" s="1947">
        <v>0</v>
      </c>
      <c r="F257" s="1947">
        <v>141.99</v>
      </c>
      <c r="G257" s="1947"/>
      <c r="H257" s="1949" t="str">
        <f>IFERROR(IF(F257&gt;=VLOOKUP(A257,[1]Materiality!$I$6:$J$12,2,TRUE),IFERROR(IF(VLOOKUP("*CR",F257,1,FALSE)&gt;=0,"",VLOOKUP("*CR",F257,1,FALSE)),F257),""),"")</f>
        <v/>
      </c>
    </row>
    <row r="258" spans="1:8" x14ac:dyDescent="0.25">
      <c r="A258" s="1947" t="s">
        <v>3009</v>
      </c>
      <c r="B258" s="1947" t="s">
        <v>2738</v>
      </c>
      <c r="C258" s="1947" t="s">
        <v>2262</v>
      </c>
      <c r="D258" s="1948">
        <v>5061</v>
      </c>
      <c r="E258" s="1947">
        <v>20</v>
      </c>
      <c r="F258" s="1948">
        <v>5041</v>
      </c>
      <c r="G258" s="1947"/>
      <c r="H258" s="1949" t="str">
        <f>IFERROR(IF(F258&gt;=VLOOKUP(A258,[1]Materiality!$I$6:$J$12,2,TRUE),IFERROR(IF(VLOOKUP("*CR",F258,1,FALSE)&gt;=0,"",VLOOKUP("*CR",F258,1,FALSE)),F258),""),"")</f>
        <v/>
      </c>
    </row>
    <row r="259" spans="1:8" x14ac:dyDescent="0.25">
      <c r="A259" s="1947" t="s">
        <v>3009</v>
      </c>
      <c r="B259" s="1947" t="s">
        <v>2739</v>
      </c>
      <c r="C259" s="1947" t="s">
        <v>2263</v>
      </c>
      <c r="D259" s="1948">
        <v>2271</v>
      </c>
      <c r="E259" s="1947">
        <v>190</v>
      </c>
      <c r="F259" s="1948">
        <v>2081</v>
      </c>
      <c r="G259" s="1947"/>
      <c r="H259" s="1949" t="str">
        <f>IFERROR(IF(F259&gt;=VLOOKUP(A259,[1]Materiality!$I$6:$J$12,2,TRUE),IFERROR(IF(VLOOKUP("*CR",F259,1,FALSE)&gt;=0,"",VLOOKUP("*CR",F259,1,FALSE)),F259),""),"")</f>
        <v/>
      </c>
    </row>
    <row r="260" spans="1:8" x14ac:dyDescent="0.25">
      <c r="A260" s="1947" t="s">
        <v>3009</v>
      </c>
      <c r="B260" s="1947" t="s">
        <v>2740</v>
      </c>
      <c r="C260" s="1947" t="s">
        <v>2264</v>
      </c>
      <c r="D260" s="1948">
        <v>3894</v>
      </c>
      <c r="E260" s="1947">
        <v>238</v>
      </c>
      <c r="F260" s="1948">
        <v>3656</v>
      </c>
      <c r="G260" s="1947"/>
      <c r="H260" s="1949" t="str">
        <f>IFERROR(IF(F260&gt;=VLOOKUP(A260,[1]Materiality!$I$6:$J$12,2,TRUE),IFERROR(IF(VLOOKUP("*CR",F260,1,FALSE)&gt;=0,"",VLOOKUP("*CR",F260,1,FALSE)),F260),""),"")</f>
        <v/>
      </c>
    </row>
    <row r="261" spans="1:8" x14ac:dyDescent="0.25">
      <c r="A261" s="1947" t="s">
        <v>3009</v>
      </c>
      <c r="B261" s="1947" t="s">
        <v>2741</v>
      </c>
      <c r="C261" s="1947" t="s">
        <v>2265</v>
      </c>
      <c r="D261" s="1947">
        <v>641</v>
      </c>
      <c r="E261" s="1947">
        <v>128</v>
      </c>
      <c r="F261" s="1947">
        <v>513</v>
      </c>
      <c r="G261" s="1947"/>
      <c r="H261" s="1949" t="str">
        <f>IFERROR(IF(F261&gt;=VLOOKUP(A261,[1]Materiality!$I$6:$J$12,2,TRUE),IFERROR(IF(VLOOKUP("*CR",F261,1,FALSE)&gt;=0,"",VLOOKUP("*CR",F261,1,FALSE)),F261),""),"")</f>
        <v/>
      </c>
    </row>
    <row r="262" spans="1:8" x14ac:dyDescent="0.25">
      <c r="A262" s="1947" t="s">
        <v>3009</v>
      </c>
      <c r="B262" s="1947" t="s">
        <v>2742</v>
      </c>
      <c r="C262" s="1947" t="s">
        <v>2266</v>
      </c>
      <c r="D262" s="1947">
        <v>129</v>
      </c>
      <c r="E262" s="1947">
        <v>0</v>
      </c>
      <c r="F262" s="1947">
        <v>129</v>
      </c>
      <c r="G262" s="1947"/>
      <c r="H262" s="1949" t="str">
        <f>IFERROR(IF(F262&gt;=VLOOKUP(A262,[1]Materiality!$I$6:$J$12,2,TRUE),IFERROR(IF(VLOOKUP("*CR",F262,1,FALSE)&gt;=0,"",VLOOKUP("*CR",F262,1,FALSE)),F262),""),"")</f>
        <v/>
      </c>
    </row>
    <row r="263" spans="1:8" x14ac:dyDescent="0.25">
      <c r="A263" s="1947" t="s">
        <v>3009</v>
      </c>
      <c r="B263" s="1947" t="s">
        <v>2743</v>
      </c>
      <c r="C263" s="1947" t="s">
        <v>2267</v>
      </c>
      <c r="D263" s="1948">
        <v>2660</v>
      </c>
      <c r="E263" s="1947">
        <v>0</v>
      </c>
      <c r="F263" s="1948">
        <v>2660</v>
      </c>
      <c r="G263" s="1947"/>
      <c r="H263" s="1949" t="str">
        <f>IFERROR(IF(F263&gt;=VLOOKUP(A263,[1]Materiality!$I$6:$J$12,2,TRUE),IFERROR(IF(VLOOKUP("*CR",F263,1,FALSE)&gt;=0,"",VLOOKUP("*CR",F263,1,FALSE)),F263),""),"")</f>
        <v/>
      </c>
    </row>
    <row r="264" spans="1:8" x14ac:dyDescent="0.25">
      <c r="A264" s="1947" t="s">
        <v>3009</v>
      </c>
      <c r="B264" s="1947" t="s">
        <v>2744</v>
      </c>
      <c r="C264" s="1947" t="s">
        <v>2268</v>
      </c>
      <c r="D264" s="1948">
        <v>1230</v>
      </c>
      <c r="E264" s="1947">
        <v>0</v>
      </c>
      <c r="F264" s="1948">
        <v>1230</v>
      </c>
      <c r="G264" s="1947"/>
      <c r="H264" s="1949" t="str">
        <f>IFERROR(IF(F264&gt;=VLOOKUP(A264,[1]Materiality!$I$6:$J$12,2,TRUE),IFERROR(IF(VLOOKUP("*CR",F264,1,FALSE)&gt;=0,"",VLOOKUP("*CR",F264,1,FALSE)),F264),""),"")</f>
        <v/>
      </c>
    </row>
    <row r="265" spans="1:8" x14ac:dyDescent="0.25">
      <c r="A265" s="1947" t="s">
        <v>3009</v>
      </c>
      <c r="B265" s="1947" t="s">
        <v>2745</v>
      </c>
      <c r="C265" s="1947" t="s">
        <v>2269</v>
      </c>
      <c r="D265" s="1948">
        <v>1524</v>
      </c>
      <c r="E265" s="1947">
        <v>0</v>
      </c>
      <c r="F265" s="1948">
        <v>1524</v>
      </c>
      <c r="G265" s="1947"/>
      <c r="H265" s="1949" t="str">
        <f>IFERROR(IF(F265&gt;=VLOOKUP(A265,[1]Materiality!$I$6:$J$12,2,TRUE),IFERROR(IF(VLOOKUP("*CR",F265,1,FALSE)&gt;=0,"",VLOOKUP("*CR",F265,1,FALSE)),F265),""),"")</f>
        <v/>
      </c>
    </row>
    <row r="266" spans="1:8" x14ac:dyDescent="0.25">
      <c r="A266" s="1947" t="s">
        <v>3010</v>
      </c>
      <c r="B266" s="1947" t="s">
        <v>2733</v>
      </c>
      <c r="C266" s="1947" t="s">
        <v>2270</v>
      </c>
      <c r="D266" s="1948">
        <v>6395</v>
      </c>
      <c r="E266" s="1947">
        <v>0</v>
      </c>
      <c r="F266" s="1948">
        <v>6395</v>
      </c>
      <c r="G266" s="1947"/>
      <c r="H266" s="1949" t="str">
        <f>IFERROR(IF(F266&gt;=VLOOKUP(A266,[1]Materiality!$I$6:$J$12,2,TRUE),IFERROR(IF(VLOOKUP("*CR",F266,1,FALSE)&gt;=0,"",VLOOKUP("*CR",F266,1,FALSE)),F266),""),"")</f>
        <v/>
      </c>
    </row>
    <row r="267" spans="1:8" x14ac:dyDescent="0.25">
      <c r="A267" s="1947" t="s">
        <v>3011</v>
      </c>
      <c r="B267" s="1947" t="s">
        <v>2738</v>
      </c>
      <c r="C267" s="1947" t="s">
        <v>2271</v>
      </c>
      <c r="D267" s="1947">
        <v>450</v>
      </c>
      <c r="E267" s="1947">
        <v>0</v>
      </c>
      <c r="F267" s="1947">
        <v>450</v>
      </c>
      <c r="G267" s="1947"/>
      <c r="H267" s="1949" t="str">
        <f>IFERROR(IF(F267&gt;=VLOOKUP(A267,[1]Materiality!$I$6:$J$12,2,TRUE),IFERROR(IF(VLOOKUP("*CR",F267,1,FALSE)&gt;=0,"",VLOOKUP("*CR",F267,1,FALSE)),F267),""),"")</f>
        <v/>
      </c>
    </row>
    <row r="268" spans="1:8" x14ac:dyDescent="0.25">
      <c r="A268" s="1947" t="s">
        <v>3012</v>
      </c>
      <c r="B268" s="1947" t="s">
        <v>2730</v>
      </c>
      <c r="C268" s="1947" t="s">
        <v>2272</v>
      </c>
      <c r="D268" s="1947">
        <v>420</v>
      </c>
      <c r="E268" s="1947">
        <v>0</v>
      </c>
      <c r="F268" s="1947">
        <v>420</v>
      </c>
      <c r="G268" s="1947"/>
      <c r="H268" s="1949" t="str">
        <f>IFERROR(IF(F268&gt;=VLOOKUP(A268,[1]Materiality!$I$6:$J$12,2,TRUE),IFERROR(IF(VLOOKUP("*CR",F268,1,FALSE)&gt;=0,"",VLOOKUP("*CR",F268,1,FALSE)),F268),""),"")</f>
        <v/>
      </c>
    </row>
    <row r="269" spans="1:8" x14ac:dyDescent="0.25">
      <c r="A269" s="1947" t="s">
        <v>3012</v>
      </c>
      <c r="B269" s="1947" t="s">
        <v>2733</v>
      </c>
      <c r="C269" s="1947" t="s">
        <v>2273</v>
      </c>
      <c r="D269" s="1948">
        <v>2626.12</v>
      </c>
      <c r="E269" s="1947">
        <v>0</v>
      </c>
      <c r="F269" s="1948">
        <v>2626.12</v>
      </c>
      <c r="G269" s="1947"/>
      <c r="H269" s="1949" t="str">
        <f>IFERROR(IF(F269&gt;=VLOOKUP(A269,[1]Materiality!$I$6:$J$12,2,TRUE),IFERROR(IF(VLOOKUP("*CR",F269,1,FALSE)&gt;=0,"",VLOOKUP("*CR",F269,1,FALSE)),F269),""),"")</f>
        <v/>
      </c>
    </row>
    <row r="270" spans="1:8" x14ac:dyDescent="0.25">
      <c r="A270" s="1947" t="s">
        <v>3012</v>
      </c>
      <c r="B270" s="1947" t="s">
        <v>2708</v>
      </c>
      <c r="C270" s="1947" t="s">
        <v>2274</v>
      </c>
      <c r="D270" s="1947">
        <v>25.29</v>
      </c>
      <c r="E270" s="1947">
        <v>0</v>
      </c>
      <c r="F270" s="1947">
        <v>25.29</v>
      </c>
      <c r="G270" s="1947"/>
      <c r="H270" s="1949" t="str">
        <f>IFERROR(IF(F270&gt;=VLOOKUP(A270,[1]Materiality!$I$6:$J$12,2,TRUE),IFERROR(IF(VLOOKUP("*CR",F270,1,FALSE)&gt;=0,"",VLOOKUP("*CR",F270,1,FALSE)),F270),""),"")</f>
        <v/>
      </c>
    </row>
    <row r="271" spans="1:8" x14ac:dyDescent="0.25">
      <c r="A271" s="1947" t="s">
        <v>3013</v>
      </c>
      <c r="B271" s="1947" t="s">
        <v>2730</v>
      </c>
      <c r="C271" s="1947" t="s">
        <v>2275</v>
      </c>
      <c r="D271" s="1947">
        <v>9.6300000000000008</v>
      </c>
      <c r="E271" s="1947">
        <v>0</v>
      </c>
      <c r="F271" s="1947">
        <v>9.6300000000000008</v>
      </c>
      <c r="G271" s="1947"/>
      <c r="H271" s="1949" t="str">
        <f>IFERROR(IF(F271&gt;=VLOOKUP(A271,[1]Materiality!$I$6:$J$12,2,TRUE),IFERROR(IF(VLOOKUP("*CR",F271,1,FALSE)&gt;=0,"",VLOOKUP("*CR",F271,1,FALSE)),F271),""),"")</f>
        <v/>
      </c>
    </row>
    <row r="272" spans="1:8" x14ac:dyDescent="0.25">
      <c r="A272" s="1947" t="s">
        <v>3014</v>
      </c>
      <c r="B272" s="1947" t="s">
        <v>2733</v>
      </c>
      <c r="C272" s="1947" t="s">
        <v>2276</v>
      </c>
      <c r="D272" s="1948">
        <v>1073.6300000000001</v>
      </c>
      <c r="E272" s="1947">
        <v>0</v>
      </c>
      <c r="F272" s="1948">
        <v>1073.6300000000001</v>
      </c>
      <c r="G272" s="1947"/>
      <c r="H272" s="1949" t="str">
        <f>IFERROR(IF(F272&gt;=VLOOKUP(A272,[1]Materiality!$I$6:$J$12,2,TRUE),IFERROR(IF(VLOOKUP("*CR",F272,1,FALSE)&gt;=0,"",VLOOKUP("*CR",F272,1,FALSE)),F272),""),"")</f>
        <v/>
      </c>
    </row>
    <row r="273" spans="1:8" x14ac:dyDescent="0.25">
      <c r="A273" s="1947" t="s">
        <v>3015</v>
      </c>
      <c r="B273" s="1947" t="s">
        <v>2734</v>
      </c>
      <c r="C273" s="1947" t="s">
        <v>2277</v>
      </c>
      <c r="D273" s="1947">
        <v>915.77</v>
      </c>
      <c r="E273" s="1947">
        <v>0</v>
      </c>
      <c r="F273" s="1947">
        <v>915.77</v>
      </c>
      <c r="G273" s="1947"/>
      <c r="H273" s="1949" t="str">
        <f>IFERROR(IF(F273&gt;=VLOOKUP(A273,[1]Materiality!$I$6:$J$12,2,TRUE),IFERROR(IF(VLOOKUP("*CR",F273,1,FALSE)&gt;=0,"",VLOOKUP("*CR",F273,1,FALSE)),F273),""),"")</f>
        <v/>
      </c>
    </row>
    <row r="274" spans="1:8" x14ac:dyDescent="0.25">
      <c r="A274" s="1947" t="s">
        <v>3015</v>
      </c>
      <c r="B274" s="1947" t="s">
        <v>2735</v>
      </c>
      <c r="C274" s="1947" t="s">
        <v>2278</v>
      </c>
      <c r="D274" s="1947">
        <v>874.99</v>
      </c>
      <c r="E274" s="1947">
        <v>0</v>
      </c>
      <c r="F274" s="1947">
        <v>874.99</v>
      </c>
      <c r="G274" s="1947"/>
      <c r="H274" s="1949" t="str">
        <f>IFERROR(IF(F274&gt;=VLOOKUP(A274,[1]Materiality!$I$6:$J$12,2,TRUE),IFERROR(IF(VLOOKUP("*CR",F274,1,FALSE)&gt;=0,"",VLOOKUP("*CR",F274,1,FALSE)),F274),""),"")</f>
        <v/>
      </c>
    </row>
    <row r="275" spans="1:8" x14ac:dyDescent="0.25">
      <c r="A275" s="1947" t="s">
        <v>3015</v>
      </c>
      <c r="B275" s="1947" t="s">
        <v>2736</v>
      </c>
      <c r="C275" s="1947" t="s">
        <v>2279</v>
      </c>
      <c r="D275" s="1947">
        <v>884.2</v>
      </c>
      <c r="E275" s="1947">
        <v>0</v>
      </c>
      <c r="F275" s="1947">
        <v>884.2</v>
      </c>
      <c r="G275" s="1947"/>
      <c r="H275" s="1949" t="str">
        <f>IFERROR(IF(F275&gt;=VLOOKUP(A275,[1]Materiality!$I$6:$J$12,2,TRUE),IFERROR(IF(VLOOKUP("*CR",F275,1,FALSE)&gt;=0,"",VLOOKUP("*CR",F275,1,FALSE)),F275),""),"")</f>
        <v/>
      </c>
    </row>
    <row r="276" spans="1:8" x14ac:dyDescent="0.25">
      <c r="A276" s="1947" t="s">
        <v>3015</v>
      </c>
      <c r="B276" s="1947" t="s">
        <v>2746</v>
      </c>
      <c r="C276" s="1947" t="s">
        <v>2280</v>
      </c>
      <c r="D276" s="1947">
        <v>80</v>
      </c>
      <c r="E276" s="1947">
        <v>0</v>
      </c>
      <c r="F276" s="1947">
        <v>80</v>
      </c>
      <c r="G276" s="1947"/>
      <c r="H276" s="1949" t="str">
        <f>IFERROR(IF(F276&gt;=VLOOKUP(A276,[1]Materiality!$I$6:$J$12,2,TRUE),IFERROR(IF(VLOOKUP("*CR",F276,1,FALSE)&gt;=0,"",VLOOKUP("*CR",F276,1,FALSE)),F276),""),"")</f>
        <v/>
      </c>
    </row>
    <row r="277" spans="1:8" x14ac:dyDescent="0.25">
      <c r="A277" s="1947" t="s">
        <v>3015</v>
      </c>
      <c r="B277" s="1947" t="s">
        <v>2737</v>
      </c>
      <c r="C277" s="1947" t="s">
        <v>2281</v>
      </c>
      <c r="D277" s="1947">
        <v>157</v>
      </c>
      <c r="E277" s="1947">
        <v>0</v>
      </c>
      <c r="F277" s="1947">
        <v>157</v>
      </c>
      <c r="G277" s="1947"/>
      <c r="H277" s="1949" t="str">
        <f>IFERROR(IF(F277&gt;=VLOOKUP(A277,[1]Materiality!$I$6:$J$12,2,TRUE),IFERROR(IF(VLOOKUP("*CR",F277,1,FALSE)&gt;=0,"",VLOOKUP("*CR",F277,1,FALSE)),F277),""),"")</f>
        <v/>
      </c>
    </row>
    <row r="278" spans="1:8" x14ac:dyDescent="0.25">
      <c r="A278" s="1947" t="s">
        <v>3015</v>
      </c>
      <c r="B278" s="1947" t="s">
        <v>2738</v>
      </c>
      <c r="C278" s="1947" t="s">
        <v>2282</v>
      </c>
      <c r="D278" s="1948">
        <v>13564.68</v>
      </c>
      <c r="E278" s="1947">
        <v>0</v>
      </c>
      <c r="F278" s="1948">
        <v>13564.68</v>
      </c>
      <c r="G278" s="1947"/>
      <c r="H278" s="1949" t="str">
        <f>IFERROR(IF(F278&gt;=VLOOKUP(A278,[1]Materiality!$I$6:$J$12,2,TRUE),IFERROR(IF(VLOOKUP("*CR",F278,1,FALSE)&gt;=0,"",VLOOKUP("*CR",F278,1,FALSE)),F278),""),"")</f>
        <v/>
      </c>
    </row>
    <row r="279" spans="1:8" x14ac:dyDescent="0.25">
      <c r="A279" s="1947" t="s">
        <v>3015</v>
      </c>
      <c r="B279" s="1947" t="s">
        <v>2747</v>
      </c>
      <c r="C279" s="1947" t="s">
        <v>2283</v>
      </c>
      <c r="D279" s="1947">
        <v>434</v>
      </c>
      <c r="E279" s="1947">
        <v>0</v>
      </c>
      <c r="F279" s="1947">
        <v>434</v>
      </c>
      <c r="G279" s="1947"/>
      <c r="H279" s="1949" t="str">
        <f>IFERROR(IF(F279&gt;=VLOOKUP(A279,[1]Materiality!$I$6:$J$12,2,TRUE),IFERROR(IF(VLOOKUP("*CR",F279,1,FALSE)&gt;=0,"",VLOOKUP("*CR",F279,1,FALSE)),F279),""),"")</f>
        <v/>
      </c>
    </row>
    <row r="280" spans="1:8" x14ac:dyDescent="0.25">
      <c r="A280" s="1947" t="s">
        <v>3015</v>
      </c>
      <c r="B280" s="1947" t="s">
        <v>2748</v>
      </c>
      <c r="C280" s="1947" t="s">
        <v>2284</v>
      </c>
      <c r="D280" s="1947">
        <v>389.05</v>
      </c>
      <c r="E280" s="1947">
        <v>150</v>
      </c>
      <c r="F280" s="1947">
        <v>239.05</v>
      </c>
      <c r="G280" s="1947"/>
      <c r="H280" s="1949" t="str">
        <f>IFERROR(IF(F280&gt;=VLOOKUP(A280,[1]Materiality!$I$6:$J$12,2,TRUE),IFERROR(IF(VLOOKUP("*CR",F280,1,FALSE)&gt;=0,"",VLOOKUP("*CR",F280,1,FALSE)),F280),""),"")</f>
        <v/>
      </c>
    </row>
    <row r="281" spans="1:8" x14ac:dyDescent="0.25">
      <c r="A281" s="1947" t="s">
        <v>3015</v>
      </c>
      <c r="B281" s="1947" t="s">
        <v>2739</v>
      </c>
      <c r="C281" s="1947" t="s">
        <v>2285</v>
      </c>
      <c r="D281" s="1947">
        <v>450</v>
      </c>
      <c r="E281" s="1947">
        <v>0</v>
      </c>
      <c r="F281" s="1947">
        <v>450</v>
      </c>
      <c r="G281" s="1947"/>
      <c r="H281" s="1949" t="str">
        <f>IFERROR(IF(F281&gt;=VLOOKUP(A281,[1]Materiality!$I$6:$J$12,2,TRUE),IFERROR(IF(VLOOKUP("*CR",F281,1,FALSE)&gt;=0,"",VLOOKUP("*CR",F281,1,FALSE)),F281),""),"")</f>
        <v/>
      </c>
    </row>
    <row r="282" spans="1:8" x14ac:dyDescent="0.25">
      <c r="A282" s="1947" t="s">
        <v>3015</v>
      </c>
      <c r="B282" s="1947" t="s">
        <v>2740</v>
      </c>
      <c r="C282" s="1947" t="s">
        <v>2286</v>
      </c>
      <c r="D282" s="1947">
        <v>980</v>
      </c>
      <c r="E282" s="1947">
        <v>0</v>
      </c>
      <c r="F282" s="1947">
        <v>980</v>
      </c>
      <c r="G282" s="1947"/>
      <c r="H282" s="1949" t="str">
        <f>IFERROR(IF(F282&gt;=VLOOKUP(A282,[1]Materiality!$I$6:$J$12,2,TRUE),IFERROR(IF(VLOOKUP("*CR",F282,1,FALSE)&gt;=0,"",VLOOKUP("*CR",F282,1,FALSE)),F282),""),"")</f>
        <v/>
      </c>
    </row>
    <row r="283" spans="1:8" x14ac:dyDescent="0.25">
      <c r="A283" s="1947" t="s">
        <v>3015</v>
      </c>
      <c r="B283" s="1947" t="s">
        <v>2749</v>
      </c>
      <c r="C283" s="1947" t="s">
        <v>2287</v>
      </c>
      <c r="D283" s="1947">
        <v>395.64</v>
      </c>
      <c r="E283" s="1947">
        <v>0</v>
      </c>
      <c r="F283" s="1947">
        <v>395.64</v>
      </c>
      <c r="G283" s="1947"/>
      <c r="H283" s="1949" t="str">
        <f>IFERROR(IF(F283&gt;=VLOOKUP(A283,[1]Materiality!$I$6:$J$12,2,TRUE),IFERROR(IF(VLOOKUP("*CR",F283,1,FALSE)&gt;=0,"",VLOOKUP("*CR",F283,1,FALSE)),F283),""),"")</f>
        <v/>
      </c>
    </row>
    <row r="284" spans="1:8" x14ac:dyDescent="0.25">
      <c r="A284" s="1947" t="s">
        <v>3015</v>
      </c>
      <c r="B284" s="1947" t="s">
        <v>2750</v>
      </c>
      <c r="C284" s="1947" t="s">
        <v>2288</v>
      </c>
      <c r="D284" s="1947">
        <v>396.04</v>
      </c>
      <c r="E284" s="1947">
        <v>0</v>
      </c>
      <c r="F284" s="1947">
        <v>396.04</v>
      </c>
      <c r="G284" s="1947"/>
      <c r="H284" s="1949" t="str">
        <f>IFERROR(IF(F284&gt;=VLOOKUP(A284,[1]Materiality!$I$6:$J$12,2,TRUE),IFERROR(IF(VLOOKUP("*CR",F284,1,FALSE)&gt;=0,"",VLOOKUP("*CR",F284,1,FALSE)),F284),""),"")</f>
        <v/>
      </c>
    </row>
    <row r="285" spans="1:8" x14ac:dyDescent="0.25">
      <c r="A285" s="1947" t="s">
        <v>3015</v>
      </c>
      <c r="B285" s="1947" t="s">
        <v>2741</v>
      </c>
      <c r="C285" s="1947" t="s">
        <v>2289</v>
      </c>
      <c r="D285" s="1947">
        <v>568.96</v>
      </c>
      <c r="E285" s="1947">
        <v>0</v>
      </c>
      <c r="F285" s="1947">
        <v>568.96</v>
      </c>
      <c r="G285" s="1947"/>
      <c r="H285" s="1949" t="str">
        <f>IFERROR(IF(F285&gt;=VLOOKUP(A285,[1]Materiality!$I$6:$J$12,2,TRUE),IFERROR(IF(VLOOKUP("*CR",F285,1,FALSE)&gt;=0,"",VLOOKUP("*CR",F285,1,FALSE)),F285),""),"")</f>
        <v/>
      </c>
    </row>
    <row r="286" spans="1:8" x14ac:dyDescent="0.25">
      <c r="A286" s="1947" t="s">
        <v>3015</v>
      </c>
      <c r="B286" s="1947" t="s">
        <v>2742</v>
      </c>
      <c r="C286" s="1947" t="s">
        <v>2290</v>
      </c>
      <c r="D286" s="1947">
        <v>924.55</v>
      </c>
      <c r="E286" s="1947">
        <v>0</v>
      </c>
      <c r="F286" s="1947">
        <v>924.55</v>
      </c>
      <c r="G286" s="1947"/>
      <c r="H286" s="1949" t="str">
        <f>IFERROR(IF(F286&gt;=VLOOKUP(A286,[1]Materiality!$I$6:$J$12,2,TRUE),IFERROR(IF(VLOOKUP("*CR",F286,1,FALSE)&gt;=0,"",VLOOKUP("*CR",F286,1,FALSE)),F286),""),"")</f>
        <v/>
      </c>
    </row>
    <row r="287" spans="1:8" x14ac:dyDescent="0.25">
      <c r="A287" s="1947" t="s">
        <v>3015</v>
      </c>
      <c r="B287" s="1947" t="s">
        <v>2718</v>
      </c>
      <c r="C287" s="1947" t="s">
        <v>2197</v>
      </c>
      <c r="D287" s="1948">
        <v>3599.73</v>
      </c>
      <c r="E287" s="1947">
        <v>0</v>
      </c>
      <c r="F287" s="1948">
        <v>3599.73</v>
      </c>
      <c r="G287" s="1947"/>
      <c r="H287" s="1949" t="str">
        <f>IFERROR(IF(F287&gt;=VLOOKUP(A287,[1]Materiality!$I$6:$J$12,2,TRUE),IFERROR(IF(VLOOKUP("*CR",F287,1,FALSE)&gt;=0,"",VLOOKUP("*CR",F287,1,FALSE)),F287),""),"")</f>
        <v/>
      </c>
    </row>
    <row r="288" spans="1:8" x14ac:dyDescent="0.25">
      <c r="A288" s="1947" t="s">
        <v>3015</v>
      </c>
      <c r="B288" s="1947" t="s">
        <v>2743</v>
      </c>
      <c r="C288" s="1947" t="s">
        <v>2291</v>
      </c>
      <c r="D288" s="1947">
        <v>326.02999999999997</v>
      </c>
      <c r="E288" s="1947">
        <v>0</v>
      </c>
      <c r="F288" s="1947">
        <v>326.02999999999997</v>
      </c>
      <c r="G288" s="1947"/>
      <c r="H288" s="1949" t="str">
        <f>IFERROR(IF(F288&gt;=VLOOKUP(A288,[1]Materiality!$I$6:$J$12,2,TRUE),IFERROR(IF(VLOOKUP("*CR",F288,1,FALSE)&gt;=0,"",VLOOKUP("*CR",F288,1,FALSE)),F288),""),"")</f>
        <v/>
      </c>
    </row>
    <row r="289" spans="1:8" x14ac:dyDescent="0.25">
      <c r="A289" s="1947" t="s">
        <v>3015</v>
      </c>
      <c r="B289" s="1947" t="s">
        <v>2744</v>
      </c>
      <c r="C289" s="1947" t="s">
        <v>2292</v>
      </c>
      <c r="D289" s="1947">
        <v>380.64</v>
      </c>
      <c r="E289" s="1947">
        <v>0</v>
      </c>
      <c r="F289" s="1947">
        <v>380.64</v>
      </c>
      <c r="G289" s="1947"/>
      <c r="H289" s="1949" t="str">
        <f>IFERROR(IF(F289&gt;=VLOOKUP(A289,[1]Materiality!$I$6:$J$12,2,TRUE),IFERROR(IF(VLOOKUP("*CR",F289,1,FALSE)&gt;=0,"",VLOOKUP("*CR",F289,1,FALSE)),F289),""),"")</f>
        <v/>
      </c>
    </row>
    <row r="290" spans="1:8" x14ac:dyDescent="0.25">
      <c r="A290" s="1947" t="s">
        <v>3015</v>
      </c>
      <c r="B290" s="1947" t="s">
        <v>2730</v>
      </c>
      <c r="C290" s="1947" t="s">
        <v>2293</v>
      </c>
      <c r="D290" s="1948">
        <v>1907.36</v>
      </c>
      <c r="E290" s="1947">
        <v>8.99</v>
      </c>
      <c r="F290" s="1948">
        <v>1898.37</v>
      </c>
      <c r="G290" s="1947"/>
      <c r="H290" s="1949" t="str">
        <f>IFERROR(IF(F290&gt;=VLOOKUP(A290,[1]Materiality!$I$6:$J$12,2,TRUE),IFERROR(IF(VLOOKUP("*CR",F290,1,FALSE)&gt;=0,"",VLOOKUP("*CR",F290,1,FALSE)),F290),""),"")</f>
        <v/>
      </c>
    </row>
    <row r="291" spans="1:8" x14ac:dyDescent="0.25">
      <c r="A291" s="1947" t="s">
        <v>3015</v>
      </c>
      <c r="B291" s="1947" t="s">
        <v>2751</v>
      </c>
      <c r="C291" s="1947" t="s">
        <v>2294</v>
      </c>
      <c r="D291" s="1947">
        <v>200</v>
      </c>
      <c r="E291" s="1947">
        <v>0</v>
      </c>
      <c r="F291" s="1947">
        <v>200</v>
      </c>
      <c r="G291" s="1947"/>
      <c r="H291" s="1949" t="str">
        <f>IFERROR(IF(F291&gt;=VLOOKUP(A291,[1]Materiality!$I$6:$J$12,2,TRUE),IFERROR(IF(VLOOKUP("*CR",F291,1,FALSE)&gt;=0,"",VLOOKUP("*CR",F291,1,FALSE)),F291),""),"")</f>
        <v/>
      </c>
    </row>
    <row r="292" spans="1:8" x14ac:dyDescent="0.25">
      <c r="A292" s="1947" t="s">
        <v>3016</v>
      </c>
      <c r="B292" s="1947" t="s">
        <v>2730</v>
      </c>
      <c r="C292" s="1947" t="s">
        <v>2295</v>
      </c>
      <c r="D292" s="1948">
        <v>6332.55</v>
      </c>
      <c r="E292" s="1947">
        <v>0</v>
      </c>
      <c r="F292" s="1948">
        <v>6332.55</v>
      </c>
      <c r="G292" s="1947"/>
      <c r="H292" s="1949" t="str">
        <f>IFERROR(IF(F292&gt;=VLOOKUP(A292,[1]Materiality!$I$6:$J$12,2,TRUE),IFERROR(IF(VLOOKUP("*CR",F292,1,FALSE)&gt;=0,"",VLOOKUP("*CR",F292,1,FALSE)),F292),""),"")</f>
        <v/>
      </c>
    </row>
    <row r="293" spans="1:8" x14ac:dyDescent="0.25">
      <c r="A293" s="1947" t="s">
        <v>3017</v>
      </c>
      <c r="B293" s="1947" t="s">
        <v>2735</v>
      </c>
      <c r="C293" s="1947" t="s">
        <v>2296</v>
      </c>
      <c r="D293" s="1947">
        <v>575</v>
      </c>
      <c r="E293" s="1947">
        <v>0</v>
      </c>
      <c r="F293" s="1947">
        <v>575</v>
      </c>
      <c r="G293" s="1947"/>
      <c r="H293" s="1949" t="str">
        <f>IFERROR(IF(F293&gt;=VLOOKUP(A293,[1]Materiality!$I$6:$J$12,2,TRUE),IFERROR(IF(VLOOKUP("*CR",F293,1,FALSE)&gt;=0,"",VLOOKUP("*CR",F293,1,FALSE)),F293),""),"")</f>
        <v/>
      </c>
    </row>
    <row r="294" spans="1:8" x14ac:dyDescent="0.25">
      <c r="A294" s="1947" t="s">
        <v>3017</v>
      </c>
      <c r="B294" s="1947" t="s">
        <v>2736</v>
      </c>
      <c r="C294" s="1947" t="s">
        <v>2297</v>
      </c>
      <c r="D294" s="1947">
        <v>600</v>
      </c>
      <c r="E294" s="1947">
        <v>0</v>
      </c>
      <c r="F294" s="1947">
        <v>600</v>
      </c>
      <c r="G294" s="1947"/>
      <c r="H294" s="1949" t="str">
        <f>IFERROR(IF(F294&gt;=VLOOKUP(A294,[1]Materiality!$I$6:$J$12,2,TRUE),IFERROR(IF(VLOOKUP("*CR",F294,1,FALSE)&gt;=0,"",VLOOKUP("*CR",F294,1,FALSE)),F294),""),"")</f>
        <v/>
      </c>
    </row>
    <row r="295" spans="1:8" x14ac:dyDescent="0.25">
      <c r="A295" s="1947" t="s">
        <v>3017</v>
      </c>
      <c r="B295" s="1947" t="s">
        <v>2737</v>
      </c>
      <c r="C295" s="1947" t="s">
        <v>2298</v>
      </c>
      <c r="D295" s="1947">
        <v>880</v>
      </c>
      <c r="E295" s="1947">
        <v>0</v>
      </c>
      <c r="F295" s="1947">
        <v>880</v>
      </c>
      <c r="G295" s="1947"/>
      <c r="H295" s="1949" t="str">
        <f>IFERROR(IF(F295&gt;=VLOOKUP(A295,[1]Materiality!$I$6:$J$12,2,TRUE),IFERROR(IF(VLOOKUP("*CR",F295,1,FALSE)&gt;=0,"",VLOOKUP("*CR",F295,1,FALSE)),F295),""),"")</f>
        <v/>
      </c>
    </row>
    <row r="296" spans="1:8" x14ac:dyDescent="0.25">
      <c r="A296" s="1947" t="s">
        <v>3017</v>
      </c>
      <c r="B296" s="1947" t="s">
        <v>2747</v>
      </c>
      <c r="C296" s="1947" t="s">
        <v>2299</v>
      </c>
      <c r="D296" s="1948">
        <v>4214</v>
      </c>
      <c r="E296" s="1947">
        <v>0</v>
      </c>
      <c r="F296" s="1948">
        <v>4214</v>
      </c>
      <c r="G296" s="1947"/>
      <c r="H296" s="1949" t="str">
        <f>IFERROR(IF(F296&gt;=VLOOKUP(A296,[1]Materiality!$I$6:$J$12,2,TRUE),IFERROR(IF(VLOOKUP("*CR",F296,1,FALSE)&gt;=0,"",VLOOKUP("*CR",F296,1,FALSE)),F296),""),"")</f>
        <v/>
      </c>
    </row>
    <row r="297" spans="1:8" x14ac:dyDescent="0.25">
      <c r="A297" s="1947" t="s">
        <v>3017</v>
      </c>
      <c r="B297" s="1947" t="s">
        <v>2739</v>
      </c>
      <c r="C297" s="1947" t="s">
        <v>2300</v>
      </c>
      <c r="D297" s="1947">
        <v>200</v>
      </c>
      <c r="E297" s="1947">
        <v>0</v>
      </c>
      <c r="F297" s="1947">
        <v>200</v>
      </c>
      <c r="G297" s="1947"/>
      <c r="H297" s="1949" t="str">
        <f>IFERROR(IF(F297&gt;=VLOOKUP(A297,[1]Materiality!$I$6:$J$12,2,TRUE),IFERROR(IF(VLOOKUP("*CR",F297,1,FALSE)&gt;=0,"",VLOOKUP("*CR",F297,1,FALSE)),F297),""),"")</f>
        <v/>
      </c>
    </row>
    <row r="298" spans="1:8" x14ac:dyDescent="0.25">
      <c r="A298" s="1947" t="s">
        <v>3017</v>
      </c>
      <c r="B298" s="1947" t="s">
        <v>2749</v>
      </c>
      <c r="C298" s="1947" t="s">
        <v>2301</v>
      </c>
      <c r="D298" s="1947">
        <v>753</v>
      </c>
      <c r="E298" s="1947">
        <v>0</v>
      </c>
      <c r="F298" s="1947">
        <v>753</v>
      </c>
      <c r="G298" s="1947"/>
      <c r="H298" s="1949" t="str">
        <f>IFERROR(IF(F298&gt;=VLOOKUP(A298,[1]Materiality!$I$6:$J$12,2,TRUE),IFERROR(IF(VLOOKUP("*CR",F298,1,FALSE)&gt;=0,"",VLOOKUP("*CR",F298,1,FALSE)),F298),""),"")</f>
        <v/>
      </c>
    </row>
    <row r="299" spans="1:8" x14ac:dyDescent="0.25">
      <c r="A299" s="1947" t="s">
        <v>3017</v>
      </c>
      <c r="B299" s="1947" t="s">
        <v>2750</v>
      </c>
      <c r="C299" s="1947" t="s">
        <v>2302</v>
      </c>
      <c r="D299" s="1947">
        <v>204</v>
      </c>
      <c r="E299" s="1947">
        <v>0</v>
      </c>
      <c r="F299" s="1947">
        <v>204</v>
      </c>
      <c r="G299" s="1947"/>
      <c r="H299" s="1949" t="str">
        <f>IFERROR(IF(F299&gt;=VLOOKUP(A299,[1]Materiality!$I$6:$J$12,2,TRUE),IFERROR(IF(VLOOKUP("*CR",F299,1,FALSE)&gt;=0,"",VLOOKUP("*CR",F299,1,FALSE)),F299),""),"")</f>
        <v/>
      </c>
    </row>
    <row r="300" spans="1:8" x14ac:dyDescent="0.25">
      <c r="A300" s="1947" t="s">
        <v>3017</v>
      </c>
      <c r="B300" s="1947" t="s">
        <v>2741</v>
      </c>
      <c r="C300" s="1947" t="s">
        <v>2303</v>
      </c>
      <c r="D300" s="1947">
        <v>755</v>
      </c>
      <c r="E300" s="1947">
        <v>0</v>
      </c>
      <c r="F300" s="1947">
        <v>755</v>
      </c>
      <c r="G300" s="1947"/>
      <c r="H300" s="1949" t="str">
        <f>IFERROR(IF(F300&gt;=VLOOKUP(A300,[1]Materiality!$I$6:$J$12,2,TRUE),IFERROR(IF(VLOOKUP("*CR",F300,1,FALSE)&gt;=0,"",VLOOKUP("*CR",F300,1,FALSE)),F300),""),"")</f>
        <v/>
      </c>
    </row>
    <row r="301" spans="1:8" x14ac:dyDescent="0.25">
      <c r="A301" s="1947" t="s">
        <v>3017</v>
      </c>
      <c r="B301" s="1947" t="s">
        <v>2742</v>
      </c>
      <c r="C301" s="1947" t="s">
        <v>2304</v>
      </c>
      <c r="D301" s="1947">
        <v>400</v>
      </c>
      <c r="E301" s="1947">
        <v>0</v>
      </c>
      <c r="F301" s="1947">
        <v>400</v>
      </c>
      <c r="G301" s="1947"/>
      <c r="H301" s="1949" t="str">
        <f>IFERROR(IF(F301&gt;=VLOOKUP(A301,[1]Materiality!$I$6:$J$12,2,TRUE),IFERROR(IF(VLOOKUP("*CR",F301,1,FALSE)&gt;=0,"",VLOOKUP("*CR",F301,1,FALSE)),F301),""),"")</f>
        <v/>
      </c>
    </row>
    <row r="302" spans="1:8" x14ac:dyDescent="0.25">
      <c r="A302" s="1947" t="s">
        <v>3017</v>
      </c>
      <c r="B302" s="1947" t="s">
        <v>2743</v>
      </c>
      <c r="C302" s="1947" t="s">
        <v>2305</v>
      </c>
      <c r="D302" s="1948">
        <v>1630</v>
      </c>
      <c r="E302" s="1947">
        <v>0</v>
      </c>
      <c r="F302" s="1948">
        <v>1630</v>
      </c>
      <c r="G302" s="1947"/>
      <c r="H302" s="1949" t="str">
        <f>IFERROR(IF(F302&gt;=VLOOKUP(A302,[1]Materiality!$I$6:$J$12,2,TRUE),IFERROR(IF(VLOOKUP("*CR",F302,1,FALSE)&gt;=0,"",VLOOKUP("*CR",F302,1,FALSE)),F302),""),"")</f>
        <v/>
      </c>
    </row>
    <row r="303" spans="1:8" x14ac:dyDescent="0.25">
      <c r="A303" s="1947" t="s">
        <v>3017</v>
      </c>
      <c r="B303" s="1947" t="s">
        <v>2744</v>
      </c>
      <c r="C303" s="1947" t="s">
        <v>2306</v>
      </c>
      <c r="D303" s="1948">
        <v>1415</v>
      </c>
      <c r="E303" s="1947">
        <v>0</v>
      </c>
      <c r="F303" s="1948">
        <v>1415</v>
      </c>
      <c r="G303" s="1947"/>
      <c r="H303" s="1949" t="str">
        <f>IFERROR(IF(F303&gt;=VLOOKUP(A303,[1]Materiality!$I$6:$J$12,2,TRUE),IFERROR(IF(VLOOKUP("*CR",F303,1,FALSE)&gt;=0,"",VLOOKUP("*CR",F303,1,FALSE)),F303),""),"")</f>
        <v/>
      </c>
    </row>
    <row r="304" spans="1:8" x14ac:dyDescent="0.25">
      <c r="A304" s="1947" t="s">
        <v>3017</v>
      </c>
      <c r="B304" s="1947" t="s">
        <v>2733</v>
      </c>
      <c r="C304" s="1947" t="s">
        <v>2307</v>
      </c>
      <c r="D304" s="1947">
        <v>649.97</v>
      </c>
      <c r="E304" s="1947">
        <v>0</v>
      </c>
      <c r="F304" s="1947">
        <v>649.97</v>
      </c>
      <c r="G304" s="1947"/>
      <c r="H304" s="1949" t="str">
        <f>IFERROR(IF(F304&gt;=VLOOKUP(A304,[1]Materiality!$I$6:$J$12,2,TRUE),IFERROR(IF(VLOOKUP("*CR",F304,1,FALSE)&gt;=0,"",VLOOKUP("*CR",F304,1,FALSE)),F304),""),"")</f>
        <v/>
      </c>
    </row>
    <row r="305" spans="1:8" x14ac:dyDescent="0.25">
      <c r="A305" s="1947" t="s">
        <v>3017</v>
      </c>
      <c r="B305" s="1947" t="s">
        <v>2751</v>
      </c>
      <c r="C305" s="1947" t="s">
        <v>2308</v>
      </c>
      <c r="D305" s="1948">
        <v>3370</v>
      </c>
      <c r="E305" s="1947">
        <v>0</v>
      </c>
      <c r="F305" s="1948">
        <v>3370</v>
      </c>
      <c r="G305" s="1947"/>
      <c r="H305" s="1949" t="str">
        <f>IFERROR(IF(F305&gt;=VLOOKUP(A305,[1]Materiality!$I$6:$J$12,2,TRUE),IFERROR(IF(VLOOKUP("*CR",F305,1,FALSE)&gt;=0,"",VLOOKUP("*CR",F305,1,FALSE)),F305),""),"")</f>
        <v/>
      </c>
    </row>
    <row r="306" spans="1:8" x14ac:dyDescent="0.25">
      <c r="A306" s="1947" t="s">
        <v>3018</v>
      </c>
      <c r="B306" s="1947" t="s">
        <v>2752</v>
      </c>
      <c r="C306" s="1947" t="s">
        <v>2309</v>
      </c>
      <c r="D306" s="1947">
        <v>170</v>
      </c>
      <c r="E306" s="1947">
        <v>0</v>
      </c>
      <c r="F306" s="1947">
        <v>170</v>
      </c>
      <c r="G306" s="1947"/>
      <c r="H306" s="1949" t="str">
        <f>IFERROR(IF(F306&gt;=VLOOKUP(A306,[1]Materiality!$I$6:$J$12,2,TRUE),IFERROR(IF(VLOOKUP("*CR",F306,1,FALSE)&gt;=0,"",VLOOKUP("*CR",F306,1,FALSE)),F306),""),"")</f>
        <v/>
      </c>
    </row>
    <row r="307" spans="1:8" x14ac:dyDescent="0.25">
      <c r="A307" s="1947" t="s">
        <v>3019</v>
      </c>
      <c r="B307" s="1947" t="s">
        <v>2715</v>
      </c>
      <c r="C307" s="1947" t="s">
        <v>2310</v>
      </c>
      <c r="D307" s="1947">
        <v>680</v>
      </c>
      <c r="E307" s="1947">
        <v>0</v>
      </c>
      <c r="F307" s="1947">
        <v>680</v>
      </c>
      <c r="G307" s="1947"/>
      <c r="H307" s="1949" t="str">
        <f>IFERROR(IF(F307&gt;=VLOOKUP(A307,[1]Materiality!$I$6:$J$12,2,TRUE),IFERROR(IF(VLOOKUP("*CR",F307,1,FALSE)&gt;=0,"",VLOOKUP("*CR",F307,1,FALSE)),F307),""),"")</f>
        <v/>
      </c>
    </row>
    <row r="308" spans="1:8" x14ac:dyDescent="0.25">
      <c r="A308" s="1947" t="s">
        <v>3020</v>
      </c>
      <c r="B308" s="1947" t="s">
        <v>2753</v>
      </c>
      <c r="C308" s="1947" t="s">
        <v>2311</v>
      </c>
      <c r="D308" s="1947">
        <v>402.09</v>
      </c>
      <c r="E308" s="1947">
        <v>0</v>
      </c>
      <c r="F308" s="1947">
        <v>402.09</v>
      </c>
      <c r="G308" s="1947"/>
      <c r="H308" s="1949" t="str">
        <f>IFERROR(IF(F308&gt;=VLOOKUP(A308,[1]Materiality!$I$6:$J$12,2,TRUE),IFERROR(IF(VLOOKUP("*CR",F308,1,FALSE)&gt;=0,"",VLOOKUP("*CR",F308,1,FALSE)),F308),""),"")</f>
        <v/>
      </c>
    </row>
    <row r="309" spans="1:8" x14ac:dyDescent="0.25">
      <c r="A309" s="1947" t="s">
        <v>3020</v>
      </c>
      <c r="B309" s="1947" t="s">
        <v>2754</v>
      </c>
      <c r="C309" s="1947" t="s">
        <v>2312</v>
      </c>
      <c r="D309" s="1948">
        <v>2510</v>
      </c>
      <c r="E309" s="1947">
        <v>0</v>
      </c>
      <c r="F309" s="1948">
        <v>2510</v>
      </c>
      <c r="G309" s="1947"/>
      <c r="H309" s="1949" t="str">
        <f>IFERROR(IF(F309&gt;=VLOOKUP(A309,[1]Materiality!$I$6:$J$12,2,TRUE),IFERROR(IF(VLOOKUP("*CR",F309,1,FALSE)&gt;=0,"",VLOOKUP("*CR",F309,1,FALSE)),F309),""),"")</f>
        <v/>
      </c>
    </row>
    <row r="310" spans="1:8" x14ac:dyDescent="0.25">
      <c r="A310" s="1947" t="s">
        <v>3020</v>
      </c>
      <c r="B310" s="1947" t="s">
        <v>2755</v>
      </c>
      <c r="C310" s="1947" t="s">
        <v>2313</v>
      </c>
      <c r="D310" s="1947">
        <v>570.59</v>
      </c>
      <c r="E310" s="1947">
        <v>0</v>
      </c>
      <c r="F310" s="1947">
        <v>570.59</v>
      </c>
      <c r="G310" s="1947"/>
      <c r="H310" s="1949" t="str">
        <f>IFERROR(IF(F310&gt;=VLOOKUP(A310,[1]Materiality!$I$6:$J$12,2,TRUE),IFERROR(IF(VLOOKUP("*CR",F310,1,FALSE)&gt;=0,"",VLOOKUP("*CR",F310,1,FALSE)),F310),""),"")</f>
        <v/>
      </c>
    </row>
    <row r="311" spans="1:8" x14ac:dyDescent="0.25">
      <c r="A311" s="1947" t="s">
        <v>3020</v>
      </c>
      <c r="B311" s="1947" t="s">
        <v>2752</v>
      </c>
      <c r="C311" s="1947" t="s">
        <v>2314</v>
      </c>
      <c r="D311" s="1947">
        <v>125</v>
      </c>
      <c r="E311" s="1947">
        <v>0</v>
      </c>
      <c r="F311" s="1947">
        <v>125</v>
      </c>
      <c r="G311" s="1947"/>
      <c r="H311" s="1949" t="str">
        <f>IFERROR(IF(F311&gt;=VLOOKUP(A311,[1]Materiality!$I$6:$J$12,2,TRUE),IFERROR(IF(VLOOKUP("*CR",F311,1,FALSE)&gt;=0,"",VLOOKUP("*CR",F311,1,FALSE)),F311),""),"")</f>
        <v/>
      </c>
    </row>
    <row r="312" spans="1:8" x14ac:dyDescent="0.25">
      <c r="A312" s="1947" t="s">
        <v>3021</v>
      </c>
      <c r="B312" s="1947" t="s">
        <v>2753</v>
      </c>
      <c r="C312" s="1947" t="s">
        <v>2315</v>
      </c>
      <c r="D312" s="1947">
        <v>302</v>
      </c>
      <c r="E312" s="1947">
        <v>90</v>
      </c>
      <c r="F312" s="1947">
        <v>212</v>
      </c>
      <c r="G312" s="1947"/>
      <c r="H312" s="1949" t="str">
        <f>IFERROR(IF(F312&gt;=VLOOKUP(A312,[1]Materiality!$I$6:$J$12,2,TRUE),IFERROR(IF(VLOOKUP("*CR",F312,1,FALSE)&gt;=0,"",VLOOKUP("*CR",F312,1,FALSE)),F312),""),"")</f>
        <v/>
      </c>
    </row>
    <row r="313" spans="1:8" x14ac:dyDescent="0.25">
      <c r="A313" s="1947" t="s">
        <v>3021</v>
      </c>
      <c r="B313" s="1947" t="s">
        <v>2752</v>
      </c>
      <c r="C313" s="1947" t="s">
        <v>2316</v>
      </c>
      <c r="D313" s="1947">
        <v>120</v>
      </c>
      <c r="E313" s="1947">
        <v>0</v>
      </c>
      <c r="F313" s="1947">
        <v>120</v>
      </c>
      <c r="G313" s="1947"/>
      <c r="H313" s="1949" t="str">
        <f>IFERROR(IF(F313&gt;=VLOOKUP(A313,[1]Materiality!$I$6:$J$12,2,TRUE),IFERROR(IF(VLOOKUP("*CR",F313,1,FALSE)&gt;=0,"",VLOOKUP("*CR",F313,1,FALSE)),F313),""),"")</f>
        <v/>
      </c>
    </row>
    <row r="314" spans="1:8" x14ac:dyDescent="0.25">
      <c r="A314" s="1947" t="s">
        <v>3022</v>
      </c>
      <c r="B314" s="1947" t="s">
        <v>2756</v>
      </c>
      <c r="C314" s="1947" t="s">
        <v>2317</v>
      </c>
      <c r="D314" s="1947">
        <v>900</v>
      </c>
      <c r="E314" s="1947">
        <v>0</v>
      </c>
      <c r="F314" s="1947">
        <v>900</v>
      </c>
      <c r="G314" s="1947"/>
      <c r="H314" s="1949" t="str">
        <f>IFERROR(IF(F314&gt;=VLOOKUP(A314,[1]Materiality!$I$6:$J$12,2,TRUE),IFERROR(IF(VLOOKUP("*CR",F314,1,FALSE)&gt;=0,"",VLOOKUP("*CR",F314,1,FALSE)),F314),""),"")</f>
        <v/>
      </c>
    </row>
    <row r="315" spans="1:8" x14ac:dyDescent="0.25">
      <c r="A315" s="1947" t="s">
        <v>3023</v>
      </c>
      <c r="B315" s="1947" t="s">
        <v>2756</v>
      </c>
      <c r="C315" s="1947" t="s">
        <v>2318</v>
      </c>
      <c r="D315" s="1947">
        <v>89.01</v>
      </c>
      <c r="E315" s="1947">
        <v>0</v>
      </c>
      <c r="F315" s="1947">
        <v>89.01</v>
      </c>
      <c r="G315" s="1947"/>
      <c r="H315" s="1949" t="str">
        <f>IFERROR(IF(F315&gt;=VLOOKUP(A315,[1]Materiality!$I$6:$J$12,2,TRUE),IFERROR(IF(VLOOKUP("*CR",F315,1,FALSE)&gt;=0,"",VLOOKUP("*CR",F315,1,FALSE)),F315),""),"")</f>
        <v/>
      </c>
    </row>
    <row r="316" spans="1:8" x14ac:dyDescent="0.25">
      <c r="A316" s="1947" t="s">
        <v>3024</v>
      </c>
      <c r="B316" s="1947" t="s">
        <v>2756</v>
      </c>
      <c r="C316" s="1947" t="s">
        <v>2318</v>
      </c>
      <c r="D316" s="1947">
        <v>5.22</v>
      </c>
      <c r="E316" s="1947">
        <v>0</v>
      </c>
      <c r="F316" s="1947">
        <v>5.22</v>
      </c>
      <c r="G316" s="1947"/>
      <c r="H316" s="1949" t="str">
        <f>IFERROR(IF(F316&gt;=VLOOKUP(A316,[1]Materiality!$I$6:$J$12,2,TRUE),IFERROR(IF(VLOOKUP("*CR",F316,1,FALSE)&gt;=0,"",VLOOKUP("*CR",F316,1,FALSE)),F316),""),"")</f>
        <v/>
      </c>
    </row>
    <row r="317" spans="1:8" x14ac:dyDescent="0.25">
      <c r="A317" s="1947" t="s">
        <v>3025</v>
      </c>
      <c r="B317" s="1947" t="s">
        <v>2756</v>
      </c>
      <c r="C317" s="1947" t="s">
        <v>2319</v>
      </c>
      <c r="D317" s="1947">
        <v>17.41</v>
      </c>
      <c r="E317" s="1947">
        <v>0</v>
      </c>
      <c r="F317" s="1947">
        <v>17.41</v>
      </c>
      <c r="G317" s="1947"/>
      <c r="H317" s="1949" t="str">
        <f>IFERROR(IF(F317&gt;=VLOOKUP(A317,[1]Materiality!$I$6:$J$12,2,TRUE),IFERROR(IF(VLOOKUP("*CR",F317,1,FALSE)&gt;=0,"",VLOOKUP("*CR",F317,1,FALSE)),F317),""),"")</f>
        <v/>
      </c>
    </row>
    <row r="318" spans="1:8" x14ac:dyDescent="0.25">
      <c r="A318" s="1947" t="s">
        <v>3026</v>
      </c>
      <c r="B318" s="1947" t="s">
        <v>2708</v>
      </c>
      <c r="C318" s="1947" t="s">
        <v>2167</v>
      </c>
      <c r="D318" s="1948">
        <v>1900</v>
      </c>
      <c r="E318" s="1947">
        <v>0</v>
      </c>
      <c r="F318" s="1948">
        <v>1900</v>
      </c>
      <c r="G318" s="1947"/>
      <c r="H318" s="1949" t="str">
        <f>IFERROR(IF(F318&gt;=VLOOKUP(A318,[1]Materiality!$I$6:$J$12,2,TRUE),IFERROR(IF(VLOOKUP("*CR",F318,1,FALSE)&gt;=0,"",VLOOKUP("*CR",F318,1,FALSE)),F318),""),"")</f>
        <v/>
      </c>
    </row>
    <row r="319" spans="1:8" x14ac:dyDescent="0.25">
      <c r="A319" s="1947" t="s">
        <v>3027</v>
      </c>
      <c r="B319" s="1947" t="s">
        <v>2708</v>
      </c>
      <c r="C319" s="1947" t="s">
        <v>2172</v>
      </c>
      <c r="D319" s="1947">
        <v>187.91</v>
      </c>
      <c r="E319" s="1947">
        <v>0</v>
      </c>
      <c r="F319" s="1947">
        <v>187.91</v>
      </c>
      <c r="G319" s="1947"/>
      <c r="H319" s="1949" t="str">
        <f>IFERROR(IF(F319&gt;=VLOOKUP(A319,[1]Materiality!$I$6:$J$12,2,TRUE),IFERROR(IF(VLOOKUP("*CR",F319,1,FALSE)&gt;=0,"",VLOOKUP("*CR",F319,1,FALSE)),F319),""),"")</f>
        <v/>
      </c>
    </row>
    <row r="320" spans="1:8" x14ac:dyDescent="0.25">
      <c r="A320" s="1947" t="s">
        <v>3028</v>
      </c>
      <c r="B320" s="1947" t="s">
        <v>2708</v>
      </c>
      <c r="C320" s="1947" t="s">
        <v>2172</v>
      </c>
      <c r="D320" s="1947">
        <v>11.02</v>
      </c>
      <c r="E320" s="1947">
        <v>0</v>
      </c>
      <c r="F320" s="1947">
        <v>11.02</v>
      </c>
      <c r="G320" s="1947"/>
      <c r="H320" s="1949" t="str">
        <f>IFERROR(IF(F320&gt;=VLOOKUP(A320,[1]Materiality!$I$6:$J$12,2,TRUE),IFERROR(IF(VLOOKUP("*CR",F320,1,FALSE)&gt;=0,"",VLOOKUP("*CR",F320,1,FALSE)),F320),""),"")</f>
        <v/>
      </c>
    </row>
    <row r="321" spans="1:8" x14ac:dyDescent="0.25">
      <c r="A321" s="1947" t="s">
        <v>3029</v>
      </c>
      <c r="B321" s="1947" t="s">
        <v>2708</v>
      </c>
      <c r="C321" s="1947" t="s">
        <v>2174</v>
      </c>
      <c r="D321" s="1947">
        <v>36.72</v>
      </c>
      <c r="E321" s="1947">
        <v>0</v>
      </c>
      <c r="F321" s="1947">
        <v>36.72</v>
      </c>
      <c r="G321" s="1947"/>
      <c r="H321" s="1949" t="str">
        <f>IFERROR(IF(F321&gt;=VLOOKUP(A321,[1]Materiality!$I$6:$J$12,2,TRUE),IFERROR(IF(VLOOKUP("*CR",F321,1,FALSE)&gt;=0,"",VLOOKUP("*CR",F321,1,FALSE)),F321),""),"")</f>
        <v/>
      </c>
    </row>
    <row r="322" spans="1:8" x14ac:dyDescent="0.25">
      <c r="A322" s="1947" t="s">
        <v>3030</v>
      </c>
      <c r="B322" s="1947" t="s">
        <v>2757</v>
      </c>
      <c r="C322" s="1947" t="s">
        <v>2320</v>
      </c>
      <c r="D322" s="1948">
        <v>126122.6</v>
      </c>
      <c r="E322" s="1947">
        <v>0</v>
      </c>
      <c r="F322" s="1948">
        <v>126122.6</v>
      </c>
      <c r="G322" s="1947"/>
      <c r="H322" s="1949" t="str">
        <f>IFERROR(IF(F322&gt;=VLOOKUP(A322,[1]Materiality!$I$6:$J$12,2,TRUE),IFERROR(IF(VLOOKUP("*CR",F322,1,FALSE)&gt;=0,"",VLOOKUP("*CR",F322,1,FALSE)),F322),""),"")</f>
        <v/>
      </c>
    </row>
    <row r="323" spans="1:8" x14ac:dyDescent="0.25">
      <c r="A323" s="1947" t="s">
        <v>3031</v>
      </c>
      <c r="B323" s="1947" t="s">
        <v>2757</v>
      </c>
      <c r="C323" s="1947" t="s">
        <v>2321</v>
      </c>
      <c r="D323" s="1948">
        <v>12039.55</v>
      </c>
      <c r="E323" s="1947">
        <v>0</v>
      </c>
      <c r="F323" s="1948">
        <v>12039.55</v>
      </c>
      <c r="G323" s="1947"/>
      <c r="H323" s="1949" t="str">
        <f>IFERROR(IF(F323&gt;=VLOOKUP(A323,[1]Materiality!$I$6:$J$12,2,TRUE),IFERROR(IF(VLOOKUP("*CR",F323,1,FALSE)&gt;=0,"",VLOOKUP("*CR",F323,1,FALSE)),F323),""),"")</f>
        <v/>
      </c>
    </row>
    <row r="324" spans="1:8" x14ac:dyDescent="0.25">
      <c r="A324" s="1947" t="s">
        <v>3032</v>
      </c>
      <c r="B324" s="1947" t="s">
        <v>2757</v>
      </c>
      <c r="C324" s="1947" t="s">
        <v>2321</v>
      </c>
      <c r="D324" s="1947">
        <v>769.37</v>
      </c>
      <c r="E324" s="1947">
        <v>0</v>
      </c>
      <c r="F324" s="1947">
        <v>769.37</v>
      </c>
      <c r="G324" s="1947"/>
      <c r="H324" s="1949" t="str">
        <f>IFERROR(IF(F324&gt;=VLOOKUP(A324,[1]Materiality!$I$6:$J$12,2,TRUE),IFERROR(IF(VLOOKUP("*CR",F324,1,FALSE)&gt;=0,"",VLOOKUP("*CR",F324,1,FALSE)),F324),""),"")</f>
        <v/>
      </c>
    </row>
    <row r="325" spans="1:8" x14ac:dyDescent="0.25">
      <c r="A325" s="1947" t="s">
        <v>3033</v>
      </c>
      <c r="B325" s="1947" t="s">
        <v>2757</v>
      </c>
      <c r="C325" s="1947" t="s">
        <v>2322</v>
      </c>
      <c r="D325" s="1948">
        <v>2353.3000000000002</v>
      </c>
      <c r="E325" s="1947">
        <v>0</v>
      </c>
      <c r="F325" s="1948">
        <v>2353.3000000000002</v>
      </c>
      <c r="G325" s="1947"/>
      <c r="H325" s="1949" t="str">
        <f>IFERROR(IF(F325&gt;=VLOOKUP(A325,[1]Materiality!$I$6:$J$12,2,TRUE),IFERROR(IF(VLOOKUP("*CR",F325,1,FALSE)&gt;=0,"",VLOOKUP("*CR",F325,1,FALSE)),F325),""),"")</f>
        <v/>
      </c>
    </row>
    <row r="326" spans="1:8" x14ac:dyDescent="0.25">
      <c r="A326" s="1947" t="s">
        <v>3034</v>
      </c>
      <c r="B326" s="1947" t="s">
        <v>2757</v>
      </c>
      <c r="C326" s="1947" t="s">
        <v>2323</v>
      </c>
      <c r="D326" s="1948">
        <v>41463.03</v>
      </c>
      <c r="E326" s="1948">
        <v>8271.8700000000008</v>
      </c>
      <c r="F326" s="1948">
        <v>33191.160000000003</v>
      </c>
      <c r="G326" s="1947"/>
      <c r="H326" s="1949" t="str">
        <f>IFERROR(IF(F326&gt;=VLOOKUP(A326,[1]Materiality!$I$6:$J$12,2,TRUE),IFERROR(IF(VLOOKUP("*CR",F326,1,FALSE)&gt;=0,"",VLOOKUP("*CR",F326,1,FALSE)),F326),""),"")</f>
        <v/>
      </c>
    </row>
    <row r="327" spans="1:8" x14ac:dyDescent="0.25">
      <c r="A327" s="1947" t="s">
        <v>3035</v>
      </c>
      <c r="B327" s="1947" t="s">
        <v>2757</v>
      </c>
      <c r="C327" s="1947" t="s">
        <v>2324</v>
      </c>
      <c r="D327" s="1947">
        <v>683.52</v>
      </c>
      <c r="E327" s="1947">
        <v>0</v>
      </c>
      <c r="F327" s="1947">
        <v>683.52</v>
      </c>
      <c r="G327" s="1947"/>
      <c r="H327" s="1949" t="str">
        <f>IFERROR(IF(F327&gt;=VLOOKUP(A327,[1]Materiality!$I$6:$J$12,2,TRUE),IFERROR(IF(VLOOKUP("*CR",F327,1,FALSE)&gt;=0,"",VLOOKUP("*CR",F327,1,FALSE)),F327),""),"")</f>
        <v/>
      </c>
    </row>
    <row r="328" spans="1:8" x14ac:dyDescent="0.25">
      <c r="A328" s="1947" t="s">
        <v>3036</v>
      </c>
      <c r="B328" s="1947" t="s">
        <v>2757</v>
      </c>
      <c r="C328" s="1947" t="s">
        <v>2325</v>
      </c>
      <c r="D328" s="1948">
        <v>1080</v>
      </c>
      <c r="E328" s="1947">
        <v>0</v>
      </c>
      <c r="F328" s="1948">
        <v>1080</v>
      </c>
      <c r="G328" s="1947"/>
      <c r="H328" s="1949" t="str">
        <f>IFERROR(IF(F328&gt;=VLOOKUP(A328,[1]Materiality!$I$6:$J$12,2,TRUE),IFERROR(IF(VLOOKUP("*CR",F328,1,FALSE)&gt;=0,"",VLOOKUP("*CR",F328,1,FALSE)),F328),""),"")</f>
        <v/>
      </c>
    </row>
    <row r="329" spans="1:8" x14ac:dyDescent="0.25">
      <c r="A329" s="1947" t="s">
        <v>3037</v>
      </c>
      <c r="B329" s="1947" t="s">
        <v>2757</v>
      </c>
      <c r="C329" s="1947" t="s">
        <v>2326</v>
      </c>
      <c r="D329" s="1947">
        <v>936.79</v>
      </c>
      <c r="E329" s="1947">
        <v>0</v>
      </c>
      <c r="F329" s="1947">
        <v>936.79</v>
      </c>
      <c r="G329" s="1947"/>
      <c r="H329" s="1949" t="str">
        <f>IFERROR(IF(F329&gt;=VLOOKUP(A329,[1]Materiality!$I$6:$J$12,2,TRUE),IFERROR(IF(VLOOKUP("*CR",F329,1,FALSE)&gt;=0,"",VLOOKUP("*CR",F329,1,FALSE)),F329),""),"")</f>
        <v/>
      </c>
    </row>
    <row r="330" spans="1:8" x14ac:dyDescent="0.25">
      <c r="A330" s="1947" t="s">
        <v>3038</v>
      </c>
      <c r="B330" s="1947" t="s">
        <v>2758</v>
      </c>
      <c r="C330" s="1947" t="s">
        <v>2327</v>
      </c>
      <c r="D330" s="1948">
        <v>5501.04</v>
      </c>
      <c r="E330" s="1947">
        <v>0</v>
      </c>
      <c r="F330" s="1948">
        <v>5501.04</v>
      </c>
      <c r="G330" s="1947"/>
      <c r="H330" s="1949" t="str">
        <f>IFERROR(IF(F330&gt;=VLOOKUP(A330,[1]Materiality!$I$6:$J$12,2,TRUE),IFERROR(IF(VLOOKUP("*CR",F330,1,FALSE)&gt;=0,"",VLOOKUP("*CR",F330,1,FALSE)),F330),""),"")</f>
        <v/>
      </c>
    </row>
    <row r="331" spans="1:8" x14ac:dyDescent="0.25">
      <c r="A331" s="1947" t="s">
        <v>3039</v>
      </c>
      <c r="B331" s="1947" t="s">
        <v>2758</v>
      </c>
      <c r="C331" s="1947" t="s">
        <v>2328</v>
      </c>
      <c r="D331" s="1947">
        <v>622.08000000000004</v>
      </c>
      <c r="E331" s="1947">
        <v>0</v>
      </c>
      <c r="F331" s="1947">
        <v>622.08000000000004</v>
      </c>
      <c r="G331" s="1947"/>
      <c r="H331" s="1949" t="str">
        <f>IFERROR(IF(F331&gt;=VLOOKUP(A331,[1]Materiality!$I$6:$J$12,2,TRUE),IFERROR(IF(VLOOKUP("*CR",F331,1,FALSE)&gt;=0,"",VLOOKUP("*CR",F331,1,FALSE)),F331),""),"")</f>
        <v/>
      </c>
    </row>
    <row r="332" spans="1:8" x14ac:dyDescent="0.25">
      <c r="A332" s="1947" t="s">
        <v>3040</v>
      </c>
      <c r="B332" s="1947" t="s">
        <v>2758</v>
      </c>
      <c r="C332" s="1947" t="s">
        <v>2328</v>
      </c>
      <c r="D332" s="1947">
        <v>40.08</v>
      </c>
      <c r="E332" s="1947">
        <v>0</v>
      </c>
      <c r="F332" s="1947">
        <v>40.08</v>
      </c>
      <c r="G332" s="1947"/>
      <c r="H332" s="1949" t="str">
        <f>IFERROR(IF(F332&gt;=VLOOKUP(A332,[1]Materiality!$I$6:$J$12,2,TRUE),IFERROR(IF(VLOOKUP("*CR",F332,1,FALSE)&gt;=0,"",VLOOKUP("*CR",F332,1,FALSE)),F332),""),"")</f>
        <v/>
      </c>
    </row>
    <row r="333" spans="1:8" x14ac:dyDescent="0.25">
      <c r="A333" s="1947" t="s">
        <v>3041</v>
      </c>
      <c r="B333" s="1947" t="s">
        <v>2758</v>
      </c>
      <c r="C333" s="1947" t="s">
        <v>2329</v>
      </c>
      <c r="D333" s="1947">
        <v>121.65</v>
      </c>
      <c r="E333" s="1947">
        <v>0</v>
      </c>
      <c r="F333" s="1947">
        <v>121.65</v>
      </c>
      <c r="G333" s="1947"/>
      <c r="H333" s="1949" t="str">
        <f>IFERROR(IF(F333&gt;=VLOOKUP(A333,[1]Materiality!$I$6:$J$12,2,TRUE),IFERROR(IF(VLOOKUP("*CR",F333,1,FALSE)&gt;=0,"",VLOOKUP("*CR",F333,1,FALSE)),F333),""),"")</f>
        <v/>
      </c>
    </row>
    <row r="334" spans="1:8" x14ac:dyDescent="0.25">
      <c r="A334" s="1947" t="s">
        <v>3042</v>
      </c>
      <c r="B334" s="1947" t="s">
        <v>2758</v>
      </c>
      <c r="C334" s="1947" t="s">
        <v>2330</v>
      </c>
      <c r="D334" s="1947">
        <v>15.97</v>
      </c>
      <c r="E334" s="1947">
        <v>0</v>
      </c>
      <c r="F334" s="1947">
        <v>15.97</v>
      </c>
      <c r="G334" s="1947"/>
      <c r="H334" s="1949" t="str">
        <f>IFERROR(IF(F334&gt;=VLOOKUP(A334,[1]Materiality!$I$6:$J$12,2,TRUE),IFERROR(IF(VLOOKUP("*CR",F334,1,FALSE)&gt;=0,"",VLOOKUP("*CR",F334,1,FALSE)),F334),""),"")</f>
        <v/>
      </c>
    </row>
    <row r="335" spans="1:8" x14ac:dyDescent="0.25">
      <c r="A335" s="1947" t="s">
        <v>3043</v>
      </c>
      <c r="B335" s="1947" t="s">
        <v>2721</v>
      </c>
      <c r="C335" s="1947" t="s">
        <v>2223</v>
      </c>
      <c r="D335" s="1948">
        <v>685507.68</v>
      </c>
      <c r="E335" s="1947">
        <v>0</v>
      </c>
      <c r="F335" s="1948">
        <v>685507.68</v>
      </c>
      <c r="G335" s="1947"/>
      <c r="H335" s="1949" t="str">
        <f>IFERROR(IF(F335&gt;=VLOOKUP(A335,[1]Materiality!$I$6:$J$12,2,TRUE),IFERROR(IF(VLOOKUP("*CR",F335,1,FALSE)&gt;=0,"",VLOOKUP("*CR",F335,1,FALSE)),F335),""),"")</f>
        <v/>
      </c>
    </row>
    <row r="336" spans="1:8" x14ac:dyDescent="0.25">
      <c r="A336" s="1947" t="s">
        <v>3044</v>
      </c>
      <c r="B336" s="1947" t="s">
        <v>2708</v>
      </c>
      <c r="C336" s="1947" t="s">
        <v>2167</v>
      </c>
      <c r="D336" s="1948">
        <v>137390.91</v>
      </c>
      <c r="E336" s="1947">
        <v>0</v>
      </c>
      <c r="F336" s="1948">
        <v>137390.91</v>
      </c>
      <c r="G336" s="1947"/>
      <c r="H336" s="1949" t="str">
        <f>IFERROR(IF(F336&gt;=VLOOKUP(A336,[1]Materiality!$I$6:$J$12,2,TRUE),IFERROR(IF(VLOOKUP("*CR",F336,1,FALSE)&gt;=0,"",VLOOKUP("*CR",F336,1,FALSE)),F336),""),"")</f>
        <v/>
      </c>
    </row>
    <row r="337" spans="1:8" x14ac:dyDescent="0.25">
      <c r="A337" s="1947" t="s">
        <v>3045</v>
      </c>
      <c r="B337" s="1947" t="s">
        <v>2759</v>
      </c>
      <c r="C337" s="1947" t="s">
        <v>2331</v>
      </c>
      <c r="D337" s="1948">
        <v>89337.23</v>
      </c>
      <c r="E337" s="1947">
        <v>0</v>
      </c>
      <c r="F337" s="1948">
        <v>89337.23</v>
      </c>
      <c r="G337" s="1947"/>
      <c r="H337" s="1949" t="str">
        <f>IFERROR(IF(F337&gt;=VLOOKUP(A337,[1]Materiality!$I$6:$J$12,2,TRUE),IFERROR(IF(VLOOKUP("*CR",F337,1,FALSE)&gt;=0,"",VLOOKUP("*CR",F337,1,FALSE)),F337),""),"")</f>
        <v/>
      </c>
    </row>
    <row r="338" spans="1:8" x14ac:dyDescent="0.25">
      <c r="A338" s="1947" t="s">
        <v>3046</v>
      </c>
      <c r="B338" s="1947" t="s">
        <v>2708</v>
      </c>
      <c r="C338" s="1947" t="s">
        <v>2172</v>
      </c>
      <c r="D338" s="1948">
        <v>13588.02</v>
      </c>
      <c r="E338" s="1947">
        <v>0</v>
      </c>
      <c r="F338" s="1948">
        <v>13588.02</v>
      </c>
      <c r="G338" s="1947"/>
      <c r="H338" s="1949" t="str">
        <f>IFERROR(IF(F338&gt;=VLOOKUP(A338,[1]Materiality!$I$6:$J$12,2,TRUE),IFERROR(IF(VLOOKUP("*CR",F338,1,FALSE)&gt;=0,"",VLOOKUP("*CR",F338,1,FALSE)),F338),""),"")</f>
        <v/>
      </c>
    </row>
    <row r="339" spans="1:8" x14ac:dyDescent="0.25">
      <c r="A339" s="1947" t="s">
        <v>3047</v>
      </c>
      <c r="B339" s="1947" t="s">
        <v>2708</v>
      </c>
      <c r="C339" s="1947" t="s">
        <v>2172</v>
      </c>
      <c r="D339" s="1947">
        <v>796.86</v>
      </c>
      <c r="E339" s="1947">
        <v>0</v>
      </c>
      <c r="F339" s="1947">
        <v>796.86</v>
      </c>
      <c r="G339" s="1947"/>
      <c r="H339" s="1949" t="str">
        <f>IFERROR(IF(F339&gt;=VLOOKUP(A339,[1]Materiality!$I$6:$J$12,2,TRUE),IFERROR(IF(VLOOKUP("*CR",F339,1,FALSE)&gt;=0,"",VLOOKUP("*CR",F339,1,FALSE)),F339),""),"")</f>
        <v/>
      </c>
    </row>
    <row r="340" spans="1:8" x14ac:dyDescent="0.25">
      <c r="A340" s="1947" t="s">
        <v>3048</v>
      </c>
      <c r="B340" s="1947" t="s">
        <v>2708</v>
      </c>
      <c r="C340" s="1947" t="s">
        <v>2174</v>
      </c>
      <c r="D340" s="1948">
        <v>2657.34</v>
      </c>
      <c r="E340" s="1947">
        <v>0</v>
      </c>
      <c r="F340" s="1948">
        <v>2657.34</v>
      </c>
      <c r="G340" s="1947"/>
      <c r="H340" s="1949" t="str">
        <f>IFERROR(IF(F340&gt;=VLOOKUP(A340,[1]Materiality!$I$6:$J$12,2,TRUE),IFERROR(IF(VLOOKUP("*CR",F340,1,FALSE)&gt;=0,"",VLOOKUP("*CR",F340,1,FALSE)),F340),""),"")</f>
        <v/>
      </c>
    </row>
    <row r="341" spans="1:8" x14ac:dyDescent="0.25">
      <c r="A341" s="1947" t="s">
        <v>3049</v>
      </c>
      <c r="B341" s="1947" t="s">
        <v>2759</v>
      </c>
      <c r="C341" s="1947" t="s">
        <v>2332</v>
      </c>
      <c r="D341" s="1948">
        <v>45403.75</v>
      </c>
      <c r="E341" s="1948">
        <v>8087.27</v>
      </c>
      <c r="F341" s="1948">
        <v>37316.480000000003</v>
      </c>
      <c r="G341" s="1947"/>
      <c r="H341" s="1949" t="str">
        <f>IFERROR(IF(F341&gt;=VLOOKUP(A341,[1]Materiality!$I$6:$J$12,2,TRUE),IFERROR(IF(VLOOKUP("*CR",F341,1,FALSE)&gt;=0,"",VLOOKUP("*CR",F341,1,FALSE)),F341),""),"")</f>
        <v/>
      </c>
    </row>
    <row r="342" spans="1:8" x14ac:dyDescent="0.25">
      <c r="A342" s="1947" t="s">
        <v>3050</v>
      </c>
      <c r="B342" s="1947" t="s">
        <v>2759</v>
      </c>
      <c r="C342" s="1947" t="s">
        <v>2333</v>
      </c>
      <c r="D342" s="1948">
        <v>1150.55</v>
      </c>
      <c r="E342" s="1947">
        <v>0</v>
      </c>
      <c r="F342" s="1948">
        <v>1150.55</v>
      </c>
      <c r="G342" s="1947"/>
      <c r="H342" s="1949" t="str">
        <f>IFERROR(IF(F342&gt;=VLOOKUP(A342,[1]Materiality!$I$6:$J$12,2,TRUE),IFERROR(IF(VLOOKUP("*CR",F342,1,FALSE)&gt;=0,"",VLOOKUP("*CR",F342,1,FALSE)),F342),""),"")</f>
        <v/>
      </c>
    </row>
    <row r="343" spans="1:8" x14ac:dyDescent="0.25">
      <c r="A343" s="1947" t="s">
        <v>3051</v>
      </c>
      <c r="B343" s="1947" t="s">
        <v>2759</v>
      </c>
      <c r="C343" s="1947" t="s">
        <v>2334</v>
      </c>
      <c r="D343" s="1947">
        <v>862.5</v>
      </c>
      <c r="E343" s="1947">
        <v>0</v>
      </c>
      <c r="F343" s="1947">
        <v>862.5</v>
      </c>
      <c r="G343" s="1947"/>
      <c r="H343" s="1949" t="str">
        <f>IFERROR(IF(F343&gt;=VLOOKUP(A343,[1]Materiality!$I$6:$J$12,2,TRUE),IFERROR(IF(VLOOKUP("*CR",F343,1,FALSE)&gt;=0,"",VLOOKUP("*CR",F343,1,FALSE)),F343),""),"")</f>
        <v/>
      </c>
    </row>
    <row r="344" spans="1:8" x14ac:dyDescent="0.25">
      <c r="A344" s="1947" t="s">
        <v>3052</v>
      </c>
      <c r="B344" s="1947" t="s">
        <v>2760</v>
      </c>
      <c r="C344" s="1947" t="s">
        <v>2335</v>
      </c>
      <c r="D344" s="1948">
        <v>300528.23</v>
      </c>
      <c r="E344" s="1947">
        <v>267.10000000000002</v>
      </c>
      <c r="F344" s="1948">
        <v>300261.13</v>
      </c>
      <c r="G344" s="1947"/>
      <c r="H344" s="1949" t="str">
        <f>IFERROR(IF(F344&gt;=VLOOKUP(A344,[1]Materiality!$I$6:$J$12,2,TRUE),IFERROR(IF(VLOOKUP("*CR",F344,1,FALSE)&gt;=0,"",VLOOKUP("*CR",F344,1,FALSE)),F344),""),"")</f>
        <v/>
      </c>
    </row>
    <row r="345" spans="1:8" x14ac:dyDescent="0.25">
      <c r="A345" s="1947" t="s">
        <v>3052</v>
      </c>
      <c r="B345" s="1947" t="s">
        <v>2761</v>
      </c>
      <c r="C345" s="1947" t="s">
        <v>2336</v>
      </c>
      <c r="D345" s="1948">
        <v>61423.02</v>
      </c>
      <c r="E345" s="1947">
        <v>0</v>
      </c>
      <c r="F345" s="1948">
        <v>61423.02</v>
      </c>
      <c r="G345" s="1947"/>
      <c r="H345" s="1949" t="str">
        <f>IFERROR(IF(F345&gt;=VLOOKUP(A345,[1]Materiality!$I$6:$J$12,2,TRUE),IFERROR(IF(VLOOKUP("*CR",F345,1,FALSE)&gt;=0,"",VLOOKUP("*CR",F345,1,FALSE)),F345),""),"")</f>
        <v/>
      </c>
    </row>
    <row r="346" spans="1:8" x14ac:dyDescent="0.25">
      <c r="A346" s="1947" t="s">
        <v>3053</v>
      </c>
      <c r="B346" s="1947" t="s">
        <v>2760</v>
      </c>
      <c r="C346" s="1947" t="s">
        <v>2337</v>
      </c>
      <c r="D346" s="1948">
        <v>33693.449999999997</v>
      </c>
      <c r="E346" s="1947">
        <v>0</v>
      </c>
      <c r="F346" s="1948">
        <v>33693.449999999997</v>
      </c>
      <c r="G346" s="1947"/>
      <c r="H346" s="1949" t="str">
        <f>IFERROR(IF(F346&gt;=VLOOKUP(A346,[1]Materiality!$I$6:$J$12,2,TRUE),IFERROR(IF(VLOOKUP("*CR",F346,1,FALSE)&gt;=0,"",VLOOKUP("*CR",F346,1,FALSE)),F346),""),"")</f>
        <v/>
      </c>
    </row>
    <row r="347" spans="1:8" x14ac:dyDescent="0.25">
      <c r="A347" s="1947" t="s">
        <v>3054</v>
      </c>
      <c r="B347" s="1947" t="s">
        <v>2760</v>
      </c>
      <c r="C347" s="1947" t="s">
        <v>2338</v>
      </c>
      <c r="D347" s="1948">
        <v>29705.55</v>
      </c>
      <c r="E347" s="1947">
        <v>26.42</v>
      </c>
      <c r="F347" s="1948">
        <v>29679.13</v>
      </c>
      <c r="G347" s="1947"/>
      <c r="H347" s="1949" t="str">
        <f>IFERROR(IF(F347&gt;=VLOOKUP(A347,[1]Materiality!$I$6:$J$12,2,TRUE),IFERROR(IF(VLOOKUP("*CR",F347,1,FALSE)&gt;=0,"",VLOOKUP("*CR",F347,1,FALSE)),F347),""),"")</f>
        <v/>
      </c>
    </row>
    <row r="348" spans="1:8" x14ac:dyDescent="0.25">
      <c r="A348" s="1947" t="s">
        <v>3054</v>
      </c>
      <c r="B348" s="1947" t="s">
        <v>2761</v>
      </c>
      <c r="C348" s="1947" t="s">
        <v>2339</v>
      </c>
      <c r="D348" s="1948">
        <v>6056.24</v>
      </c>
      <c r="E348" s="1947">
        <v>0</v>
      </c>
      <c r="F348" s="1948">
        <v>6056.24</v>
      </c>
      <c r="G348" s="1947"/>
      <c r="H348" s="1949" t="str">
        <f>IFERROR(IF(F348&gt;=VLOOKUP(A348,[1]Materiality!$I$6:$J$12,2,TRUE),IFERROR(IF(VLOOKUP("*CR",F348,1,FALSE)&gt;=0,"",VLOOKUP("*CR",F348,1,FALSE)),F348),""),"")</f>
        <v/>
      </c>
    </row>
    <row r="349" spans="1:8" x14ac:dyDescent="0.25">
      <c r="A349" s="1947" t="s">
        <v>3055</v>
      </c>
      <c r="B349" s="1947" t="s">
        <v>2760</v>
      </c>
      <c r="C349" s="1947" t="s">
        <v>2338</v>
      </c>
      <c r="D349" s="1948">
        <v>1902.79</v>
      </c>
      <c r="E349" s="1947">
        <v>1.54</v>
      </c>
      <c r="F349" s="1948">
        <v>1901.25</v>
      </c>
      <c r="G349" s="1947"/>
      <c r="H349" s="1949" t="str">
        <f>IFERROR(IF(F349&gt;=VLOOKUP(A349,[1]Materiality!$I$6:$J$12,2,TRUE),IFERROR(IF(VLOOKUP("*CR",F349,1,FALSE)&gt;=0,"",VLOOKUP("*CR",F349,1,FALSE)),F349),""),"")</f>
        <v/>
      </c>
    </row>
    <row r="350" spans="1:8" x14ac:dyDescent="0.25">
      <c r="A350" s="1947" t="s">
        <v>3055</v>
      </c>
      <c r="B350" s="1947" t="s">
        <v>2761</v>
      </c>
      <c r="C350" s="1947" t="s">
        <v>2339</v>
      </c>
      <c r="D350" s="1947">
        <v>389.75</v>
      </c>
      <c r="E350" s="1947">
        <v>0</v>
      </c>
      <c r="F350" s="1947">
        <v>389.75</v>
      </c>
      <c r="G350" s="1947"/>
      <c r="H350" s="1949" t="str">
        <f>IFERROR(IF(F350&gt;=VLOOKUP(A350,[1]Materiality!$I$6:$J$12,2,TRUE),IFERROR(IF(VLOOKUP("*CR",F350,1,FALSE)&gt;=0,"",VLOOKUP("*CR",F350,1,FALSE)),F350),""),"")</f>
        <v/>
      </c>
    </row>
    <row r="351" spans="1:8" x14ac:dyDescent="0.25">
      <c r="A351" s="1947" t="s">
        <v>3056</v>
      </c>
      <c r="B351" s="1947" t="s">
        <v>2760</v>
      </c>
      <c r="C351" s="1947" t="s">
        <v>2340</v>
      </c>
      <c r="D351" s="1948">
        <v>5805.91</v>
      </c>
      <c r="E351" s="1947">
        <v>5.16</v>
      </c>
      <c r="F351" s="1948">
        <v>5800.75</v>
      </c>
      <c r="G351" s="1947"/>
      <c r="H351" s="1949" t="str">
        <f>IFERROR(IF(F351&gt;=VLOOKUP(A351,[1]Materiality!$I$6:$J$12,2,TRUE),IFERROR(IF(VLOOKUP("*CR",F351,1,FALSE)&gt;=0,"",VLOOKUP("*CR",F351,1,FALSE)),F351),""),"")</f>
        <v/>
      </c>
    </row>
    <row r="352" spans="1:8" x14ac:dyDescent="0.25">
      <c r="A352" s="1947" t="s">
        <v>3056</v>
      </c>
      <c r="B352" s="1947" t="s">
        <v>2761</v>
      </c>
      <c r="C352" s="1947" t="s">
        <v>2341</v>
      </c>
      <c r="D352" s="1948">
        <v>1183.6500000000001</v>
      </c>
      <c r="E352" s="1947">
        <v>0</v>
      </c>
      <c r="F352" s="1948">
        <v>1183.6500000000001</v>
      </c>
      <c r="G352" s="1947"/>
      <c r="H352" s="1949" t="str">
        <f>IFERROR(IF(F352&gt;=VLOOKUP(A352,[1]Materiality!$I$6:$J$12,2,TRUE),IFERROR(IF(VLOOKUP("*CR",F352,1,FALSE)&gt;=0,"",VLOOKUP("*CR",F352,1,FALSE)),F352),""),"")</f>
        <v/>
      </c>
    </row>
    <row r="353" spans="1:8" x14ac:dyDescent="0.25">
      <c r="A353" s="1947" t="s">
        <v>3057</v>
      </c>
      <c r="B353" s="1947" t="s">
        <v>2760</v>
      </c>
      <c r="C353" s="1947" t="s">
        <v>2342</v>
      </c>
      <c r="D353" s="1948">
        <v>83172.86</v>
      </c>
      <c r="E353" s="1948">
        <v>16922.45</v>
      </c>
      <c r="F353" s="1948">
        <v>66250.41</v>
      </c>
      <c r="G353" s="1947"/>
      <c r="H353" s="1949" t="str">
        <f>IFERROR(IF(F353&gt;=VLOOKUP(A353,[1]Materiality!$I$6:$J$12,2,TRUE),IFERROR(IF(VLOOKUP("*CR",F353,1,FALSE)&gt;=0,"",VLOOKUP("*CR",F353,1,FALSE)),F353),""),"")</f>
        <v/>
      </c>
    </row>
    <row r="354" spans="1:8" x14ac:dyDescent="0.25">
      <c r="A354" s="1947" t="s">
        <v>3057</v>
      </c>
      <c r="B354" s="1947" t="s">
        <v>2761</v>
      </c>
      <c r="C354" s="1947" t="s">
        <v>2343</v>
      </c>
      <c r="D354" s="1948">
        <v>23704.1</v>
      </c>
      <c r="E354" s="1948">
        <v>4751.96</v>
      </c>
      <c r="F354" s="1948">
        <v>18952.14</v>
      </c>
      <c r="G354" s="1947"/>
      <c r="H354" s="1949" t="str">
        <f>IFERROR(IF(F354&gt;=VLOOKUP(A354,[1]Materiality!$I$6:$J$12,2,TRUE),IFERROR(IF(VLOOKUP("*CR",F354,1,FALSE)&gt;=0,"",VLOOKUP("*CR",F354,1,FALSE)),F354),""),"")</f>
        <v/>
      </c>
    </row>
    <row r="355" spans="1:8" x14ac:dyDescent="0.25">
      <c r="A355" s="1947" t="s">
        <v>3058</v>
      </c>
      <c r="B355" s="1947" t="s">
        <v>2760</v>
      </c>
      <c r="C355" s="1947" t="s">
        <v>2344</v>
      </c>
      <c r="D355" s="1947">
        <v>580</v>
      </c>
      <c r="E355" s="1947">
        <v>0</v>
      </c>
      <c r="F355" s="1947">
        <v>580</v>
      </c>
      <c r="G355" s="1947"/>
      <c r="H355" s="1949" t="str">
        <f>IFERROR(IF(F355&gt;=VLOOKUP(A355,[1]Materiality!$I$6:$J$12,2,TRUE),IFERROR(IF(VLOOKUP("*CR",F355,1,FALSE)&gt;=0,"",VLOOKUP("*CR",F355,1,FALSE)),F355),""),"")</f>
        <v/>
      </c>
    </row>
    <row r="356" spans="1:8" x14ac:dyDescent="0.25">
      <c r="A356" s="1947" t="s">
        <v>3058</v>
      </c>
      <c r="B356" s="1947" t="s">
        <v>2761</v>
      </c>
      <c r="C356" s="1947" t="s">
        <v>2345</v>
      </c>
      <c r="D356" s="1948">
        <v>3347.51</v>
      </c>
      <c r="E356" s="1947">
        <v>350</v>
      </c>
      <c r="F356" s="1948">
        <v>2997.51</v>
      </c>
      <c r="G356" s="1947"/>
      <c r="H356" s="1949" t="str">
        <f>IFERROR(IF(F356&gt;=VLOOKUP(A356,[1]Materiality!$I$6:$J$12,2,TRUE),IFERROR(IF(VLOOKUP("*CR",F356,1,FALSE)&gt;=0,"",VLOOKUP("*CR",F356,1,FALSE)),F356),""),"")</f>
        <v/>
      </c>
    </row>
    <row r="357" spans="1:8" x14ac:dyDescent="0.25">
      <c r="A357" s="1947" t="s">
        <v>3059</v>
      </c>
      <c r="B357" s="1947" t="s">
        <v>2760</v>
      </c>
      <c r="C357" s="1947" t="s">
        <v>2346</v>
      </c>
      <c r="D357" s="1947">
        <v>408.28</v>
      </c>
      <c r="E357" s="1947">
        <v>0</v>
      </c>
      <c r="F357" s="1947">
        <v>408.28</v>
      </c>
      <c r="G357" s="1947"/>
      <c r="H357" s="1949" t="str">
        <f>IFERROR(IF(F357&gt;=VLOOKUP(A357,[1]Materiality!$I$6:$J$12,2,TRUE),IFERROR(IF(VLOOKUP("*CR",F357,1,FALSE)&gt;=0,"",VLOOKUP("*CR",F357,1,FALSE)),F357),""),"")</f>
        <v/>
      </c>
    </row>
    <row r="358" spans="1:8" x14ac:dyDescent="0.25">
      <c r="A358" s="1947" t="s">
        <v>3060</v>
      </c>
      <c r="B358" s="1947" t="s">
        <v>2760</v>
      </c>
      <c r="C358" s="1947" t="s">
        <v>2347</v>
      </c>
      <c r="D358" s="1947">
        <v>240</v>
      </c>
      <c r="E358" s="1947">
        <v>0</v>
      </c>
      <c r="F358" s="1947">
        <v>240</v>
      </c>
      <c r="G358" s="1947"/>
      <c r="H358" s="1949" t="str">
        <f>IFERROR(IF(F358&gt;=VLOOKUP(A358,[1]Materiality!$I$6:$J$12,2,TRUE),IFERROR(IF(VLOOKUP("*CR",F358,1,FALSE)&gt;=0,"",VLOOKUP("*CR",F358,1,FALSE)),F358),""),"")</f>
        <v/>
      </c>
    </row>
    <row r="359" spans="1:8" x14ac:dyDescent="0.25">
      <c r="A359" s="1947" t="s">
        <v>3061</v>
      </c>
      <c r="B359" s="1947" t="s">
        <v>2762</v>
      </c>
      <c r="C359" s="1947" t="s">
        <v>2348</v>
      </c>
      <c r="D359" s="1948">
        <v>46220</v>
      </c>
      <c r="E359" s="1947">
        <v>0</v>
      </c>
      <c r="F359" s="1948">
        <v>46220</v>
      </c>
      <c r="G359" s="1947"/>
      <c r="H359" s="1949" t="str">
        <f>IFERROR(IF(F359&gt;=VLOOKUP(A359,[1]Materiality!$I$6:$J$12,2,TRUE),IFERROR(IF(VLOOKUP("*CR",F359,1,FALSE)&gt;=0,"",VLOOKUP("*CR",F359,1,FALSE)),F359),""),"")</f>
        <v/>
      </c>
    </row>
    <row r="360" spans="1:8" x14ac:dyDescent="0.25">
      <c r="A360" s="1947" t="s">
        <v>3062</v>
      </c>
      <c r="B360" s="1947" t="s">
        <v>2762</v>
      </c>
      <c r="C360" s="1947" t="s">
        <v>2349</v>
      </c>
      <c r="D360" s="1948">
        <v>4557.37</v>
      </c>
      <c r="E360" s="1947">
        <v>0</v>
      </c>
      <c r="F360" s="1948">
        <v>4557.37</v>
      </c>
      <c r="G360" s="1947"/>
      <c r="H360" s="1949" t="str">
        <f>IFERROR(IF(F360&gt;=VLOOKUP(A360,[1]Materiality!$I$6:$J$12,2,TRUE),IFERROR(IF(VLOOKUP("*CR",F360,1,FALSE)&gt;=0,"",VLOOKUP("*CR",F360,1,FALSE)),F360),""),"")</f>
        <v/>
      </c>
    </row>
    <row r="361" spans="1:8" x14ac:dyDescent="0.25">
      <c r="A361" s="1947" t="s">
        <v>3063</v>
      </c>
      <c r="B361" s="1947" t="s">
        <v>2762</v>
      </c>
      <c r="C361" s="1947" t="s">
        <v>2349</v>
      </c>
      <c r="D361" s="1947">
        <v>267.26</v>
      </c>
      <c r="E361" s="1947">
        <v>0</v>
      </c>
      <c r="F361" s="1947">
        <v>267.26</v>
      </c>
      <c r="G361" s="1947"/>
      <c r="H361" s="1949" t="str">
        <f>IFERROR(IF(F361&gt;=VLOOKUP(A361,[1]Materiality!$I$6:$J$12,2,TRUE),IFERROR(IF(VLOOKUP("*CR",F361,1,FALSE)&gt;=0,"",VLOOKUP("*CR",F361,1,FALSE)),F361),""),"")</f>
        <v/>
      </c>
    </row>
    <row r="362" spans="1:8" x14ac:dyDescent="0.25">
      <c r="A362" s="1947" t="s">
        <v>3064</v>
      </c>
      <c r="B362" s="1947" t="s">
        <v>2762</v>
      </c>
      <c r="C362" s="1947" t="s">
        <v>2350</v>
      </c>
      <c r="D362" s="1947">
        <v>891.25</v>
      </c>
      <c r="E362" s="1947">
        <v>0</v>
      </c>
      <c r="F362" s="1947">
        <v>891.25</v>
      </c>
      <c r="G362" s="1947"/>
      <c r="H362" s="1949" t="str">
        <f>IFERROR(IF(F362&gt;=VLOOKUP(A362,[1]Materiality!$I$6:$J$12,2,TRUE),IFERROR(IF(VLOOKUP("*CR",F362,1,FALSE)&gt;=0,"",VLOOKUP("*CR",F362,1,FALSE)),F362),""),"")</f>
        <v/>
      </c>
    </row>
    <row r="363" spans="1:8" x14ac:dyDescent="0.25">
      <c r="A363" s="1947" t="s">
        <v>3065</v>
      </c>
      <c r="B363" s="1947" t="s">
        <v>2762</v>
      </c>
      <c r="C363" s="1947" t="s">
        <v>2351</v>
      </c>
      <c r="D363" s="1948">
        <v>14692.22</v>
      </c>
      <c r="E363" s="1948">
        <v>3132.76</v>
      </c>
      <c r="F363" s="1948">
        <v>11559.46</v>
      </c>
      <c r="G363" s="1947"/>
      <c r="H363" s="1949" t="str">
        <f>IFERROR(IF(F363&gt;=VLOOKUP(A363,[1]Materiality!$I$6:$J$12,2,TRUE),IFERROR(IF(VLOOKUP("*CR",F363,1,FALSE)&gt;=0,"",VLOOKUP("*CR",F363,1,FALSE)),F363),""),"")</f>
        <v/>
      </c>
    </row>
    <row r="364" spans="1:8" x14ac:dyDescent="0.25">
      <c r="A364" s="1947" t="s">
        <v>3066</v>
      </c>
      <c r="B364" s="1947" t="s">
        <v>2762</v>
      </c>
      <c r="C364" s="1947" t="s">
        <v>2352</v>
      </c>
      <c r="D364" s="1947">
        <v>105</v>
      </c>
      <c r="E364" s="1947">
        <v>0</v>
      </c>
      <c r="F364" s="1947">
        <v>105</v>
      </c>
      <c r="G364" s="1947"/>
      <c r="H364" s="1949" t="str">
        <f>IFERROR(IF(F364&gt;=VLOOKUP(A364,[1]Materiality!$I$6:$J$12,2,TRUE),IFERROR(IF(VLOOKUP("*CR",F364,1,FALSE)&gt;=0,"",VLOOKUP("*CR",F364,1,FALSE)),F364),""),"")</f>
        <v/>
      </c>
    </row>
    <row r="365" spans="1:8" x14ac:dyDescent="0.25">
      <c r="A365" s="1947" t="s">
        <v>3067</v>
      </c>
      <c r="B365" s="1947" t="s">
        <v>2762</v>
      </c>
      <c r="C365" s="1947" t="s">
        <v>2353</v>
      </c>
      <c r="D365" s="1947">
        <v>593.45000000000005</v>
      </c>
      <c r="E365" s="1947">
        <v>109.18</v>
      </c>
      <c r="F365" s="1947">
        <v>484.27</v>
      </c>
      <c r="G365" s="1947"/>
      <c r="H365" s="1949" t="str">
        <f>IFERROR(IF(F365&gt;=VLOOKUP(A365,[1]Materiality!$I$6:$J$12,2,TRUE),IFERROR(IF(VLOOKUP("*CR",F365,1,FALSE)&gt;=0,"",VLOOKUP("*CR",F365,1,FALSE)),F365),""),"")</f>
        <v/>
      </c>
    </row>
    <row r="366" spans="1:8" x14ac:dyDescent="0.25">
      <c r="A366" s="1947" t="s">
        <v>3068</v>
      </c>
      <c r="B366" s="1947" t="s">
        <v>2763</v>
      </c>
      <c r="C366" s="1947" t="s">
        <v>2354</v>
      </c>
      <c r="D366" s="1948">
        <v>48746.21</v>
      </c>
      <c r="E366" s="1947">
        <v>0</v>
      </c>
      <c r="F366" s="1948">
        <v>48746.21</v>
      </c>
      <c r="G366" s="1947"/>
      <c r="H366" s="1949" t="str">
        <f>IFERROR(IF(F366&gt;=VLOOKUP(A366,[1]Materiality!$I$6:$J$12,2,TRUE),IFERROR(IF(VLOOKUP("*CR",F366,1,FALSE)&gt;=0,"",VLOOKUP("*CR",F366,1,FALSE)),F366),""),"")</f>
        <v/>
      </c>
    </row>
    <row r="367" spans="1:8" x14ac:dyDescent="0.25">
      <c r="A367" s="1947" t="s">
        <v>3069</v>
      </c>
      <c r="B367" s="1947" t="s">
        <v>2763</v>
      </c>
      <c r="C367" s="1947" t="s">
        <v>2355</v>
      </c>
      <c r="D367" s="1948">
        <v>24701.65</v>
      </c>
      <c r="E367" s="1947">
        <v>0</v>
      </c>
      <c r="F367" s="1948">
        <v>24701.65</v>
      </c>
      <c r="G367" s="1947"/>
      <c r="H367" s="1949" t="str">
        <f>IFERROR(IF(F367&gt;=VLOOKUP(A367,[1]Materiality!$I$6:$J$12,2,TRUE),IFERROR(IF(VLOOKUP("*CR",F367,1,FALSE)&gt;=0,"",VLOOKUP("*CR",F367,1,FALSE)),F367),""),"")</f>
        <v/>
      </c>
    </row>
    <row r="368" spans="1:8" x14ac:dyDescent="0.25">
      <c r="A368" s="1947" t="s">
        <v>3070</v>
      </c>
      <c r="B368" s="1947" t="s">
        <v>2763</v>
      </c>
      <c r="C368" s="1947" t="s">
        <v>2356</v>
      </c>
      <c r="D368" s="1948">
        <v>4778.2</v>
      </c>
      <c r="E368" s="1947">
        <v>0</v>
      </c>
      <c r="F368" s="1948">
        <v>4778.2</v>
      </c>
      <c r="G368" s="1947"/>
      <c r="H368" s="1949" t="str">
        <f>IFERROR(IF(F368&gt;=VLOOKUP(A368,[1]Materiality!$I$6:$J$12,2,TRUE),IFERROR(IF(VLOOKUP("*CR",F368,1,FALSE)&gt;=0,"",VLOOKUP("*CR",F368,1,FALSE)),F368),""),"")</f>
        <v/>
      </c>
    </row>
    <row r="369" spans="1:8" x14ac:dyDescent="0.25">
      <c r="A369" s="1947" t="s">
        <v>3071</v>
      </c>
      <c r="B369" s="1947" t="s">
        <v>2763</v>
      </c>
      <c r="C369" s="1947" t="s">
        <v>2356</v>
      </c>
      <c r="D369" s="1947">
        <v>306.51</v>
      </c>
      <c r="E369" s="1947">
        <v>0</v>
      </c>
      <c r="F369" s="1947">
        <v>306.51</v>
      </c>
      <c r="G369" s="1947"/>
      <c r="H369" s="1949" t="str">
        <f>IFERROR(IF(F369&gt;=VLOOKUP(A369,[1]Materiality!$I$6:$J$12,2,TRUE),IFERROR(IF(VLOOKUP("*CR",F369,1,FALSE)&gt;=0,"",VLOOKUP("*CR",F369,1,FALSE)),F369),""),"")</f>
        <v/>
      </c>
    </row>
    <row r="370" spans="1:8" x14ac:dyDescent="0.25">
      <c r="A370" s="1947" t="s">
        <v>3072</v>
      </c>
      <c r="B370" s="1947" t="s">
        <v>2763</v>
      </c>
      <c r="C370" s="1947" t="s">
        <v>2357</v>
      </c>
      <c r="D370" s="1947">
        <v>933.96</v>
      </c>
      <c r="E370" s="1947">
        <v>0</v>
      </c>
      <c r="F370" s="1947">
        <v>933.96</v>
      </c>
      <c r="G370" s="1947"/>
      <c r="H370" s="1949" t="str">
        <f>IFERROR(IF(F370&gt;=VLOOKUP(A370,[1]Materiality!$I$6:$J$12,2,TRUE),IFERROR(IF(VLOOKUP("*CR",F370,1,FALSE)&gt;=0,"",VLOOKUP("*CR",F370,1,FALSE)),F370),""),"")</f>
        <v/>
      </c>
    </row>
    <row r="371" spans="1:8" x14ac:dyDescent="0.25">
      <c r="A371" s="1947" t="s">
        <v>3073</v>
      </c>
      <c r="B371" s="1947" t="s">
        <v>2763</v>
      </c>
      <c r="C371" s="1947" t="s">
        <v>2358</v>
      </c>
      <c r="D371" s="1948">
        <v>24948.78</v>
      </c>
      <c r="E371" s="1948">
        <v>4751.96</v>
      </c>
      <c r="F371" s="1948">
        <v>20196.82</v>
      </c>
      <c r="G371" s="1947"/>
      <c r="H371" s="1949" t="str">
        <f>IFERROR(IF(F371&gt;=VLOOKUP(A371,[1]Materiality!$I$6:$J$12,2,TRUE),IFERROR(IF(VLOOKUP("*CR",F371,1,FALSE)&gt;=0,"",VLOOKUP("*CR",F371,1,FALSE)),F371),""),"")</f>
        <v/>
      </c>
    </row>
    <row r="372" spans="1:8" x14ac:dyDescent="0.25">
      <c r="A372" s="1947" t="s">
        <v>3074</v>
      </c>
      <c r="B372" s="1947" t="s">
        <v>2763</v>
      </c>
      <c r="C372" s="1947" t="s">
        <v>2359</v>
      </c>
      <c r="D372" s="1947">
        <v>210</v>
      </c>
      <c r="E372" s="1947">
        <v>0</v>
      </c>
      <c r="F372" s="1947">
        <v>210</v>
      </c>
      <c r="G372" s="1947"/>
      <c r="H372" s="1949" t="str">
        <f>IFERROR(IF(F372&gt;=VLOOKUP(A372,[1]Materiality!$I$6:$J$12,2,TRUE),IFERROR(IF(VLOOKUP("*CR",F372,1,FALSE)&gt;=0,"",VLOOKUP("*CR",F372,1,FALSE)),F372),""),"")</f>
        <v/>
      </c>
    </row>
    <row r="373" spans="1:8" x14ac:dyDescent="0.25">
      <c r="A373" s="1947" t="s">
        <v>3075</v>
      </c>
      <c r="B373" s="1947" t="s">
        <v>2763</v>
      </c>
      <c r="C373" s="1947" t="s">
        <v>2360</v>
      </c>
      <c r="D373" s="1947">
        <v>579</v>
      </c>
      <c r="E373" s="1947">
        <v>0</v>
      </c>
      <c r="F373" s="1947">
        <v>579</v>
      </c>
      <c r="G373" s="1947"/>
      <c r="H373" s="1949" t="str">
        <f>IFERROR(IF(F373&gt;=VLOOKUP(A373,[1]Materiality!$I$6:$J$12,2,TRUE),IFERROR(IF(VLOOKUP("*CR",F373,1,FALSE)&gt;=0,"",VLOOKUP("*CR",F373,1,FALSE)),F373),""),"")</f>
        <v/>
      </c>
    </row>
    <row r="374" spans="1:8" x14ac:dyDescent="0.25">
      <c r="A374" s="1947" t="s">
        <v>3076</v>
      </c>
      <c r="B374" s="1947" t="s">
        <v>2763</v>
      </c>
      <c r="C374" s="1947" t="s">
        <v>2361</v>
      </c>
      <c r="D374" s="1948">
        <v>1219.53</v>
      </c>
      <c r="E374" s="1947">
        <v>0</v>
      </c>
      <c r="F374" s="1948">
        <v>1219.53</v>
      </c>
      <c r="G374" s="1947"/>
      <c r="H374" s="1949" t="str">
        <f>IFERROR(IF(F374&gt;=VLOOKUP(A374,[1]Materiality!$I$6:$J$12,2,TRUE),IFERROR(IF(VLOOKUP("*CR",F374,1,FALSE)&gt;=0,"",VLOOKUP("*CR",F374,1,FALSE)),F374),""),"")</f>
        <v/>
      </c>
    </row>
    <row r="375" spans="1:8" x14ac:dyDescent="0.25">
      <c r="A375" s="1947" t="s">
        <v>3077</v>
      </c>
      <c r="B375" s="1947" t="s">
        <v>2764</v>
      </c>
      <c r="C375" s="1947" t="s">
        <v>2362</v>
      </c>
      <c r="D375" s="1948">
        <v>47383.43</v>
      </c>
      <c r="E375" s="1947">
        <v>0</v>
      </c>
      <c r="F375" s="1948">
        <v>47383.43</v>
      </c>
      <c r="G375" s="1947"/>
      <c r="H375" s="1949" t="str">
        <f>IFERROR(IF(F375&gt;=VLOOKUP(A375,[1]Materiality!$I$6:$J$12,2,TRUE),IFERROR(IF(VLOOKUP("*CR",F375,1,FALSE)&gt;=0,"",VLOOKUP("*CR",F375,1,FALSE)),F375),""),"")</f>
        <v/>
      </c>
    </row>
    <row r="376" spans="1:8" x14ac:dyDescent="0.25">
      <c r="A376" s="1947" t="s">
        <v>3078</v>
      </c>
      <c r="B376" s="1947" t="s">
        <v>2764</v>
      </c>
      <c r="C376" s="1947" t="s">
        <v>2363</v>
      </c>
      <c r="D376" s="1948">
        <v>4672.1099999999997</v>
      </c>
      <c r="E376" s="1947">
        <v>0</v>
      </c>
      <c r="F376" s="1948">
        <v>4672.1099999999997</v>
      </c>
      <c r="G376" s="1947"/>
      <c r="H376" s="1949" t="str">
        <f>IFERROR(IF(F376&gt;=VLOOKUP(A376,[1]Materiality!$I$6:$J$12,2,TRUE),IFERROR(IF(VLOOKUP("*CR",F376,1,FALSE)&gt;=0,"",VLOOKUP("*CR",F376,1,FALSE)),F376),""),"")</f>
        <v/>
      </c>
    </row>
    <row r="377" spans="1:8" x14ac:dyDescent="0.25">
      <c r="A377" s="1947" t="s">
        <v>3079</v>
      </c>
      <c r="B377" s="1947" t="s">
        <v>2764</v>
      </c>
      <c r="C377" s="1947" t="s">
        <v>2363</v>
      </c>
      <c r="D377" s="1947">
        <v>300.63</v>
      </c>
      <c r="E377" s="1947">
        <v>0</v>
      </c>
      <c r="F377" s="1947">
        <v>300.63</v>
      </c>
      <c r="G377" s="1947"/>
      <c r="H377" s="1949" t="str">
        <f>IFERROR(IF(F377&gt;=VLOOKUP(A377,[1]Materiality!$I$6:$J$12,2,TRUE),IFERROR(IF(VLOOKUP("*CR",F377,1,FALSE)&gt;=0,"",VLOOKUP("*CR",F377,1,FALSE)),F377),""),"")</f>
        <v/>
      </c>
    </row>
    <row r="378" spans="1:8" x14ac:dyDescent="0.25">
      <c r="A378" s="1947" t="s">
        <v>3080</v>
      </c>
      <c r="B378" s="1947" t="s">
        <v>2764</v>
      </c>
      <c r="C378" s="1947" t="s">
        <v>2364</v>
      </c>
      <c r="D378" s="1947">
        <v>912.96</v>
      </c>
      <c r="E378" s="1947">
        <v>0</v>
      </c>
      <c r="F378" s="1947">
        <v>912.96</v>
      </c>
      <c r="G378" s="1947"/>
      <c r="H378" s="1949" t="str">
        <f>IFERROR(IF(F378&gt;=VLOOKUP(A378,[1]Materiality!$I$6:$J$12,2,TRUE),IFERROR(IF(VLOOKUP("*CR",F378,1,FALSE)&gt;=0,"",VLOOKUP("*CR",F378,1,FALSE)),F378),""),"")</f>
        <v/>
      </c>
    </row>
    <row r="379" spans="1:8" x14ac:dyDescent="0.25">
      <c r="A379" s="1947" t="s">
        <v>3081</v>
      </c>
      <c r="B379" s="1947" t="s">
        <v>2764</v>
      </c>
      <c r="C379" s="1947" t="s">
        <v>2365</v>
      </c>
      <c r="D379" s="1948">
        <v>14140.47</v>
      </c>
      <c r="E379" s="1948">
        <v>2939.22</v>
      </c>
      <c r="F379" s="1948">
        <v>11201.25</v>
      </c>
      <c r="G379" s="1947"/>
      <c r="H379" s="1949" t="str">
        <f>IFERROR(IF(F379&gt;=VLOOKUP(A379,[1]Materiality!$I$6:$J$12,2,TRUE),IFERROR(IF(VLOOKUP("*CR",F379,1,FALSE)&gt;=0,"",VLOOKUP("*CR",F379,1,FALSE)),F379),""),"")</f>
        <v/>
      </c>
    </row>
    <row r="380" spans="1:8" x14ac:dyDescent="0.25">
      <c r="A380" s="1947" t="s">
        <v>3082</v>
      </c>
      <c r="B380" s="1947" t="s">
        <v>2764</v>
      </c>
      <c r="C380" s="1947" t="s">
        <v>2366</v>
      </c>
      <c r="D380" s="1947">
        <v>33.75</v>
      </c>
      <c r="E380" s="1947">
        <v>0</v>
      </c>
      <c r="F380" s="1947">
        <v>33.75</v>
      </c>
      <c r="G380" s="1947"/>
      <c r="H380" s="1949" t="str">
        <f>IFERROR(IF(F380&gt;=VLOOKUP(A380,[1]Materiality!$I$6:$J$12,2,TRUE),IFERROR(IF(VLOOKUP("*CR",F380,1,FALSE)&gt;=0,"",VLOOKUP("*CR",F380,1,FALSE)),F380),""),"")</f>
        <v/>
      </c>
    </row>
    <row r="381" spans="1:8" x14ac:dyDescent="0.25">
      <c r="A381" s="1947" t="s">
        <v>3083</v>
      </c>
      <c r="B381" s="1947" t="s">
        <v>2721</v>
      </c>
      <c r="C381" s="1947" t="s">
        <v>2367</v>
      </c>
      <c r="D381" s="1948">
        <v>83520.460000000006</v>
      </c>
      <c r="E381" s="1947">
        <v>0</v>
      </c>
      <c r="F381" s="1948">
        <v>83520.460000000006</v>
      </c>
      <c r="G381" s="1947"/>
      <c r="H381" s="1949" t="str">
        <f>IFERROR(IF(F381&gt;=VLOOKUP(A381,[1]Materiality!$I$6:$J$12,2,TRUE),IFERROR(IF(VLOOKUP("*CR",F381,1,FALSE)&gt;=0,"",VLOOKUP("*CR",F381,1,FALSE)),F381),""),"")</f>
        <v/>
      </c>
    </row>
    <row r="382" spans="1:8" x14ac:dyDescent="0.25">
      <c r="A382" s="1947" t="s">
        <v>3084</v>
      </c>
      <c r="B382" s="1947" t="s">
        <v>2765</v>
      </c>
      <c r="C382" s="1947" t="s">
        <v>2368</v>
      </c>
      <c r="D382" s="1948">
        <v>29726.46</v>
      </c>
      <c r="E382" s="1947">
        <v>356.48</v>
      </c>
      <c r="F382" s="1948">
        <v>29369.98</v>
      </c>
      <c r="G382" s="1947"/>
      <c r="H382" s="1949" t="str">
        <f>IFERROR(IF(F382&gt;=VLOOKUP(A382,[1]Materiality!$I$6:$J$12,2,TRUE),IFERROR(IF(VLOOKUP("*CR",F382,1,FALSE)&gt;=0,"",VLOOKUP("*CR",F382,1,FALSE)),F382),""),"")</f>
        <v/>
      </c>
    </row>
    <row r="383" spans="1:8" x14ac:dyDescent="0.25">
      <c r="A383" s="1947" t="s">
        <v>3084</v>
      </c>
      <c r="B383" s="1947" t="s">
        <v>2766</v>
      </c>
      <c r="C383" s="1947" t="s">
        <v>2369</v>
      </c>
      <c r="D383" s="1948">
        <v>2257.5</v>
      </c>
      <c r="E383" s="1947">
        <v>0</v>
      </c>
      <c r="F383" s="1948">
        <v>2257.5</v>
      </c>
      <c r="G383" s="1947"/>
      <c r="H383" s="1949" t="str">
        <f>IFERROR(IF(F383&gt;=VLOOKUP(A383,[1]Materiality!$I$6:$J$12,2,TRUE),IFERROR(IF(VLOOKUP("*CR",F383,1,FALSE)&gt;=0,"",VLOOKUP("*CR",F383,1,FALSE)),F383),""),"")</f>
        <v/>
      </c>
    </row>
    <row r="384" spans="1:8" x14ac:dyDescent="0.25">
      <c r="A384" s="1947" t="s">
        <v>3085</v>
      </c>
      <c r="B384" s="1947" t="s">
        <v>2721</v>
      </c>
      <c r="C384" s="1947" t="s">
        <v>2214</v>
      </c>
      <c r="D384" s="1948">
        <v>8260.2000000000007</v>
      </c>
      <c r="E384" s="1947">
        <v>0</v>
      </c>
      <c r="F384" s="1948">
        <v>8260.2000000000007</v>
      </c>
      <c r="G384" s="1947"/>
      <c r="H384" s="1949" t="str">
        <f>IFERROR(IF(F384&gt;=VLOOKUP(A384,[1]Materiality!$I$6:$J$12,2,TRUE),IFERROR(IF(VLOOKUP("*CR",F384,1,FALSE)&gt;=0,"",VLOOKUP("*CR",F384,1,FALSE)),F384),""),"")</f>
        <v/>
      </c>
    </row>
    <row r="385" spans="1:8" x14ac:dyDescent="0.25">
      <c r="A385" s="1947" t="s">
        <v>3086</v>
      </c>
      <c r="B385" s="1947" t="s">
        <v>2721</v>
      </c>
      <c r="C385" s="1947" t="s">
        <v>2214</v>
      </c>
      <c r="D385" s="1947">
        <v>484.38</v>
      </c>
      <c r="E385" s="1947">
        <v>0</v>
      </c>
      <c r="F385" s="1947">
        <v>484.38</v>
      </c>
      <c r="G385" s="1947"/>
      <c r="H385" s="1949" t="str">
        <f>IFERROR(IF(F385&gt;=VLOOKUP(A385,[1]Materiality!$I$6:$J$12,2,TRUE),IFERROR(IF(VLOOKUP("*CR",F385,1,FALSE)&gt;=0,"",VLOOKUP("*CR",F385,1,FALSE)),F385),""),"")</f>
        <v/>
      </c>
    </row>
    <row r="386" spans="1:8" x14ac:dyDescent="0.25">
      <c r="A386" s="1947" t="s">
        <v>3087</v>
      </c>
      <c r="B386" s="1947" t="s">
        <v>2721</v>
      </c>
      <c r="C386" s="1947" t="s">
        <v>2218</v>
      </c>
      <c r="D386" s="1948">
        <v>1615.38</v>
      </c>
      <c r="E386" s="1947">
        <v>0</v>
      </c>
      <c r="F386" s="1948">
        <v>1615.38</v>
      </c>
      <c r="G386" s="1947"/>
      <c r="H386" s="1949" t="str">
        <f>IFERROR(IF(F386&gt;=VLOOKUP(A386,[1]Materiality!$I$6:$J$12,2,TRUE),IFERROR(IF(VLOOKUP("*CR",F386,1,FALSE)&gt;=0,"",VLOOKUP("*CR",F386,1,FALSE)),F386),""),"")</f>
        <v/>
      </c>
    </row>
    <row r="387" spans="1:8" x14ac:dyDescent="0.25">
      <c r="A387" s="1947" t="s">
        <v>3088</v>
      </c>
      <c r="B387" s="1947" t="s">
        <v>2721</v>
      </c>
      <c r="C387" s="1947" t="s">
        <v>2221</v>
      </c>
      <c r="D387" s="1948">
        <v>7111.72</v>
      </c>
      <c r="E387" s="1948">
        <v>1667.63</v>
      </c>
      <c r="F387" s="1948">
        <v>5444.09</v>
      </c>
      <c r="G387" s="1947"/>
      <c r="H387" s="1949" t="str">
        <f>IFERROR(IF(F387&gt;=VLOOKUP(A387,[1]Materiality!$I$6:$J$12,2,TRUE),IFERROR(IF(VLOOKUP("*CR",F387,1,FALSE)&gt;=0,"",VLOOKUP("*CR",F387,1,FALSE)),F387),""),"")</f>
        <v/>
      </c>
    </row>
    <row r="388" spans="1:8" x14ac:dyDescent="0.25">
      <c r="A388" s="1947" t="s">
        <v>3089</v>
      </c>
      <c r="B388" s="1947" t="s">
        <v>2721</v>
      </c>
      <c r="C388" s="1947" t="s">
        <v>2370</v>
      </c>
      <c r="D388" s="1947">
        <v>356.26</v>
      </c>
      <c r="E388" s="1947">
        <v>0</v>
      </c>
      <c r="F388" s="1947">
        <v>356.26</v>
      </c>
      <c r="G388" s="1947"/>
      <c r="H388" s="1949" t="str">
        <f>IFERROR(IF(F388&gt;=VLOOKUP(A388,[1]Materiality!$I$6:$J$12,2,TRUE),IFERROR(IF(VLOOKUP("*CR",F388,1,FALSE)&gt;=0,"",VLOOKUP("*CR",F388,1,FALSE)),F388),""),"")</f>
        <v/>
      </c>
    </row>
    <row r="389" spans="1:8" x14ac:dyDescent="0.25">
      <c r="A389" s="1947" t="s">
        <v>3090</v>
      </c>
      <c r="B389" s="1947" t="s">
        <v>2706</v>
      </c>
      <c r="C389" s="1947" t="s">
        <v>2211</v>
      </c>
      <c r="D389" s="1948">
        <v>7725</v>
      </c>
      <c r="E389" s="1948">
        <v>2775</v>
      </c>
      <c r="F389" s="1948">
        <v>4950</v>
      </c>
      <c r="G389" s="1947"/>
      <c r="H389" s="1949" t="str">
        <f>IFERROR(IF(F389&gt;=VLOOKUP(A389,[1]Materiality!$I$6:$J$12,2,TRUE),IFERROR(IF(VLOOKUP("*CR",F389,1,FALSE)&gt;=0,"",VLOOKUP("*CR",F389,1,FALSE)),F389),""),"")</f>
        <v/>
      </c>
    </row>
    <row r="390" spans="1:8" x14ac:dyDescent="0.25">
      <c r="A390" s="1947" t="s">
        <v>2954</v>
      </c>
      <c r="B390" s="1947" t="s">
        <v>2706</v>
      </c>
      <c r="C390" s="1947" t="s">
        <v>2215</v>
      </c>
      <c r="D390" s="1947">
        <v>118.73</v>
      </c>
      <c r="E390" s="1947">
        <v>0</v>
      </c>
      <c r="F390" s="1947">
        <v>118.73</v>
      </c>
      <c r="G390" s="1947"/>
      <c r="H390" s="1949" t="str">
        <f>IFERROR(IF(F390&gt;=VLOOKUP(A390,[1]Materiality!$I$6:$J$12,2,TRUE),IFERROR(IF(VLOOKUP("*CR",F390,1,FALSE)&gt;=0,"",VLOOKUP("*CR",F390,1,FALSE)),F390),""),"")</f>
        <v/>
      </c>
    </row>
    <row r="391" spans="1:8" x14ac:dyDescent="0.25">
      <c r="A391" s="1947" t="s">
        <v>2955</v>
      </c>
      <c r="B391" s="1947" t="s">
        <v>2706</v>
      </c>
      <c r="C391" s="1947" t="s">
        <v>2217</v>
      </c>
      <c r="D391" s="1947">
        <v>496.26</v>
      </c>
      <c r="E391" s="1947">
        <v>67.510000000000005</v>
      </c>
      <c r="F391" s="1947">
        <v>428.75</v>
      </c>
      <c r="G391" s="1947"/>
      <c r="H391" s="1949" t="str">
        <f>IFERROR(IF(F391&gt;=VLOOKUP(A391,[1]Materiality!$I$6:$J$12,2,TRUE),IFERROR(IF(VLOOKUP("*CR",F391,1,FALSE)&gt;=0,"",VLOOKUP("*CR",F391,1,FALSE)),F391),""),"")</f>
        <v/>
      </c>
    </row>
    <row r="392" spans="1:8" x14ac:dyDescent="0.25">
      <c r="A392" s="1947" t="s">
        <v>2956</v>
      </c>
      <c r="B392" s="1947" t="s">
        <v>2706</v>
      </c>
      <c r="C392" s="1947" t="s">
        <v>2215</v>
      </c>
      <c r="D392" s="1947">
        <v>24.07</v>
      </c>
      <c r="E392" s="1947">
        <v>0</v>
      </c>
      <c r="F392" s="1947">
        <v>24.07</v>
      </c>
      <c r="G392" s="1947"/>
      <c r="H392" s="1949" t="str">
        <f>IFERROR(IF(F392&gt;=VLOOKUP(A392,[1]Materiality!$I$6:$J$12,2,TRUE),IFERROR(IF(VLOOKUP("*CR",F392,1,FALSE)&gt;=0,"",VLOOKUP("*CR",F392,1,FALSE)),F392),""),"")</f>
        <v/>
      </c>
    </row>
    <row r="393" spans="1:8" x14ac:dyDescent="0.25">
      <c r="A393" s="1947" t="s">
        <v>2957</v>
      </c>
      <c r="B393" s="1947" t="s">
        <v>2706</v>
      </c>
      <c r="C393" s="1947" t="s">
        <v>2219</v>
      </c>
      <c r="D393" s="1947">
        <v>49.34</v>
      </c>
      <c r="E393" s="1947">
        <v>0</v>
      </c>
      <c r="F393" s="1947">
        <v>49.34</v>
      </c>
      <c r="G393" s="1947"/>
      <c r="H393" s="1949" t="str">
        <f>IFERROR(IF(F393&gt;=VLOOKUP(A393,[1]Materiality!$I$6:$J$12,2,TRUE),IFERROR(IF(VLOOKUP("*CR",F393,1,FALSE)&gt;=0,"",VLOOKUP("*CR",F393,1,FALSE)),F393),""),"")</f>
        <v/>
      </c>
    </row>
    <row r="394" spans="1:8" x14ac:dyDescent="0.25">
      <c r="A394" s="1947" t="s">
        <v>2958</v>
      </c>
      <c r="B394" s="1947" t="s">
        <v>2767</v>
      </c>
      <c r="C394" s="1947" t="s">
        <v>2371</v>
      </c>
      <c r="D394" s="1947">
        <v>88.07</v>
      </c>
      <c r="E394" s="1947">
        <v>0</v>
      </c>
      <c r="F394" s="1947">
        <v>88.07</v>
      </c>
      <c r="G394" s="1947"/>
      <c r="H394" s="1949" t="str">
        <f>IFERROR(IF(F394&gt;=VLOOKUP(A394,[1]Materiality!$I$6:$J$12,2,TRUE),IFERROR(IF(VLOOKUP("*CR",F394,1,FALSE)&gt;=0,"",VLOOKUP("*CR",F394,1,FALSE)),F394),""),"")</f>
        <v/>
      </c>
    </row>
    <row r="395" spans="1:8" x14ac:dyDescent="0.25">
      <c r="A395" s="1947" t="s">
        <v>2958</v>
      </c>
      <c r="B395" s="1947" t="s">
        <v>2768</v>
      </c>
      <c r="C395" s="1947" t="s">
        <v>2372</v>
      </c>
      <c r="D395" s="1947">
        <v>29.35</v>
      </c>
      <c r="E395" s="1947">
        <v>0</v>
      </c>
      <c r="F395" s="1947">
        <v>29.35</v>
      </c>
      <c r="G395" s="1947"/>
      <c r="H395" s="1949" t="str">
        <f>IFERROR(IF(F395&gt;=VLOOKUP(A395,[1]Materiality!$I$6:$J$12,2,TRUE),IFERROR(IF(VLOOKUP("*CR",F395,1,FALSE)&gt;=0,"",VLOOKUP("*CR",F395,1,FALSE)),F395),""),"")</f>
        <v/>
      </c>
    </row>
    <row r="396" spans="1:8" x14ac:dyDescent="0.25">
      <c r="A396" s="1947" t="s">
        <v>2959</v>
      </c>
      <c r="B396" s="1947" t="s">
        <v>2706</v>
      </c>
      <c r="C396" s="1947" t="s">
        <v>2373</v>
      </c>
      <c r="D396" s="1948">
        <v>1539.2</v>
      </c>
      <c r="E396" s="1947">
        <v>600</v>
      </c>
      <c r="F396" s="1947">
        <v>939.2</v>
      </c>
      <c r="G396" s="1947"/>
      <c r="H396" s="1949" t="str">
        <f>IFERROR(IF(F396&gt;=VLOOKUP(A396,[1]Materiality!$I$6:$J$12,2,TRUE),IFERROR(IF(VLOOKUP("*CR",F396,1,FALSE)&gt;=0,"",VLOOKUP("*CR",F396,1,FALSE)),F396),""),"")</f>
        <v/>
      </c>
    </row>
    <row r="397" spans="1:8" x14ac:dyDescent="0.25">
      <c r="A397" s="1947" t="s">
        <v>2962</v>
      </c>
      <c r="B397" s="1947" t="s">
        <v>2705</v>
      </c>
      <c r="C397" s="1947" t="s">
        <v>2374</v>
      </c>
      <c r="D397" s="1947">
        <v>521.97</v>
      </c>
      <c r="E397" s="1947">
        <v>0</v>
      </c>
      <c r="F397" s="1947">
        <v>521.97</v>
      </c>
      <c r="G397" s="1947"/>
      <c r="H397" s="1949" t="str">
        <f>IFERROR(IF(F397&gt;=VLOOKUP(A397,[1]Materiality!$I$6:$J$12,2,TRUE),IFERROR(IF(VLOOKUP("*CR",F397,1,FALSE)&gt;=0,"",VLOOKUP("*CR",F397,1,FALSE)),F397),""),"")</f>
        <v/>
      </c>
    </row>
    <row r="398" spans="1:8" x14ac:dyDescent="0.25">
      <c r="A398" s="1947" t="s">
        <v>3091</v>
      </c>
      <c r="B398" s="1947" t="s">
        <v>2769</v>
      </c>
      <c r="C398" s="1947" t="s">
        <v>2375</v>
      </c>
      <c r="D398" s="1948">
        <v>43187.62</v>
      </c>
      <c r="E398" s="1947">
        <v>0</v>
      </c>
      <c r="F398" s="1948">
        <v>43187.62</v>
      </c>
      <c r="G398" s="1947"/>
      <c r="H398" s="1949" t="str">
        <f>IFERROR(IF(F398&gt;=VLOOKUP(A398,[1]Materiality!$I$6:$J$12,2,TRUE),IFERROR(IF(VLOOKUP("*CR",F398,1,FALSE)&gt;=0,"",VLOOKUP("*CR",F398,1,FALSE)),F398),""),"")</f>
        <v/>
      </c>
    </row>
    <row r="399" spans="1:8" x14ac:dyDescent="0.25">
      <c r="A399" s="1947" t="s">
        <v>3092</v>
      </c>
      <c r="B399" s="1947" t="s">
        <v>2769</v>
      </c>
      <c r="C399" s="1947" t="s">
        <v>2376</v>
      </c>
      <c r="D399" s="1948">
        <v>4273.79</v>
      </c>
      <c r="E399" s="1947">
        <v>0</v>
      </c>
      <c r="F399" s="1948">
        <v>4273.79</v>
      </c>
      <c r="G399" s="1947"/>
      <c r="H399" s="1949" t="str">
        <f>IFERROR(IF(F399&gt;=VLOOKUP(A399,[1]Materiality!$I$6:$J$12,2,TRUE),IFERROR(IF(VLOOKUP("*CR",F399,1,FALSE)&gt;=0,"",VLOOKUP("*CR",F399,1,FALSE)),F399),""),"")</f>
        <v/>
      </c>
    </row>
    <row r="400" spans="1:8" x14ac:dyDescent="0.25">
      <c r="A400" s="1947" t="s">
        <v>3093</v>
      </c>
      <c r="B400" s="1947" t="s">
        <v>2769</v>
      </c>
      <c r="C400" s="1947" t="s">
        <v>2376</v>
      </c>
      <c r="D400" s="1947">
        <v>275.06</v>
      </c>
      <c r="E400" s="1947">
        <v>0</v>
      </c>
      <c r="F400" s="1947">
        <v>275.06</v>
      </c>
      <c r="G400" s="1947"/>
      <c r="H400" s="1949" t="str">
        <f>IFERROR(IF(F400&gt;=VLOOKUP(A400,[1]Materiality!$I$6:$J$12,2,TRUE),IFERROR(IF(VLOOKUP("*CR",F400,1,FALSE)&gt;=0,"",VLOOKUP("*CR",F400,1,FALSE)),F400),""),"")</f>
        <v/>
      </c>
    </row>
    <row r="401" spans="1:8" x14ac:dyDescent="0.25">
      <c r="A401" s="1947" t="s">
        <v>3094</v>
      </c>
      <c r="B401" s="1947" t="s">
        <v>2769</v>
      </c>
      <c r="C401" s="1947" t="s">
        <v>2377</v>
      </c>
      <c r="D401" s="1947">
        <v>835.25</v>
      </c>
      <c r="E401" s="1947">
        <v>0</v>
      </c>
      <c r="F401" s="1947">
        <v>835.25</v>
      </c>
      <c r="G401" s="1947"/>
      <c r="H401" s="1949" t="str">
        <f>IFERROR(IF(F401&gt;=VLOOKUP(A401,[1]Materiality!$I$6:$J$12,2,TRUE),IFERROR(IF(VLOOKUP("*CR",F401,1,FALSE)&gt;=0,"",VLOOKUP("*CR",F401,1,FALSE)),F401),""),"")</f>
        <v/>
      </c>
    </row>
    <row r="402" spans="1:8" x14ac:dyDescent="0.25">
      <c r="A402" s="1947" t="s">
        <v>3095</v>
      </c>
      <c r="B402" s="1947" t="s">
        <v>2769</v>
      </c>
      <c r="C402" s="1947" t="s">
        <v>2378</v>
      </c>
      <c r="D402" s="1948">
        <v>15942.78</v>
      </c>
      <c r="E402" s="1948">
        <v>2932.22</v>
      </c>
      <c r="F402" s="1948">
        <v>13010.56</v>
      </c>
      <c r="G402" s="1947"/>
      <c r="H402" s="1949" t="str">
        <f>IFERROR(IF(F402&gt;=VLOOKUP(A402,[1]Materiality!$I$6:$J$12,2,TRUE),IFERROR(IF(VLOOKUP("*CR",F402,1,FALSE)&gt;=0,"",VLOOKUP("*CR",F402,1,FALSE)),F402),""),"")</f>
        <v/>
      </c>
    </row>
    <row r="403" spans="1:8" x14ac:dyDescent="0.25">
      <c r="A403" s="1947" t="s">
        <v>3096</v>
      </c>
      <c r="B403" s="1947" t="s">
        <v>2769</v>
      </c>
      <c r="C403" s="1947" t="s">
        <v>2379</v>
      </c>
      <c r="D403" s="1948">
        <v>4715.71</v>
      </c>
      <c r="E403" s="1947">
        <v>0</v>
      </c>
      <c r="F403" s="1948">
        <v>4715.71</v>
      </c>
      <c r="G403" s="1947"/>
      <c r="H403" s="1949" t="str">
        <f>IFERROR(IF(F403&gt;=VLOOKUP(A403,[1]Materiality!$I$6:$J$12,2,TRUE),IFERROR(IF(VLOOKUP("*CR",F403,1,FALSE)&gt;=0,"",VLOOKUP("*CR",F403,1,FALSE)),F403),""),"")</f>
        <v/>
      </c>
    </row>
    <row r="404" spans="1:8" x14ac:dyDescent="0.25">
      <c r="A404" s="1947" t="s">
        <v>3097</v>
      </c>
      <c r="B404" s="1947" t="s">
        <v>2769</v>
      </c>
      <c r="C404" s="1947" t="s">
        <v>2380</v>
      </c>
      <c r="D404" s="1948">
        <v>1164.9000000000001</v>
      </c>
      <c r="E404" s="1947">
        <v>0</v>
      </c>
      <c r="F404" s="1948">
        <v>1164.9000000000001</v>
      </c>
      <c r="G404" s="1947"/>
      <c r="H404" s="1949" t="str">
        <f>IFERROR(IF(F404&gt;=VLOOKUP(A404,[1]Materiality!$I$6:$J$12,2,TRUE),IFERROR(IF(VLOOKUP("*CR",F404,1,FALSE)&gt;=0,"",VLOOKUP("*CR",F404,1,FALSE)),F404),""),"")</f>
        <v/>
      </c>
    </row>
    <row r="405" spans="1:8" x14ac:dyDescent="0.25">
      <c r="A405" s="1947" t="s">
        <v>3098</v>
      </c>
      <c r="B405" s="1947" t="s">
        <v>2769</v>
      </c>
      <c r="C405" s="1947" t="s">
        <v>2381</v>
      </c>
      <c r="D405" s="1947">
        <v>980</v>
      </c>
      <c r="E405" s="1947">
        <v>0</v>
      </c>
      <c r="F405" s="1947">
        <v>980</v>
      </c>
      <c r="G405" s="1947"/>
      <c r="H405" s="1949" t="str">
        <f>IFERROR(IF(F405&gt;=VLOOKUP(A405,[1]Materiality!$I$6:$J$12,2,TRUE),IFERROR(IF(VLOOKUP("*CR",F405,1,FALSE)&gt;=0,"",VLOOKUP("*CR",F405,1,FALSE)),F405),""),"")</f>
        <v/>
      </c>
    </row>
    <row r="406" spans="1:8" x14ac:dyDescent="0.25">
      <c r="A406" s="1947" t="s">
        <v>3099</v>
      </c>
      <c r="B406" s="1947" t="s">
        <v>2769</v>
      </c>
      <c r="C406" s="1947" t="s">
        <v>2382</v>
      </c>
      <c r="D406" s="1948">
        <v>2659.23</v>
      </c>
      <c r="E406" s="1947">
        <v>0</v>
      </c>
      <c r="F406" s="1948">
        <v>2659.23</v>
      </c>
      <c r="G406" s="1947"/>
      <c r="H406" s="1949" t="str">
        <f>IFERROR(IF(F406&gt;=VLOOKUP(A406,[1]Materiality!$I$6:$J$12,2,TRUE),IFERROR(IF(VLOOKUP("*CR",F406,1,FALSE)&gt;=0,"",VLOOKUP("*CR",F406,1,FALSE)),F406),""),"")</f>
        <v/>
      </c>
    </row>
    <row r="407" spans="1:8" x14ac:dyDescent="0.25">
      <c r="A407" s="1947" t="s">
        <v>3100</v>
      </c>
      <c r="B407" s="1947" t="s">
        <v>2769</v>
      </c>
      <c r="C407" s="1947" t="s">
        <v>2383</v>
      </c>
      <c r="D407" s="1947">
        <v>101.88</v>
      </c>
      <c r="E407" s="1947">
        <v>0</v>
      </c>
      <c r="F407" s="1947">
        <v>101.88</v>
      </c>
      <c r="G407" s="1947"/>
      <c r="H407" s="1949" t="str">
        <f>IFERROR(IF(F407&gt;=VLOOKUP(A407,[1]Materiality!$I$6:$J$12,2,TRUE),IFERROR(IF(VLOOKUP("*CR",F407,1,FALSE)&gt;=0,"",VLOOKUP("*CR",F407,1,FALSE)),F407),""),"")</f>
        <v/>
      </c>
    </row>
    <row r="408" spans="1:8" x14ac:dyDescent="0.25">
      <c r="A408" s="1947" t="s">
        <v>3101</v>
      </c>
      <c r="B408" s="1947" t="s">
        <v>2769</v>
      </c>
      <c r="C408" s="1947" t="s">
        <v>2384</v>
      </c>
      <c r="D408" s="1947">
        <v>459.13</v>
      </c>
      <c r="E408" s="1947">
        <v>0</v>
      </c>
      <c r="F408" s="1947">
        <v>459.13</v>
      </c>
      <c r="G408" s="1947"/>
      <c r="H408" s="1949" t="str">
        <f>IFERROR(IF(F408&gt;=VLOOKUP(A408,[1]Materiality!$I$6:$J$12,2,TRUE),IFERROR(IF(VLOOKUP("*CR",F408,1,FALSE)&gt;=0,"",VLOOKUP("*CR",F408,1,FALSE)),F408),""),"")</f>
        <v/>
      </c>
    </row>
    <row r="409" spans="1:8" x14ac:dyDescent="0.25">
      <c r="A409" s="1947" t="s">
        <v>3102</v>
      </c>
      <c r="B409" s="1947" t="s">
        <v>2769</v>
      </c>
      <c r="C409" s="1947" t="s">
        <v>2385</v>
      </c>
      <c r="D409" s="1947">
        <v>483.53</v>
      </c>
      <c r="E409" s="1947">
        <v>0</v>
      </c>
      <c r="F409" s="1947">
        <v>483.53</v>
      </c>
      <c r="G409" s="1947"/>
      <c r="H409" s="1949" t="str">
        <f>IFERROR(IF(F409&gt;=VLOOKUP(A409,[1]Materiality!$I$6:$J$12,2,TRUE),IFERROR(IF(VLOOKUP("*CR",F409,1,FALSE)&gt;=0,"",VLOOKUP("*CR",F409,1,FALSE)),F409),""),"")</f>
        <v/>
      </c>
    </row>
    <row r="410" spans="1:8" x14ac:dyDescent="0.25">
      <c r="A410" s="1947" t="s">
        <v>3103</v>
      </c>
      <c r="B410" s="1947" t="s">
        <v>2698</v>
      </c>
      <c r="C410" s="1947" t="s">
        <v>2188</v>
      </c>
      <c r="D410" s="1948">
        <v>2463</v>
      </c>
      <c r="E410" s="1947">
        <v>0</v>
      </c>
      <c r="F410" s="1948">
        <v>2463</v>
      </c>
      <c r="G410" s="1947"/>
      <c r="H410" s="1949" t="str">
        <f>IFERROR(IF(F410&gt;=VLOOKUP(A410,[1]Materiality!$I$6:$J$12,2,TRUE),IFERROR(IF(VLOOKUP("*CR",F410,1,FALSE)&gt;=0,"",VLOOKUP("*CR",F410,1,FALSE)),F410),""),"")</f>
        <v/>
      </c>
    </row>
    <row r="411" spans="1:8" x14ac:dyDescent="0.25">
      <c r="A411" s="1947" t="s">
        <v>3103</v>
      </c>
      <c r="B411" s="1947" t="s">
        <v>2706</v>
      </c>
      <c r="C411" s="1947" t="s">
        <v>2231</v>
      </c>
      <c r="D411" s="1948">
        <v>5143.9399999999996</v>
      </c>
      <c r="E411" s="1947">
        <v>0</v>
      </c>
      <c r="F411" s="1948">
        <v>5143.9399999999996</v>
      </c>
      <c r="G411" s="1947"/>
      <c r="H411" s="1949" t="str">
        <f>IFERROR(IF(F411&gt;=VLOOKUP(A411,[1]Materiality!$I$6:$J$12,2,TRUE),IFERROR(IF(VLOOKUP("*CR",F411,1,FALSE)&gt;=0,"",VLOOKUP("*CR",F411,1,FALSE)),F411),""),"")</f>
        <v/>
      </c>
    </row>
    <row r="412" spans="1:8" x14ac:dyDescent="0.25">
      <c r="A412" s="1947" t="s">
        <v>3104</v>
      </c>
      <c r="B412" s="1947" t="s">
        <v>2770</v>
      </c>
      <c r="C412" s="1947" t="s">
        <v>2386</v>
      </c>
      <c r="D412" s="1948">
        <v>8854</v>
      </c>
      <c r="E412" s="1947">
        <v>0</v>
      </c>
      <c r="F412" s="1948">
        <v>8854</v>
      </c>
      <c r="G412" s="1947"/>
      <c r="H412" s="1949" t="str">
        <f>IFERROR(IF(F412&gt;=VLOOKUP(A412,[1]Materiality!$I$6:$J$12,2,TRUE),IFERROR(IF(VLOOKUP("*CR",F412,1,FALSE)&gt;=0,"",VLOOKUP("*CR",F412,1,FALSE)),F412),""),"")</f>
        <v/>
      </c>
    </row>
    <row r="413" spans="1:8" x14ac:dyDescent="0.25">
      <c r="A413" s="1947" t="s">
        <v>3105</v>
      </c>
      <c r="B413" s="1947" t="s">
        <v>2770</v>
      </c>
      <c r="C413" s="1947" t="s">
        <v>2387</v>
      </c>
      <c r="D413" s="1948">
        <v>1006.88</v>
      </c>
      <c r="E413" s="1947">
        <v>0</v>
      </c>
      <c r="F413" s="1948">
        <v>1006.88</v>
      </c>
      <c r="G413" s="1947"/>
      <c r="H413" s="1949" t="str">
        <f>IFERROR(IF(F413&gt;=VLOOKUP(A413,[1]Materiality!$I$6:$J$12,2,TRUE),IFERROR(IF(VLOOKUP("*CR",F413,1,FALSE)&gt;=0,"",VLOOKUP("*CR",F413,1,FALSE)),F413),""),"")</f>
        <v/>
      </c>
    </row>
    <row r="414" spans="1:8" x14ac:dyDescent="0.25">
      <c r="A414" s="1947" t="s">
        <v>3106</v>
      </c>
      <c r="B414" s="1947" t="s">
        <v>2770</v>
      </c>
      <c r="C414" s="1947" t="s">
        <v>2388</v>
      </c>
      <c r="D414" s="1948">
        <v>34782.839999999997</v>
      </c>
      <c r="E414" s="1947">
        <v>0</v>
      </c>
      <c r="F414" s="1948">
        <v>34782.839999999997</v>
      </c>
      <c r="G414" s="1947"/>
      <c r="H414" s="1949" t="str">
        <f>IFERROR(IF(F414&gt;=VLOOKUP(A414,[1]Materiality!$I$6:$J$12,2,TRUE),IFERROR(IF(VLOOKUP("*CR",F414,1,FALSE)&gt;=0,"",VLOOKUP("*CR",F414,1,FALSE)),F414),""),"")</f>
        <v/>
      </c>
    </row>
    <row r="415" spans="1:8" x14ac:dyDescent="0.25">
      <c r="A415" s="1947" t="s">
        <v>3107</v>
      </c>
      <c r="B415" s="1947" t="s">
        <v>2770</v>
      </c>
      <c r="C415" s="1947" t="s">
        <v>2389</v>
      </c>
      <c r="D415" s="1948">
        <v>67268.7</v>
      </c>
      <c r="E415" s="1947">
        <v>0</v>
      </c>
      <c r="F415" s="1948">
        <v>67268.7</v>
      </c>
      <c r="G415" s="1947"/>
      <c r="H415" s="1949" t="str">
        <f>IFERROR(IF(F415&gt;=VLOOKUP(A415,[1]Materiality!$I$6:$J$12,2,TRUE),IFERROR(IF(VLOOKUP("*CR",F415,1,FALSE)&gt;=0,"",VLOOKUP("*CR",F415,1,FALSE)),F415),""),"")</f>
        <v/>
      </c>
    </row>
    <row r="416" spans="1:8" x14ac:dyDescent="0.25">
      <c r="A416" s="1947" t="s">
        <v>3108</v>
      </c>
      <c r="B416" s="1947" t="s">
        <v>2770</v>
      </c>
      <c r="C416" s="1947" t="s">
        <v>2390</v>
      </c>
      <c r="D416" s="1948">
        <v>5716.04</v>
      </c>
      <c r="E416" s="1947">
        <v>400</v>
      </c>
      <c r="F416" s="1948">
        <v>5316.04</v>
      </c>
      <c r="G416" s="1947"/>
      <c r="H416" s="1949" t="str">
        <f>IFERROR(IF(F416&gt;=VLOOKUP(A416,[1]Materiality!$I$6:$J$12,2,TRUE),IFERROR(IF(VLOOKUP("*CR",F416,1,FALSE)&gt;=0,"",VLOOKUP("*CR",F416,1,FALSE)),F416),""),"")</f>
        <v/>
      </c>
    </row>
    <row r="417" spans="1:8" x14ac:dyDescent="0.25">
      <c r="A417" s="1947" t="s">
        <v>3109</v>
      </c>
      <c r="B417" s="1947" t="s">
        <v>2770</v>
      </c>
      <c r="C417" s="1947" t="s">
        <v>2391</v>
      </c>
      <c r="D417" s="1948">
        <v>7084.93</v>
      </c>
      <c r="E417" s="1947">
        <v>0</v>
      </c>
      <c r="F417" s="1948">
        <v>7084.93</v>
      </c>
      <c r="G417" s="1947"/>
      <c r="H417" s="1949" t="str">
        <f>IFERROR(IF(F417&gt;=VLOOKUP(A417,[1]Materiality!$I$6:$J$12,2,TRUE),IFERROR(IF(VLOOKUP("*CR",F417,1,FALSE)&gt;=0,"",VLOOKUP("*CR",F417,1,FALSE)),F417),""),"")</f>
        <v/>
      </c>
    </row>
    <row r="418" spans="1:8" x14ac:dyDescent="0.25">
      <c r="A418" s="1947" t="s">
        <v>3110</v>
      </c>
      <c r="B418" s="1947" t="s">
        <v>2770</v>
      </c>
      <c r="C418" s="1947" t="s">
        <v>2392</v>
      </c>
      <c r="D418" s="1947">
        <v>225</v>
      </c>
      <c r="E418" s="1947">
        <v>0</v>
      </c>
      <c r="F418" s="1947">
        <v>225</v>
      </c>
      <c r="G418" s="1947"/>
      <c r="H418" s="1949" t="str">
        <f>IFERROR(IF(F418&gt;=VLOOKUP(A418,[1]Materiality!$I$6:$J$12,2,TRUE),IFERROR(IF(VLOOKUP("*CR",F418,1,FALSE)&gt;=0,"",VLOOKUP("*CR",F418,1,FALSE)),F418),""),"")</f>
        <v/>
      </c>
    </row>
    <row r="419" spans="1:8" x14ac:dyDescent="0.25">
      <c r="A419" s="1947" t="s">
        <v>3111</v>
      </c>
      <c r="B419" s="1947" t="s">
        <v>2770</v>
      </c>
      <c r="C419" s="1947" t="s">
        <v>2393</v>
      </c>
      <c r="D419" s="1948">
        <v>10702</v>
      </c>
      <c r="E419" s="1947">
        <v>0</v>
      </c>
      <c r="F419" s="1948">
        <v>10702</v>
      </c>
      <c r="G419" s="1947"/>
      <c r="H419" s="1949" t="str">
        <f>IFERROR(IF(F419&gt;=VLOOKUP(A419,[1]Materiality!$I$6:$J$12,2,TRUE),IFERROR(IF(VLOOKUP("*CR",F419,1,FALSE)&gt;=0,"",VLOOKUP("*CR",F419,1,FALSE)),F419),""),"")</f>
        <v/>
      </c>
    </row>
    <row r="420" spans="1:8" x14ac:dyDescent="0.25">
      <c r="A420" s="1947" t="s">
        <v>3112</v>
      </c>
      <c r="B420" s="1947" t="s">
        <v>2770</v>
      </c>
      <c r="C420" s="1947" t="s">
        <v>2394</v>
      </c>
      <c r="D420" s="1948">
        <v>359610.52</v>
      </c>
      <c r="E420" s="1948">
        <v>24708.95</v>
      </c>
      <c r="F420" s="1948">
        <v>334901.57</v>
      </c>
      <c r="G420" s="1947"/>
      <c r="H420" s="1949" t="str">
        <f>IFERROR(IF(F420&gt;=VLOOKUP(A420,[1]Materiality!$I$6:$J$12,2,TRUE),IFERROR(IF(VLOOKUP("*CR",F420,1,FALSE)&gt;=0,"",VLOOKUP("*CR",F420,1,FALSE)),F420),""),"")</f>
        <v/>
      </c>
    </row>
    <row r="421" spans="1:8" x14ac:dyDescent="0.25">
      <c r="A421" s="1947" t="s">
        <v>3113</v>
      </c>
      <c r="B421" s="1947" t="s">
        <v>2770</v>
      </c>
      <c r="C421" s="1947" t="s">
        <v>2395</v>
      </c>
      <c r="D421" s="1948">
        <v>283873.67</v>
      </c>
      <c r="E421" s="1948">
        <v>133709.82999999999</v>
      </c>
      <c r="F421" s="1948">
        <v>150163.84</v>
      </c>
      <c r="G421" s="1947"/>
      <c r="H421" s="1949" t="str">
        <f>IFERROR(IF(F421&gt;=VLOOKUP(A421,[1]Materiality!$I$6:$J$12,2,TRUE),IFERROR(IF(VLOOKUP("*CR",F421,1,FALSE)&gt;=0,"",VLOOKUP("*CR",F421,1,FALSE)),F421),""),"")</f>
        <v/>
      </c>
    </row>
    <row r="422" spans="1:8" x14ac:dyDescent="0.25">
      <c r="A422" s="1947" t="s">
        <v>3114</v>
      </c>
      <c r="B422" s="1947" t="s">
        <v>2771</v>
      </c>
      <c r="C422" s="1947" t="s">
        <v>2396</v>
      </c>
      <c r="D422" s="1948">
        <v>133816.15</v>
      </c>
      <c r="E422" s="1947">
        <v>0</v>
      </c>
      <c r="F422" s="1948">
        <v>133816.15</v>
      </c>
      <c r="G422" s="1947"/>
      <c r="H422" s="1949" t="str">
        <f>IFERROR(IF(F422&gt;=VLOOKUP(A422,[1]Materiality!$I$6:$J$12,2,TRUE),IFERROR(IF(VLOOKUP("*CR",F422,1,FALSE)&gt;=0,"",VLOOKUP("*CR",F422,1,FALSE)),F422),""),"")</f>
        <v/>
      </c>
    </row>
    <row r="423" spans="1:8" x14ac:dyDescent="0.25">
      <c r="A423" s="1947" t="s">
        <v>3115</v>
      </c>
      <c r="B423" s="1947" t="s">
        <v>2771</v>
      </c>
      <c r="C423" s="1947" t="s">
        <v>2397</v>
      </c>
      <c r="D423" s="1948">
        <v>40866.910000000003</v>
      </c>
      <c r="E423" s="1947">
        <v>0</v>
      </c>
      <c r="F423" s="1948">
        <v>40866.910000000003</v>
      </c>
      <c r="G423" s="1947"/>
      <c r="H423" s="1949" t="str">
        <f>IFERROR(IF(F423&gt;=VLOOKUP(A423,[1]Materiality!$I$6:$J$12,2,TRUE),IFERROR(IF(VLOOKUP("*CR",F423,1,FALSE)&gt;=0,"",VLOOKUP("*CR",F423,1,FALSE)),F423),""),"")</f>
        <v/>
      </c>
    </row>
    <row r="424" spans="1:8" x14ac:dyDescent="0.25">
      <c r="A424" s="1947" t="s">
        <v>3116</v>
      </c>
      <c r="B424" s="1947" t="s">
        <v>2771</v>
      </c>
      <c r="C424" s="1947" t="s">
        <v>2398</v>
      </c>
      <c r="D424" s="1948">
        <v>12937.79</v>
      </c>
      <c r="E424" s="1947">
        <v>0</v>
      </c>
      <c r="F424" s="1948">
        <v>12937.79</v>
      </c>
      <c r="G424" s="1947"/>
      <c r="H424" s="1949" t="str">
        <f>IFERROR(IF(F424&gt;=VLOOKUP(A424,[1]Materiality!$I$6:$J$12,2,TRUE),IFERROR(IF(VLOOKUP("*CR",F424,1,FALSE)&gt;=0,"",VLOOKUP("*CR",F424,1,FALSE)),F424),""),"")</f>
        <v/>
      </c>
    </row>
    <row r="425" spans="1:8" x14ac:dyDescent="0.25">
      <c r="A425" s="1947" t="s">
        <v>3117</v>
      </c>
      <c r="B425" s="1947" t="s">
        <v>2771</v>
      </c>
      <c r="C425" s="1947" t="s">
        <v>2398</v>
      </c>
      <c r="D425" s="1947">
        <v>758.74</v>
      </c>
      <c r="E425" s="1947">
        <v>0</v>
      </c>
      <c r="F425" s="1947">
        <v>758.74</v>
      </c>
      <c r="G425" s="1947"/>
      <c r="H425" s="1949" t="str">
        <f>IFERROR(IF(F425&gt;=VLOOKUP(A425,[1]Materiality!$I$6:$J$12,2,TRUE),IFERROR(IF(VLOOKUP("*CR",F425,1,FALSE)&gt;=0,"",VLOOKUP("*CR",F425,1,FALSE)),F425),""),"")</f>
        <v/>
      </c>
    </row>
    <row r="426" spans="1:8" x14ac:dyDescent="0.25">
      <c r="A426" s="1947" t="s">
        <v>3118</v>
      </c>
      <c r="B426" s="1947" t="s">
        <v>2771</v>
      </c>
      <c r="C426" s="1947" t="s">
        <v>2399</v>
      </c>
      <c r="D426" s="1948">
        <v>2530.15</v>
      </c>
      <c r="E426" s="1947">
        <v>0</v>
      </c>
      <c r="F426" s="1948">
        <v>2530.15</v>
      </c>
      <c r="G426" s="1947"/>
      <c r="H426" s="1949" t="str">
        <f>IFERROR(IF(F426&gt;=VLOOKUP(A426,[1]Materiality!$I$6:$J$12,2,TRUE),IFERROR(IF(VLOOKUP("*CR",F426,1,FALSE)&gt;=0,"",VLOOKUP("*CR",F426,1,FALSE)),F426),""),"")</f>
        <v/>
      </c>
    </row>
    <row r="427" spans="1:8" x14ac:dyDescent="0.25">
      <c r="A427" s="1947" t="s">
        <v>3119</v>
      </c>
      <c r="B427" s="1947" t="s">
        <v>2771</v>
      </c>
      <c r="C427" s="1947" t="s">
        <v>2400</v>
      </c>
      <c r="D427" s="1948">
        <v>18412.87</v>
      </c>
      <c r="E427" s="1948">
        <v>3132.76</v>
      </c>
      <c r="F427" s="1948">
        <v>15280.11</v>
      </c>
      <c r="G427" s="1947"/>
      <c r="H427" s="1949" t="str">
        <f>IFERROR(IF(F427&gt;=VLOOKUP(A427,[1]Materiality!$I$6:$J$12,2,TRUE),IFERROR(IF(VLOOKUP("*CR",F427,1,FALSE)&gt;=0,"",VLOOKUP("*CR",F427,1,FALSE)),F427),""),"")</f>
        <v/>
      </c>
    </row>
    <row r="428" spans="1:8" x14ac:dyDescent="0.25">
      <c r="A428" s="1947" t="s">
        <v>3120</v>
      </c>
      <c r="B428" s="1947" t="s">
        <v>2771</v>
      </c>
      <c r="C428" s="1947" t="s">
        <v>2401</v>
      </c>
      <c r="D428" s="1948">
        <v>10575</v>
      </c>
      <c r="E428" s="1947">
        <v>0</v>
      </c>
      <c r="F428" s="1948">
        <v>10575</v>
      </c>
      <c r="G428" s="1947"/>
      <c r="H428" s="1949" t="str">
        <f>IFERROR(IF(F428&gt;=VLOOKUP(A428,[1]Materiality!$I$6:$J$12,2,TRUE),IFERROR(IF(VLOOKUP("*CR",F428,1,FALSE)&gt;=0,"",VLOOKUP("*CR",F428,1,FALSE)),F428),""),"")</f>
        <v/>
      </c>
    </row>
    <row r="429" spans="1:8" x14ac:dyDescent="0.25">
      <c r="A429" s="1947" t="s">
        <v>3121</v>
      </c>
      <c r="B429" s="1947" t="s">
        <v>2771</v>
      </c>
      <c r="C429" s="1947" t="s">
        <v>2402</v>
      </c>
      <c r="D429" s="1948">
        <v>1403.28</v>
      </c>
      <c r="E429" s="1947">
        <v>30</v>
      </c>
      <c r="F429" s="1948">
        <v>1373.28</v>
      </c>
      <c r="G429" s="1947"/>
      <c r="H429" s="1949" t="str">
        <f>IFERROR(IF(F429&gt;=VLOOKUP(A429,[1]Materiality!$I$6:$J$12,2,TRUE),IFERROR(IF(VLOOKUP("*CR",F429,1,FALSE)&gt;=0,"",VLOOKUP("*CR",F429,1,FALSE)),F429),""),"")</f>
        <v/>
      </c>
    </row>
    <row r="430" spans="1:8" x14ac:dyDescent="0.25">
      <c r="A430" s="1947" t="s">
        <v>3122</v>
      </c>
      <c r="B430" s="1947" t="s">
        <v>2771</v>
      </c>
      <c r="C430" s="1947" t="s">
        <v>2403</v>
      </c>
      <c r="D430" s="1948">
        <v>1771.05</v>
      </c>
      <c r="E430" s="1948">
        <v>1404</v>
      </c>
      <c r="F430" s="1947">
        <v>367.05</v>
      </c>
      <c r="G430" s="1947"/>
      <c r="H430" s="1949" t="str">
        <f>IFERROR(IF(F430&gt;=VLOOKUP(A430,[1]Materiality!$I$6:$J$12,2,TRUE),IFERROR(IF(VLOOKUP("*CR",F430,1,FALSE)&gt;=0,"",VLOOKUP("*CR",F430,1,FALSE)),F430),""),"")</f>
        <v/>
      </c>
    </row>
    <row r="431" spans="1:8" x14ac:dyDescent="0.25">
      <c r="A431" s="1947" t="s">
        <v>3123</v>
      </c>
      <c r="B431" s="1947" t="s">
        <v>2771</v>
      </c>
      <c r="C431" s="1947" t="s">
        <v>2404</v>
      </c>
      <c r="D431" s="1948">
        <v>4059.15</v>
      </c>
      <c r="E431" s="1947">
        <v>0</v>
      </c>
      <c r="F431" s="1948">
        <v>4059.15</v>
      </c>
      <c r="G431" s="1947"/>
      <c r="H431" s="1949" t="str">
        <f>IFERROR(IF(F431&gt;=VLOOKUP(A431,[1]Materiality!$I$6:$J$12,2,TRUE),IFERROR(IF(VLOOKUP("*CR",F431,1,FALSE)&gt;=0,"",VLOOKUP("*CR",F431,1,FALSE)),F431),""),"")</f>
        <v/>
      </c>
    </row>
    <row r="432" spans="1:8" x14ac:dyDescent="0.25">
      <c r="A432" s="1947" t="s">
        <v>3124</v>
      </c>
      <c r="B432" s="1947" t="s">
        <v>2772</v>
      </c>
      <c r="C432" s="1947" t="s">
        <v>2405</v>
      </c>
      <c r="D432" s="1948">
        <v>203066.52</v>
      </c>
      <c r="E432" s="1947">
        <v>0</v>
      </c>
      <c r="F432" s="1948">
        <v>203066.52</v>
      </c>
      <c r="G432" s="1947"/>
      <c r="H432" s="1949" t="str">
        <f>IFERROR(IF(F432&gt;=VLOOKUP(A432,[1]Materiality!$I$6:$J$12,2,TRUE),IFERROR(IF(VLOOKUP("*CR",F432,1,FALSE)&gt;=0,"",VLOOKUP("*CR",F432,1,FALSE)),F432),""),"")</f>
        <v/>
      </c>
    </row>
    <row r="433" spans="1:8" x14ac:dyDescent="0.25">
      <c r="A433" s="1947" t="s">
        <v>3125</v>
      </c>
      <c r="B433" s="1947" t="s">
        <v>2759</v>
      </c>
      <c r="C433" s="1947" t="s">
        <v>2406</v>
      </c>
      <c r="D433" s="1948">
        <v>61149.31</v>
      </c>
      <c r="E433" s="1947">
        <v>0</v>
      </c>
      <c r="F433" s="1948">
        <v>61149.31</v>
      </c>
      <c r="G433" s="1947"/>
      <c r="H433" s="1949" t="str">
        <f>IFERROR(IF(F433&gt;=VLOOKUP(A433,[1]Materiality!$I$6:$J$12,2,TRUE),IFERROR(IF(VLOOKUP("*CR",F433,1,FALSE)&gt;=0,"",VLOOKUP("*CR",F433,1,FALSE)),F433),""),"")</f>
        <v/>
      </c>
    </row>
    <row r="434" spans="1:8" x14ac:dyDescent="0.25">
      <c r="A434" s="1947" t="s">
        <v>3126</v>
      </c>
      <c r="B434" s="1947" t="s">
        <v>2772</v>
      </c>
      <c r="C434" s="1947" t="s">
        <v>2407</v>
      </c>
      <c r="D434" s="1948">
        <v>19885.48</v>
      </c>
      <c r="E434" s="1947">
        <v>0</v>
      </c>
      <c r="F434" s="1948">
        <v>19885.48</v>
      </c>
      <c r="G434" s="1947"/>
      <c r="H434" s="1949" t="str">
        <f>IFERROR(IF(F434&gt;=VLOOKUP(A434,[1]Materiality!$I$6:$J$12,2,TRUE),IFERROR(IF(VLOOKUP("*CR",F434,1,FALSE)&gt;=0,"",VLOOKUP("*CR",F434,1,FALSE)),F434),""),"")</f>
        <v/>
      </c>
    </row>
    <row r="435" spans="1:8" x14ac:dyDescent="0.25">
      <c r="A435" s="1947" t="s">
        <v>3127</v>
      </c>
      <c r="B435" s="1947" t="s">
        <v>2772</v>
      </c>
      <c r="C435" s="1947" t="s">
        <v>2407</v>
      </c>
      <c r="D435" s="1948">
        <v>1166.1400000000001</v>
      </c>
      <c r="E435" s="1947">
        <v>0</v>
      </c>
      <c r="F435" s="1948">
        <v>1166.1400000000001</v>
      </c>
      <c r="G435" s="1947"/>
      <c r="H435" s="1949" t="str">
        <f>IFERROR(IF(F435&gt;=VLOOKUP(A435,[1]Materiality!$I$6:$J$12,2,TRUE),IFERROR(IF(VLOOKUP("*CR",F435,1,FALSE)&gt;=0,"",VLOOKUP("*CR",F435,1,FALSE)),F435),""),"")</f>
        <v/>
      </c>
    </row>
    <row r="436" spans="1:8" x14ac:dyDescent="0.25">
      <c r="A436" s="1947" t="s">
        <v>3128</v>
      </c>
      <c r="B436" s="1947" t="s">
        <v>2772</v>
      </c>
      <c r="C436" s="1947" t="s">
        <v>2408</v>
      </c>
      <c r="D436" s="1948">
        <v>3888.89</v>
      </c>
      <c r="E436" s="1947">
        <v>0</v>
      </c>
      <c r="F436" s="1948">
        <v>3888.89</v>
      </c>
      <c r="G436" s="1947"/>
      <c r="H436" s="1949" t="str">
        <f>IFERROR(IF(F436&gt;=VLOOKUP(A436,[1]Materiality!$I$6:$J$12,2,TRUE),IFERROR(IF(VLOOKUP("*CR",F436,1,FALSE)&gt;=0,"",VLOOKUP("*CR",F436,1,FALSE)),F436),""),"")</f>
        <v/>
      </c>
    </row>
    <row r="437" spans="1:8" x14ac:dyDescent="0.25">
      <c r="A437" s="1947" t="s">
        <v>3129</v>
      </c>
      <c r="B437" s="1947" t="s">
        <v>2772</v>
      </c>
      <c r="C437" s="1947" t="s">
        <v>2409</v>
      </c>
      <c r="D437" s="1948">
        <v>49191.99</v>
      </c>
      <c r="E437" s="1948">
        <v>9511.3799999999992</v>
      </c>
      <c r="F437" s="1948">
        <v>39680.61</v>
      </c>
      <c r="G437" s="1947"/>
      <c r="H437" s="1949" t="str">
        <f>IFERROR(IF(F437&gt;=VLOOKUP(A437,[1]Materiality!$I$6:$J$12,2,TRUE),IFERROR(IF(VLOOKUP("*CR",F437,1,FALSE)&gt;=0,"",VLOOKUP("*CR",F437,1,FALSE)),F437),""),"")</f>
        <v/>
      </c>
    </row>
    <row r="438" spans="1:8" x14ac:dyDescent="0.25">
      <c r="A438" s="1947" t="s">
        <v>3130</v>
      </c>
      <c r="B438" s="1947" t="s">
        <v>2772</v>
      </c>
      <c r="C438" s="1947" t="s">
        <v>2410</v>
      </c>
      <c r="D438" s="1948">
        <v>2577.77</v>
      </c>
      <c r="E438" s="1947">
        <v>40</v>
      </c>
      <c r="F438" s="1948">
        <v>2537.77</v>
      </c>
      <c r="G438" s="1947"/>
      <c r="H438" s="1949" t="str">
        <f>IFERROR(IF(F438&gt;=VLOOKUP(A438,[1]Materiality!$I$6:$J$12,2,TRUE),IFERROR(IF(VLOOKUP("*CR",F438,1,FALSE)&gt;=0,"",VLOOKUP("*CR",F438,1,FALSE)),F438),""),"")</f>
        <v/>
      </c>
    </row>
    <row r="439" spans="1:8" x14ac:dyDescent="0.25">
      <c r="A439" s="1947" t="s">
        <v>3131</v>
      </c>
      <c r="B439" s="1947" t="s">
        <v>2772</v>
      </c>
      <c r="C439" s="1947" t="s">
        <v>2411</v>
      </c>
      <c r="D439" s="1948">
        <v>2439.62</v>
      </c>
      <c r="E439" s="1947">
        <v>0</v>
      </c>
      <c r="F439" s="1948">
        <v>2439.62</v>
      </c>
      <c r="G439" s="1947"/>
      <c r="H439" s="1949" t="str">
        <f>IFERROR(IF(F439&gt;=VLOOKUP(A439,[1]Materiality!$I$6:$J$12,2,TRUE),IFERROR(IF(VLOOKUP("*CR",F439,1,FALSE)&gt;=0,"",VLOOKUP("*CR",F439,1,FALSE)),F439),""),"")</f>
        <v/>
      </c>
    </row>
    <row r="440" spans="1:8" x14ac:dyDescent="0.25">
      <c r="A440" s="1947" t="s">
        <v>3132</v>
      </c>
      <c r="B440" s="1947" t="s">
        <v>2772</v>
      </c>
      <c r="C440" s="1947" t="s">
        <v>2412</v>
      </c>
      <c r="D440" s="1948">
        <v>3150.73</v>
      </c>
      <c r="E440" s="1947">
        <v>0</v>
      </c>
      <c r="F440" s="1948">
        <v>3150.73</v>
      </c>
      <c r="G440" s="1947"/>
      <c r="H440" s="1949" t="str">
        <f>IFERROR(IF(F440&gt;=VLOOKUP(A440,[1]Materiality!$I$6:$J$12,2,TRUE),IFERROR(IF(VLOOKUP("*CR",F440,1,FALSE)&gt;=0,"",VLOOKUP("*CR",F440,1,FALSE)),F440),""),"")</f>
        <v/>
      </c>
    </row>
    <row r="441" spans="1:8" x14ac:dyDescent="0.25">
      <c r="A441" s="1947" t="s">
        <v>3133</v>
      </c>
      <c r="B441" s="1947" t="s">
        <v>2772</v>
      </c>
      <c r="C441" s="1947" t="s">
        <v>2413</v>
      </c>
      <c r="D441" s="1948">
        <v>7825</v>
      </c>
      <c r="E441" s="1947">
        <v>0</v>
      </c>
      <c r="F441" s="1948">
        <v>7825</v>
      </c>
      <c r="G441" s="1947"/>
      <c r="H441" s="1949" t="str">
        <f>IFERROR(IF(F441&gt;=VLOOKUP(A441,[1]Materiality!$I$6:$J$12,2,TRUE),IFERROR(IF(VLOOKUP("*CR",F441,1,FALSE)&gt;=0,"",VLOOKUP("*CR",F441,1,FALSE)),F441),""),"")</f>
        <v/>
      </c>
    </row>
    <row r="442" spans="1:8" x14ac:dyDescent="0.25">
      <c r="A442" s="1947" t="s">
        <v>3134</v>
      </c>
      <c r="B442" s="1947" t="s">
        <v>2773</v>
      </c>
      <c r="C442" s="1947" t="s">
        <v>2414</v>
      </c>
      <c r="D442" s="1948">
        <v>139699.95000000001</v>
      </c>
      <c r="E442" s="1947">
        <v>0</v>
      </c>
      <c r="F442" s="1948">
        <v>139699.95000000001</v>
      </c>
      <c r="G442" s="1947"/>
      <c r="H442" s="1949" t="str">
        <f>IFERROR(IF(F442&gt;=VLOOKUP(A442,[1]Materiality!$I$6:$J$12,2,TRUE),IFERROR(IF(VLOOKUP("*CR",F442,1,FALSE)&gt;=0,"",VLOOKUP("*CR",F442,1,FALSE)),F442),""),"")</f>
        <v/>
      </c>
    </row>
    <row r="443" spans="1:8" x14ac:dyDescent="0.25">
      <c r="A443" s="1947" t="s">
        <v>3135</v>
      </c>
      <c r="B443" s="1947" t="s">
        <v>2773</v>
      </c>
      <c r="C443" s="1947" t="s">
        <v>2415</v>
      </c>
      <c r="D443" s="1948">
        <v>41557.74</v>
      </c>
      <c r="E443" s="1948">
        <v>8742.7000000000007</v>
      </c>
      <c r="F443" s="1948">
        <v>32815.040000000001</v>
      </c>
      <c r="G443" s="1947"/>
      <c r="H443" s="1949" t="str">
        <f>IFERROR(IF(F443&gt;=VLOOKUP(A443,[1]Materiality!$I$6:$J$12,2,TRUE),IFERROR(IF(VLOOKUP("*CR",F443,1,FALSE)&gt;=0,"",VLOOKUP("*CR",F443,1,FALSE)),F443),""),"")</f>
        <v/>
      </c>
    </row>
    <row r="444" spans="1:8" x14ac:dyDescent="0.25">
      <c r="A444" s="1947" t="s">
        <v>3136</v>
      </c>
      <c r="B444" s="1947" t="s">
        <v>2773</v>
      </c>
      <c r="C444" s="1947" t="s">
        <v>2416</v>
      </c>
      <c r="D444" s="1947">
        <v>809.25</v>
      </c>
      <c r="E444" s="1947">
        <v>0</v>
      </c>
      <c r="F444" s="1947">
        <v>809.25</v>
      </c>
      <c r="G444" s="1947"/>
      <c r="H444" s="1949" t="str">
        <f>IFERROR(IF(F444&gt;=VLOOKUP(A444,[1]Materiality!$I$6:$J$12,2,TRUE),IFERROR(IF(VLOOKUP("*CR",F444,1,FALSE)&gt;=0,"",VLOOKUP("*CR",F444,1,FALSE)),F444),""),"")</f>
        <v/>
      </c>
    </row>
    <row r="445" spans="1:8" x14ac:dyDescent="0.25">
      <c r="A445" s="1947" t="s">
        <v>3137</v>
      </c>
      <c r="B445" s="1947" t="s">
        <v>2773</v>
      </c>
      <c r="C445" s="1947" t="s">
        <v>2417</v>
      </c>
      <c r="D445" s="1948">
        <v>1340.39</v>
      </c>
      <c r="E445" s="1947">
        <v>0</v>
      </c>
      <c r="F445" s="1948">
        <v>1340.39</v>
      </c>
      <c r="G445" s="1947"/>
      <c r="H445" s="1949" t="str">
        <f>IFERROR(IF(F445&gt;=VLOOKUP(A445,[1]Materiality!$I$6:$J$12,2,TRUE),IFERROR(IF(VLOOKUP("*CR",F445,1,FALSE)&gt;=0,"",VLOOKUP("*CR",F445,1,FALSE)),F445),""),"")</f>
        <v/>
      </c>
    </row>
    <row r="446" spans="1:8" x14ac:dyDescent="0.25">
      <c r="A446" s="1947" t="s">
        <v>3138</v>
      </c>
      <c r="B446" s="1947" t="s">
        <v>2773</v>
      </c>
      <c r="C446" s="1947" t="s">
        <v>2418</v>
      </c>
      <c r="D446" s="1948">
        <v>21426</v>
      </c>
      <c r="E446" s="1947">
        <v>0</v>
      </c>
      <c r="F446" s="1948">
        <v>21426</v>
      </c>
      <c r="G446" s="1947"/>
      <c r="H446" s="1949" t="str">
        <f>IFERROR(IF(F446&gt;=VLOOKUP(A446,[1]Materiality!$I$6:$J$12,2,TRUE),IFERROR(IF(VLOOKUP("*CR",F446,1,FALSE)&gt;=0,"",VLOOKUP("*CR",F446,1,FALSE)),F446),""),"")</f>
        <v/>
      </c>
    </row>
    <row r="447" spans="1:8" x14ac:dyDescent="0.25">
      <c r="A447" s="1947" t="s">
        <v>3139</v>
      </c>
      <c r="B447" s="1947" t="s">
        <v>2773</v>
      </c>
      <c r="C447" s="1947" t="s">
        <v>2419</v>
      </c>
      <c r="D447" s="1947">
        <v>265</v>
      </c>
      <c r="E447" s="1947">
        <v>0</v>
      </c>
      <c r="F447" s="1947">
        <v>265</v>
      </c>
      <c r="G447" s="1947"/>
      <c r="H447" s="1949" t="str">
        <f>IFERROR(IF(F447&gt;=VLOOKUP(A447,[1]Materiality!$I$6:$J$12,2,TRUE),IFERROR(IF(VLOOKUP("*CR",F447,1,FALSE)&gt;=0,"",VLOOKUP("*CR",F447,1,FALSE)),F447),""),"")</f>
        <v/>
      </c>
    </row>
    <row r="448" spans="1:8" x14ac:dyDescent="0.25">
      <c r="A448" s="1947" t="s">
        <v>3140</v>
      </c>
      <c r="B448" s="1947" t="s">
        <v>2774</v>
      </c>
      <c r="C448" s="1947" t="s">
        <v>2420</v>
      </c>
      <c r="D448" s="1948">
        <v>7350.41</v>
      </c>
      <c r="E448" s="1947">
        <v>0</v>
      </c>
      <c r="F448" s="1948">
        <v>7350.41</v>
      </c>
      <c r="G448" s="1947"/>
      <c r="H448" s="1949" t="str">
        <f>IFERROR(IF(F448&gt;=VLOOKUP(A448,[1]Materiality!$I$6:$J$12,2,TRUE),IFERROR(IF(VLOOKUP("*CR",F448,1,FALSE)&gt;=0,"",VLOOKUP("*CR",F448,1,FALSE)),F448),""),"")</f>
        <v/>
      </c>
    </row>
    <row r="449" spans="1:8" x14ac:dyDescent="0.25">
      <c r="A449" s="1947" t="s">
        <v>3141</v>
      </c>
      <c r="B449" s="1947" t="s">
        <v>2698</v>
      </c>
      <c r="C449" s="1947" t="s">
        <v>2188</v>
      </c>
      <c r="D449" s="1947">
        <v>708.35</v>
      </c>
      <c r="E449" s="1947">
        <v>0</v>
      </c>
      <c r="F449" s="1947">
        <v>708.35</v>
      </c>
      <c r="G449" s="1947"/>
      <c r="H449" s="1949" t="str">
        <f>IFERROR(IF(F449&gt;=VLOOKUP(A449,[1]Materiality!$I$6:$J$12,2,TRUE),IFERROR(IF(VLOOKUP("*CR",F449,1,FALSE)&gt;=0,"",VLOOKUP("*CR",F449,1,FALSE)),F449),""),"")</f>
        <v/>
      </c>
    </row>
    <row r="450" spans="1:8" x14ac:dyDescent="0.25">
      <c r="A450" s="1947" t="s">
        <v>3142</v>
      </c>
      <c r="B450" s="1947" t="s">
        <v>2775</v>
      </c>
      <c r="C450" s="1947" t="s">
        <v>2421</v>
      </c>
      <c r="D450" s="1948">
        <v>493900.79999999999</v>
      </c>
      <c r="E450" s="1947">
        <v>0</v>
      </c>
      <c r="F450" s="1948">
        <v>493900.79999999999</v>
      </c>
      <c r="G450" s="1947"/>
      <c r="H450" s="1949" t="str">
        <f>IFERROR(IF(F450&gt;=VLOOKUP(A450,[1]Materiality!$I$6:$J$12,2,TRUE),IFERROR(IF(VLOOKUP("*CR",F450,1,FALSE)&gt;=0,"",VLOOKUP("*CR",F450,1,FALSE)),F450),""),"")</f>
        <v/>
      </c>
    </row>
    <row r="451" spans="1:8" x14ac:dyDescent="0.25">
      <c r="A451" s="1947" t="s">
        <v>3143</v>
      </c>
      <c r="B451" s="1947" t="s">
        <v>2698</v>
      </c>
      <c r="C451" s="1947" t="s">
        <v>2188</v>
      </c>
      <c r="D451" s="1948">
        <v>3274.59</v>
      </c>
      <c r="E451" s="1947">
        <v>0</v>
      </c>
      <c r="F451" s="1948">
        <v>3274.59</v>
      </c>
      <c r="G451" s="1947"/>
      <c r="H451" s="1949" t="str">
        <f>IFERROR(IF(F451&gt;=VLOOKUP(A451,[1]Materiality!$I$6:$J$12,2,TRUE),IFERROR(IF(VLOOKUP("*CR",F451,1,FALSE)&gt;=0,"",VLOOKUP("*CR",F451,1,FALSE)),F451),""),"")</f>
        <v/>
      </c>
    </row>
    <row r="452" spans="1:8" x14ac:dyDescent="0.25">
      <c r="A452" s="1947" t="s">
        <v>3144</v>
      </c>
      <c r="B452" s="1947" t="s">
        <v>2775</v>
      </c>
      <c r="C452" s="1947" t="s">
        <v>2422</v>
      </c>
      <c r="D452" s="1947">
        <v>439.13</v>
      </c>
      <c r="E452" s="1947">
        <v>0</v>
      </c>
      <c r="F452" s="1947">
        <v>439.13</v>
      </c>
      <c r="G452" s="1947"/>
      <c r="H452" s="1949" t="str">
        <f>IFERROR(IF(F452&gt;=VLOOKUP(A452,[1]Materiality!$I$6:$J$12,2,TRUE),IFERROR(IF(VLOOKUP("*CR",F452,1,FALSE)&gt;=0,"",VLOOKUP("*CR",F452,1,FALSE)),F452),""),"")</f>
        <v/>
      </c>
    </row>
    <row r="453" spans="1:8" x14ac:dyDescent="0.25">
      <c r="A453" s="1947" t="s">
        <v>3145</v>
      </c>
      <c r="B453" s="1947" t="s">
        <v>2776</v>
      </c>
      <c r="C453" s="1947" t="s">
        <v>2423</v>
      </c>
      <c r="D453" s="1948">
        <v>2500</v>
      </c>
      <c r="E453" s="1947">
        <v>0</v>
      </c>
      <c r="F453" s="1948">
        <v>2500</v>
      </c>
      <c r="G453" s="1947"/>
      <c r="H453" s="1949" t="str">
        <f>IFERROR(IF(F453&gt;=VLOOKUP(A453,[1]Materiality!$I$6:$J$12,2,TRUE),IFERROR(IF(VLOOKUP("*CR",F453,1,FALSE)&gt;=0,"",VLOOKUP("*CR",F453,1,FALSE)),F453),""),"")</f>
        <v/>
      </c>
    </row>
    <row r="454" spans="1:8" x14ac:dyDescent="0.25">
      <c r="A454" s="1947" t="s">
        <v>3146</v>
      </c>
      <c r="B454" s="1947" t="s">
        <v>2777</v>
      </c>
      <c r="C454" s="1947" t="s">
        <v>2424</v>
      </c>
      <c r="D454" s="1948">
        <v>3320.54</v>
      </c>
      <c r="E454" s="1947">
        <v>0</v>
      </c>
      <c r="F454" s="1948">
        <v>3320.54</v>
      </c>
      <c r="G454" s="1947"/>
      <c r="H454" s="1949" t="str">
        <f>IFERROR(IF(F454&gt;=VLOOKUP(A454,[1]Materiality!$I$6:$J$12,2,TRUE),IFERROR(IF(VLOOKUP("*CR",F454,1,FALSE)&gt;=0,"",VLOOKUP("*CR",F454,1,FALSE)),F454),""),"")</f>
        <v/>
      </c>
    </row>
    <row r="455" spans="1:8" x14ac:dyDescent="0.25">
      <c r="A455" s="1947" t="s">
        <v>3147</v>
      </c>
      <c r="B455" s="1947" t="s">
        <v>2709</v>
      </c>
      <c r="C455" s="1947" t="s">
        <v>2425</v>
      </c>
      <c r="D455" s="1948">
        <v>131977.39000000001</v>
      </c>
      <c r="E455" s="1947">
        <v>0</v>
      </c>
      <c r="F455" s="1948">
        <v>131977.39000000001</v>
      </c>
      <c r="G455" s="1947"/>
      <c r="H455" s="1949" t="str">
        <f>IFERROR(IF(F455&gt;=VLOOKUP(A455,[1]Materiality!$I$6:$J$12,2,TRUE),IFERROR(IF(VLOOKUP("*CR",F455,1,FALSE)&gt;=0,"",VLOOKUP("*CR",F455,1,FALSE)),F455),""),"")</f>
        <v/>
      </c>
    </row>
    <row r="456" spans="1:8" x14ac:dyDescent="0.25">
      <c r="A456" s="1947" t="s">
        <v>3148</v>
      </c>
      <c r="B456" s="1947" t="s">
        <v>2709</v>
      </c>
      <c r="C456" s="1947" t="s">
        <v>2426</v>
      </c>
      <c r="D456" s="1948">
        <v>42666.04</v>
      </c>
      <c r="E456" s="1948">
        <v>8013.33</v>
      </c>
      <c r="F456" s="1948">
        <v>34652.71</v>
      </c>
      <c r="G456" s="1947"/>
      <c r="H456" s="1949" t="str">
        <f>IFERROR(IF(F456&gt;=VLOOKUP(A456,[1]Materiality!$I$6:$J$12,2,TRUE),IFERROR(IF(VLOOKUP("*CR",F456,1,FALSE)&gt;=0,"",VLOOKUP("*CR",F456,1,FALSE)),F456),""),"")</f>
        <v/>
      </c>
    </row>
    <row r="457" spans="1:8" x14ac:dyDescent="0.25">
      <c r="A457" s="1947" t="s">
        <v>3149</v>
      </c>
      <c r="B457" s="1947" t="s">
        <v>2709</v>
      </c>
      <c r="C457" s="1947" t="s">
        <v>2177</v>
      </c>
      <c r="D457" s="1948">
        <v>2025.44</v>
      </c>
      <c r="E457" s="1947">
        <v>0</v>
      </c>
      <c r="F457" s="1948">
        <v>2025.44</v>
      </c>
      <c r="G457" s="1947"/>
      <c r="H457" s="1949" t="str">
        <f>IFERROR(IF(F457&gt;=VLOOKUP(A457,[1]Materiality!$I$6:$J$12,2,TRUE),IFERROR(IF(VLOOKUP("*CR",F457,1,FALSE)&gt;=0,"",VLOOKUP("*CR",F457,1,FALSE)),F457),""),"")</f>
        <v/>
      </c>
    </row>
    <row r="458" spans="1:8" x14ac:dyDescent="0.25">
      <c r="A458" s="1947" t="s">
        <v>3150</v>
      </c>
      <c r="B458" s="1947" t="s">
        <v>2709</v>
      </c>
      <c r="C458" s="1947" t="s">
        <v>2178</v>
      </c>
      <c r="D458" s="1948">
        <v>25263.040000000001</v>
      </c>
      <c r="E458" s="1947">
        <v>0</v>
      </c>
      <c r="F458" s="1948">
        <v>25263.040000000001</v>
      </c>
      <c r="G458" s="1947"/>
      <c r="H458" s="1949" t="str">
        <f>IFERROR(IF(F458&gt;=VLOOKUP(A458,[1]Materiality!$I$6:$J$12,2,TRUE),IFERROR(IF(VLOOKUP("*CR",F458,1,FALSE)&gt;=0,"",VLOOKUP("*CR",F458,1,FALSE)),F458),""),"")</f>
        <v/>
      </c>
    </row>
    <row r="459" spans="1:8" x14ac:dyDescent="0.25">
      <c r="A459" s="1947" t="s">
        <v>3151</v>
      </c>
      <c r="B459" s="1947" t="s">
        <v>2709</v>
      </c>
      <c r="C459" s="1947" t="s">
        <v>2427</v>
      </c>
      <c r="D459" s="1947">
        <v>583.04999999999995</v>
      </c>
      <c r="E459" s="1947">
        <v>0</v>
      </c>
      <c r="F459" s="1947">
        <v>583.04999999999995</v>
      </c>
      <c r="G459" s="1947"/>
      <c r="H459" s="1949" t="str">
        <f>IFERROR(IF(F459&gt;=VLOOKUP(A459,[1]Materiality!$I$6:$J$12,2,TRUE),IFERROR(IF(VLOOKUP("*CR",F459,1,FALSE)&gt;=0,"",VLOOKUP("*CR",F459,1,FALSE)),F459),""),"")</f>
        <v/>
      </c>
    </row>
    <row r="460" spans="1:8" x14ac:dyDescent="0.25">
      <c r="A460" s="1947" t="s">
        <v>3152</v>
      </c>
      <c r="B460" s="1947" t="s">
        <v>2709</v>
      </c>
      <c r="C460" s="1947" t="s">
        <v>2428</v>
      </c>
      <c r="D460" s="1948">
        <v>4917.4799999999996</v>
      </c>
      <c r="E460" s="1947">
        <v>0</v>
      </c>
      <c r="F460" s="1948">
        <v>4917.4799999999996</v>
      </c>
      <c r="G460" s="1947"/>
      <c r="H460" s="1949" t="str">
        <f>IFERROR(IF(F460&gt;=VLOOKUP(A460,[1]Materiality!$I$6:$J$12,2,TRUE),IFERROR(IF(VLOOKUP("*CR",F460,1,FALSE)&gt;=0,"",VLOOKUP("*CR",F460,1,FALSE)),F460),""),"")</f>
        <v/>
      </c>
    </row>
    <row r="461" spans="1:8" x14ac:dyDescent="0.25">
      <c r="A461" s="1947" t="s">
        <v>3153</v>
      </c>
      <c r="B461" s="1947" t="s">
        <v>2709</v>
      </c>
      <c r="C461" s="1947" t="s">
        <v>2201</v>
      </c>
      <c r="D461" s="1948">
        <v>2923.52</v>
      </c>
      <c r="E461" s="1947">
        <v>0</v>
      </c>
      <c r="F461" s="1948">
        <v>2923.52</v>
      </c>
      <c r="G461" s="1947"/>
      <c r="H461" s="1949" t="str">
        <f>IFERROR(IF(F461&gt;=VLOOKUP(A461,[1]Materiality!$I$6:$J$12,2,TRUE),IFERROR(IF(VLOOKUP("*CR",F461,1,FALSE)&gt;=0,"",VLOOKUP("*CR",F461,1,FALSE)),F461),""),"")</f>
        <v/>
      </c>
    </row>
    <row r="462" spans="1:8" x14ac:dyDescent="0.25">
      <c r="A462" s="1947" t="s">
        <v>3154</v>
      </c>
      <c r="B462" s="1947" t="s">
        <v>2778</v>
      </c>
      <c r="C462" s="1947" t="s">
        <v>2429</v>
      </c>
      <c r="D462" s="1948">
        <v>146788.82</v>
      </c>
      <c r="E462" s="1947">
        <v>0</v>
      </c>
      <c r="F462" s="1948">
        <v>146788.82</v>
      </c>
      <c r="G462" s="1947"/>
      <c r="H462" s="1949" t="str">
        <f>IFERROR(IF(F462&gt;=VLOOKUP(A462,[1]Materiality!$I$6:$J$12,2,TRUE),IFERROR(IF(VLOOKUP("*CR",F462,1,FALSE)&gt;=0,"",VLOOKUP("*CR",F462,1,FALSE)),F462),""),"")</f>
        <v/>
      </c>
    </row>
    <row r="463" spans="1:8" x14ac:dyDescent="0.25">
      <c r="A463" s="1947" t="s">
        <v>2963</v>
      </c>
      <c r="B463" s="1947" t="s">
        <v>2706</v>
      </c>
      <c r="C463" s="1947" t="s">
        <v>2430</v>
      </c>
      <c r="D463" s="1948">
        <v>4676.88</v>
      </c>
      <c r="E463" s="1947">
        <v>0</v>
      </c>
      <c r="F463" s="1948">
        <v>4676.88</v>
      </c>
      <c r="G463" s="1947"/>
      <c r="H463" s="1949" t="str">
        <f>IFERROR(IF(F463&gt;=VLOOKUP(A463,[1]Materiality!$I$6:$J$12,2,TRUE),IFERROR(IF(VLOOKUP("*CR",F463,1,FALSE)&gt;=0,"",VLOOKUP("*CR",F463,1,FALSE)),F463),""),"")</f>
        <v/>
      </c>
    </row>
    <row r="464" spans="1:8" x14ac:dyDescent="0.25">
      <c r="A464" s="1947" t="s">
        <v>3397</v>
      </c>
      <c r="B464" s="1947" t="s">
        <v>2706</v>
      </c>
      <c r="C464" s="1947" t="s">
        <v>2215</v>
      </c>
      <c r="D464" s="1947">
        <v>528.92999999999995</v>
      </c>
      <c r="E464" s="1947">
        <v>0</v>
      </c>
      <c r="F464" s="1947">
        <v>528.92999999999995</v>
      </c>
      <c r="G464" s="1947"/>
      <c r="H464" s="1949" t="str">
        <f>IFERROR(IF(F464&gt;=VLOOKUP(A464,[1]Materiality!$I$6:$J$12,2,TRUE),IFERROR(IF(VLOOKUP("*CR",F464,1,FALSE)&gt;=0,"",VLOOKUP("*CR",F464,1,FALSE)),F464),""),"")</f>
        <v/>
      </c>
    </row>
    <row r="465" spans="1:8" x14ac:dyDescent="0.25">
      <c r="A465" s="1947" t="s">
        <v>2965</v>
      </c>
      <c r="B465" s="1947" t="s">
        <v>2706</v>
      </c>
      <c r="C465" s="1947" t="s">
        <v>2215</v>
      </c>
      <c r="D465" s="1947">
        <v>34.07</v>
      </c>
      <c r="E465" s="1947">
        <v>0</v>
      </c>
      <c r="F465" s="1947">
        <v>34.07</v>
      </c>
      <c r="G465" s="1947"/>
      <c r="H465" s="1949" t="str">
        <f>IFERROR(IF(F465&gt;=VLOOKUP(A465,[1]Materiality!$I$6:$J$12,2,TRUE),IFERROR(IF(VLOOKUP("*CR",F465,1,FALSE)&gt;=0,"",VLOOKUP("*CR",F465,1,FALSE)),F465),""),"")</f>
        <v/>
      </c>
    </row>
    <row r="466" spans="1:8" x14ac:dyDescent="0.25">
      <c r="A466" s="1947" t="s">
        <v>2966</v>
      </c>
      <c r="B466" s="1947" t="s">
        <v>2706</v>
      </c>
      <c r="C466" s="1947" t="s">
        <v>2219</v>
      </c>
      <c r="D466" s="1947">
        <v>103.38</v>
      </c>
      <c r="E466" s="1947">
        <v>0</v>
      </c>
      <c r="F466" s="1947">
        <v>103.38</v>
      </c>
      <c r="G466" s="1947"/>
      <c r="H466" s="1949" t="str">
        <f>IFERROR(IF(F466&gt;=VLOOKUP(A466,[1]Materiality!$I$6:$J$12,2,TRUE),IFERROR(IF(VLOOKUP("*CR",F466,1,FALSE)&gt;=0,"",VLOOKUP("*CR",F466,1,FALSE)),F466),""),"")</f>
        <v/>
      </c>
    </row>
    <row r="467" spans="1:8" x14ac:dyDescent="0.25">
      <c r="A467" s="1947" t="s">
        <v>3399</v>
      </c>
      <c r="B467" s="1947" t="s">
        <v>2724</v>
      </c>
      <c r="C467" s="1947" t="s">
        <v>2431</v>
      </c>
      <c r="D467" s="1948">
        <v>28125</v>
      </c>
      <c r="E467" s="1947">
        <v>0</v>
      </c>
      <c r="F467" s="1948">
        <v>28125</v>
      </c>
      <c r="G467" s="1947"/>
      <c r="H467" s="1949" t="str">
        <f>IFERROR(IF(F467&gt;=VLOOKUP(A467,[1]Materiality!$I$6:$J$12,2,TRUE),IFERROR(IF(VLOOKUP("*CR",F467,1,FALSE)&gt;=0,"",VLOOKUP("*CR",F467,1,FALSE)),F467),""),"")</f>
        <v/>
      </c>
    </row>
    <row r="468" spans="1:8" x14ac:dyDescent="0.25">
      <c r="A468" s="1947" t="s">
        <v>3155</v>
      </c>
      <c r="B468" s="1947" t="s">
        <v>2698</v>
      </c>
      <c r="C468" s="1947" t="s">
        <v>2432</v>
      </c>
      <c r="D468" s="1948">
        <v>20690.32</v>
      </c>
      <c r="E468" s="1947">
        <v>0</v>
      </c>
      <c r="F468" s="1948">
        <v>20690.32</v>
      </c>
      <c r="G468" s="1947"/>
      <c r="H468" s="1949" t="str">
        <f>IFERROR(IF(F468&gt;=VLOOKUP(A468,[1]Materiality!$I$6:$J$12,2,TRUE),IFERROR(IF(VLOOKUP("*CR",F468,1,FALSE)&gt;=0,"",VLOOKUP("*CR",F468,1,FALSE)),F468),""),"")</f>
        <v/>
      </c>
    </row>
    <row r="469" spans="1:8" x14ac:dyDescent="0.25">
      <c r="A469" s="1947" t="s">
        <v>3155</v>
      </c>
      <c r="B469" s="1947" t="s">
        <v>2706</v>
      </c>
      <c r="C469" s="1947" t="s">
        <v>2225</v>
      </c>
      <c r="D469" s="1947">
        <v>393.75</v>
      </c>
      <c r="E469" s="1947">
        <v>0</v>
      </c>
      <c r="F469" s="1947">
        <v>393.75</v>
      </c>
      <c r="G469" s="1947"/>
      <c r="H469" s="1949" t="str">
        <f>IFERROR(IF(F469&gt;=VLOOKUP(A469,[1]Materiality!$I$6:$J$12,2,TRUE),IFERROR(IF(VLOOKUP("*CR",F469,1,FALSE)&gt;=0,"",VLOOKUP("*CR",F469,1,FALSE)),F469),""),"")</f>
        <v/>
      </c>
    </row>
    <row r="470" spans="1:8" x14ac:dyDescent="0.25">
      <c r="A470" s="1947" t="s">
        <v>3156</v>
      </c>
      <c r="B470" s="1947" t="s">
        <v>2706</v>
      </c>
      <c r="C470" s="1947" t="s">
        <v>2373</v>
      </c>
      <c r="D470" s="1947">
        <v>50</v>
      </c>
      <c r="E470" s="1947">
        <v>0</v>
      </c>
      <c r="F470" s="1947">
        <v>50</v>
      </c>
      <c r="G470" s="1947"/>
      <c r="H470" s="1949" t="str">
        <f>IFERROR(IF(F470&gt;=VLOOKUP(A470,[1]Materiality!$I$6:$J$12,2,TRUE),IFERROR(IF(VLOOKUP("*CR",F470,1,FALSE)&gt;=0,"",VLOOKUP("*CR",F470,1,FALSE)),F470),""),"")</f>
        <v/>
      </c>
    </row>
    <row r="471" spans="1:8" x14ac:dyDescent="0.25">
      <c r="A471" s="1947" t="s">
        <v>3157</v>
      </c>
      <c r="B471" s="1947" t="s">
        <v>2778</v>
      </c>
      <c r="C471" s="1947" t="s">
        <v>2433</v>
      </c>
      <c r="D471" s="1948">
        <v>101828.49</v>
      </c>
      <c r="E471" s="1947">
        <v>0</v>
      </c>
      <c r="F471" s="1948">
        <v>101828.49</v>
      </c>
      <c r="G471" s="1947"/>
      <c r="H471" s="1949" t="str">
        <f>IFERROR(IF(F471&gt;=VLOOKUP(A471,[1]Materiality!$I$6:$J$12,2,TRUE),IFERROR(IF(VLOOKUP("*CR",F471,1,FALSE)&gt;=0,"",VLOOKUP("*CR",F471,1,FALSE)),F471),""),"")</f>
        <v/>
      </c>
    </row>
    <row r="472" spans="1:8" x14ac:dyDescent="0.25">
      <c r="A472" s="1947" t="s">
        <v>3158</v>
      </c>
      <c r="B472" s="1947" t="s">
        <v>2724</v>
      </c>
      <c r="C472" s="1947" t="s">
        <v>2434</v>
      </c>
      <c r="D472" s="1948">
        <v>4812.5</v>
      </c>
      <c r="E472" s="1947">
        <v>0</v>
      </c>
      <c r="F472" s="1948">
        <v>4812.5</v>
      </c>
      <c r="G472" s="1947"/>
      <c r="H472" s="1949" t="str">
        <f>IFERROR(IF(F472&gt;=VLOOKUP(A472,[1]Materiality!$I$6:$J$12,2,TRUE),IFERROR(IF(VLOOKUP("*CR",F472,1,FALSE)&gt;=0,"",VLOOKUP("*CR",F472,1,FALSE)),F472),""),"")</f>
        <v/>
      </c>
    </row>
    <row r="473" spans="1:8" x14ac:dyDescent="0.25">
      <c r="A473" s="1947" t="s">
        <v>3159</v>
      </c>
      <c r="B473" s="1947" t="s">
        <v>2779</v>
      </c>
      <c r="C473" s="1947" t="s">
        <v>2435</v>
      </c>
      <c r="D473" s="1948">
        <v>29243.16</v>
      </c>
      <c r="E473" s="1947">
        <v>0</v>
      </c>
      <c r="F473" s="1948">
        <v>29243.16</v>
      </c>
      <c r="G473" s="1947"/>
      <c r="H473" s="1949" t="str">
        <f>IFERROR(IF(F473&gt;=VLOOKUP(A473,[1]Materiality!$I$6:$J$12,2,TRUE),IFERROR(IF(VLOOKUP("*CR",F473,1,FALSE)&gt;=0,"",VLOOKUP("*CR",F473,1,FALSE)),F473),""),"")</f>
        <v/>
      </c>
    </row>
    <row r="474" spans="1:8" x14ac:dyDescent="0.25">
      <c r="A474" s="1947" t="s">
        <v>3160</v>
      </c>
      <c r="B474" s="1947" t="s">
        <v>2721</v>
      </c>
      <c r="C474" s="1947" t="s">
        <v>2223</v>
      </c>
      <c r="D474" s="1948">
        <v>110192.35</v>
      </c>
      <c r="E474" s="1947">
        <v>0</v>
      </c>
      <c r="F474" s="1948">
        <v>110192.35</v>
      </c>
      <c r="G474" s="1947"/>
      <c r="H474" s="1949" t="str">
        <f>IFERROR(IF(F474&gt;=VLOOKUP(A474,[1]Materiality!$I$6:$J$12,2,TRUE),IFERROR(IF(VLOOKUP("*CR",F474,1,FALSE)&gt;=0,"",VLOOKUP("*CR",F474,1,FALSE)),F474),""),"")</f>
        <v/>
      </c>
    </row>
    <row r="475" spans="1:8" x14ac:dyDescent="0.25">
      <c r="A475" s="1947" t="s">
        <v>3400</v>
      </c>
      <c r="B475" s="1947" t="s">
        <v>2724</v>
      </c>
      <c r="C475" s="1947" t="s">
        <v>2436</v>
      </c>
      <c r="D475" s="1948">
        <v>1453.6</v>
      </c>
      <c r="E475" s="1947">
        <v>0</v>
      </c>
      <c r="F475" s="1948">
        <v>1453.6</v>
      </c>
      <c r="G475" s="1947"/>
      <c r="H475" s="1949" t="str">
        <f>IFERROR(IF(F475&gt;=VLOOKUP(A475,[1]Materiality!$I$6:$J$12,2,TRUE),IFERROR(IF(VLOOKUP("*CR",F475,1,FALSE)&gt;=0,"",VLOOKUP("*CR",F475,1,FALSE)),F475),""),"")</f>
        <v/>
      </c>
    </row>
    <row r="476" spans="1:8" x14ac:dyDescent="0.25">
      <c r="A476" s="1947" t="s">
        <v>3161</v>
      </c>
      <c r="B476" s="1947" t="s">
        <v>2724</v>
      </c>
      <c r="C476" s="1947" t="s">
        <v>2431</v>
      </c>
      <c r="D476" s="1948">
        <v>8790</v>
      </c>
      <c r="E476" s="1947">
        <v>0</v>
      </c>
      <c r="F476" s="1948">
        <v>8790</v>
      </c>
      <c r="G476" s="1947"/>
      <c r="H476" s="1949" t="str">
        <f>IFERROR(IF(F476&gt;=VLOOKUP(A476,[1]Materiality!$I$6:$J$12,2,TRUE),IFERROR(IF(VLOOKUP("*CR",F476,1,FALSE)&gt;=0,"",VLOOKUP("*CR",F476,1,FALSE)),F476),""),"")</f>
        <v/>
      </c>
    </row>
    <row r="477" spans="1:8" x14ac:dyDescent="0.25">
      <c r="A477" s="1947" t="s">
        <v>3162</v>
      </c>
      <c r="B477" s="1947" t="s">
        <v>2780</v>
      </c>
      <c r="C477" s="1947" t="s">
        <v>2437</v>
      </c>
      <c r="D477" s="1948">
        <v>271877.78999999998</v>
      </c>
      <c r="E477" s="1947">
        <v>0</v>
      </c>
      <c r="F477" s="1948">
        <v>271877.78999999998</v>
      </c>
      <c r="G477" s="1947"/>
      <c r="H477" s="1949" t="str">
        <f>IFERROR(IF(F477&gt;=VLOOKUP(A477,[1]Materiality!$I$6:$J$12,2,TRUE),IFERROR(IF(VLOOKUP("*CR",F477,1,FALSE)&gt;=0,"",VLOOKUP("*CR",F477,1,FALSE)),F477),""),"")</f>
        <v/>
      </c>
    </row>
    <row r="478" spans="1:8" x14ac:dyDescent="0.25">
      <c r="A478" s="1947" t="s">
        <v>1038</v>
      </c>
      <c r="B478" s="1947"/>
      <c r="C478" s="1947"/>
      <c r="D478" s="1947"/>
      <c r="E478" s="1947"/>
      <c r="F478" s="1947"/>
      <c r="G478" s="1947"/>
      <c r="H478" s="1949" t="str">
        <f>IFERROR(IF(F478&gt;=VLOOKUP(A478,[1]Materiality!$I$6:$J$12,2,TRUE),IFERROR(IF(VLOOKUP("*CR",F478,1,FALSE)&gt;=0,"",VLOOKUP("*CR",F478,1,FALSE)),F478),""),"")</f>
        <v/>
      </c>
    </row>
    <row r="479" spans="1:8" x14ac:dyDescent="0.25">
      <c r="A479" s="1952" t="s">
        <v>2852</v>
      </c>
      <c r="B479" s="1952" t="s">
        <v>2781</v>
      </c>
      <c r="C479" s="1947" t="s">
        <v>2438</v>
      </c>
      <c r="D479" s="1948">
        <v>14865147.27</v>
      </c>
      <c r="E479" s="1948">
        <v>898625.33</v>
      </c>
      <c r="F479" s="1948">
        <v>13966521.939999999</v>
      </c>
      <c r="G479" s="1947"/>
      <c r="H479" s="1949" t="str">
        <f>IFERROR(IF(F479&gt;=VLOOKUP(A479,[1]Materiality!$I$6:$J$12,2,TRUE),IFERROR(IF(VLOOKUP("*CR",F479,1,FALSE)&gt;=0,"",VLOOKUP("*CR",F479,1,FALSE)),F479),""),"")</f>
        <v/>
      </c>
    </row>
    <row r="480" spans="1:8" x14ac:dyDescent="0.25">
      <c r="A480" s="1947" t="s">
        <v>1038</v>
      </c>
      <c r="B480" s="1947"/>
      <c r="C480" s="1947"/>
      <c r="D480" s="1947"/>
      <c r="E480" s="1947"/>
      <c r="F480" s="1947"/>
      <c r="G480" s="1947"/>
      <c r="H480" s="1949" t="str">
        <f>IFERROR(IF(F480&gt;=VLOOKUP(A480,[1]Materiality!$I$6:$J$12,2,TRUE),IFERROR(IF(VLOOKUP("*CR",F480,1,FALSE)&gt;=0,"",VLOOKUP("*CR",F480,1,FALSE)),F480),""),"")</f>
        <v/>
      </c>
    </row>
    <row r="481" spans="1:8" x14ac:dyDescent="0.25">
      <c r="A481" s="1952" t="s">
        <v>2852</v>
      </c>
      <c r="B481" s="1952" t="s">
        <v>2782</v>
      </c>
      <c r="C481" s="1947" t="s">
        <v>2439</v>
      </c>
      <c r="D481" s="1948">
        <v>15272651.35</v>
      </c>
      <c r="E481" s="1948">
        <v>16176742.4</v>
      </c>
      <c r="F481" s="1948">
        <v>904091.05</v>
      </c>
      <c r="G481" s="1947"/>
      <c r="H481" s="1949" t="str">
        <f>IFERROR(IF(F481&gt;=VLOOKUP(A481,[1]Materiality!$I$6:$J$12,2,TRUE),IFERROR(IF(VLOOKUP("*CR",F481,1,FALSE)&gt;=0,"",VLOOKUP("*CR",F481,1,FALSE)),F481),""),"")</f>
        <v/>
      </c>
    </row>
    <row r="482" spans="1:8" x14ac:dyDescent="0.25">
      <c r="A482" s="1947" t="s">
        <v>1038</v>
      </c>
      <c r="B482" s="1947"/>
      <c r="C482" s="1947"/>
      <c r="D482" s="1947"/>
      <c r="E482" s="1947"/>
      <c r="F482" s="1947"/>
      <c r="G482" s="1947"/>
      <c r="H482" s="1949" t="str">
        <f>IFERROR(IF(F482&gt;=VLOOKUP(A482,[1]Materiality!$I$6:$J$12,2,TRUE),IFERROR(IF(VLOOKUP("*CR",F482,1,FALSE)&gt;=0,"",VLOOKUP("*CR",F482,1,FALSE)),F482),""),"")</f>
        <v/>
      </c>
    </row>
    <row r="483" spans="1:8" x14ac:dyDescent="0.25">
      <c r="A483" s="1947" t="s">
        <v>1038</v>
      </c>
      <c r="B483" s="1947"/>
      <c r="C483" s="1947"/>
      <c r="D483" s="1947"/>
      <c r="E483" s="1947"/>
      <c r="F483" s="1947"/>
      <c r="G483" s="1947"/>
      <c r="H483" s="1949" t="str">
        <f>IFERROR(IF(F483&gt;=VLOOKUP(A483,[1]Materiality!$I$6:$J$12,2,TRUE),IFERROR(IF(VLOOKUP("*CR",F483,1,FALSE)&gt;=0,"",VLOOKUP("*CR",F483,1,FALSE)),F483),""),"")</f>
        <v/>
      </c>
    </row>
    <row r="484" spans="1:8" x14ac:dyDescent="0.25">
      <c r="A484" s="1952" t="s">
        <v>2853</v>
      </c>
      <c r="B484" s="1952" t="s">
        <v>2783</v>
      </c>
      <c r="C484" s="1947" t="s">
        <v>2131</v>
      </c>
      <c r="D484" s="1948">
        <v>62505101.609999999</v>
      </c>
      <c r="E484" s="1948">
        <v>62505101.609999999</v>
      </c>
      <c r="F484" s="1947">
        <v>0</v>
      </c>
      <c r="G484" s="1947">
        <v>0</v>
      </c>
      <c r="H484" s="1949" t="str">
        <f>IFERROR(IF(F484&gt;=VLOOKUP(A484,[1]Materiality!$I$6:$J$12,2,TRUE),IFERROR(IF(VLOOKUP("*CR",F484,1,FALSE)&gt;=0,"",VLOOKUP("*CR",F484,1,FALSE)),F484),""),"")</f>
        <v/>
      </c>
    </row>
    <row r="485" spans="1:8" x14ac:dyDescent="0.25">
      <c r="A485" s="1952" t="s">
        <v>2853</v>
      </c>
      <c r="B485" s="1952" t="s">
        <v>2784</v>
      </c>
      <c r="C485" s="1947" t="s">
        <v>2439</v>
      </c>
      <c r="D485" s="1948">
        <v>15272651.35</v>
      </c>
      <c r="E485" s="1948">
        <v>16176742.4</v>
      </c>
      <c r="F485" s="1948">
        <v>904091.05</v>
      </c>
      <c r="G485" s="1947"/>
      <c r="H485" s="1949" t="str">
        <f>IFERROR(IF(F485&gt;=VLOOKUP(A485,[1]Materiality!$I$6:$J$12,2,TRUE),IFERROR(IF(VLOOKUP("*CR",F485,1,FALSE)&gt;=0,"",VLOOKUP("*CR",F485,1,FALSE)),F485),""),"")</f>
        <v/>
      </c>
    </row>
    <row r="486" spans="1:8" x14ac:dyDescent="0.25">
      <c r="A486" s="1951" t="s">
        <v>1038</v>
      </c>
      <c r="H486" s="1949" t="str">
        <f>IFERROR(IF(F486&gt;=VLOOKUP(A486,[1]Materiality!$I$6:$J$12,2,TRUE),IFERROR(IF(VLOOKUP("*CR",F486,1,FALSE)&gt;=0,"",VLOOKUP("*CR",F486,1,FALSE)),F486),""),"")</f>
        <v/>
      </c>
    </row>
    <row r="487" spans="1:8" x14ac:dyDescent="0.25">
      <c r="A487" s="1947" t="s">
        <v>3163</v>
      </c>
      <c r="B487" s="1947" t="s">
        <v>2698</v>
      </c>
      <c r="C487" s="1947" t="s">
        <v>2440</v>
      </c>
      <c r="D487" s="1948">
        <v>2609583.58</v>
      </c>
      <c r="E487" s="1948">
        <v>2548765.7799999998</v>
      </c>
      <c r="F487" s="1948">
        <v>60817.8</v>
      </c>
      <c r="G487" s="1948">
        <v>97977.81</v>
      </c>
      <c r="H487" s="1949" t="str">
        <f>IFERROR(IF(F487&gt;=VLOOKUP(A487,[1]Materiality!$I$6:$J$12,2,TRUE),IFERROR(IF(VLOOKUP("*CR",F487,1,FALSE)&gt;=0,"",VLOOKUP("*CR",F487,1,FALSE)),F487),""),"")</f>
        <v/>
      </c>
    </row>
    <row r="488" spans="1:8" x14ac:dyDescent="0.25">
      <c r="A488" s="1947" t="s">
        <v>3164</v>
      </c>
      <c r="B488" s="1947" t="s">
        <v>2698</v>
      </c>
      <c r="C488" s="1947" t="s">
        <v>2441</v>
      </c>
      <c r="D488" s="1948">
        <v>9428.01</v>
      </c>
      <c r="E488" s="1948">
        <v>12152.27</v>
      </c>
      <c r="F488" s="1948">
        <v>2724.26</v>
      </c>
      <c r="G488" s="1947">
        <v>125.06</v>
      </c>
      <c r="H488" s="1949" t="str">
        <f>IFERROR(IF(F488&gt;=VLOOKUP(A488,[1]Materiality!$I$6:$J$12,2,TRUE),IFERROR(IF(VLOOKUP("*CR",F488,1,FALSE)&gt;=0,"",VLOOKUP("*CR",F488,1,FALSE)),F488),""),"")</f>
        <v/>
      </c>
    </row>
    <row r="489" spans="1:8" x14ac:dyDescent="0.25">
      <c r="A489" s="1947" t="s">
        <v>3165</v>
      </c>
      <c r="B489" s="1947" t="s">
        <v>2698</v>
      </c>
      <c r="C489" s="1947" t="s">
        <v>2442</v>
      </c>
      <c r="D489" s="1947">
        <v>0</v>
      </c>
      <c r="E489" s="1947">
        <v>0</v>
      </c>
      <c r="F489" s="1947">
        <v>0</v>
      </c>
      <c r="G489" s="1948">
        <v>5503.75</v>
      </c>
      <c r="H489" s="1949" t="str">
        <f>IFERROR(IF(F489&gt;=VLOOKUP(A489,[1]Materiality!$I$6:$J$12,2,TRUE),IFERROR(IF(VLOOKUP("*CR",F489,1,FALSE)&gt;=0,"",VLOOKUP("*CR",F489,1,FALSE)),F489),""),"")</f>
        <v/>
      </c>
    </row>
    <row r="490" spans="1:8" x14ac:dyDescent="0.25">
      <c r="A490" s="1947" t="s">
        <v>3166</v>
      </c>
      <c r="B490" s="1947" t="s">
        <v>2698</v>
      </c>
      <c r="C490" s="1947" t="s">
        <v>2443</v>
      </c>
      <c r="D490" s="1947">
        <v>3.19</v>
      </c>
      <c r="E490" s="1947">
        <v>0</v>
      </c>
      <c r="F490" s="1947">
        <v>3.19</v>
      </c>
      <c r="G490" s="1948">
        <v>3032.83</v>
      </c>
      <c r="H490" s="1949" t="str">
        <f>IFERROR(IF(F490&gt;=VLOOKUP(A490,[1]Materiality!$I$6:$J$12,2,TRUE),IFERROR(IF(VLOOKUP("*CR",F490,1,FALSE)&gt;=0,"",VLOOKUP("*CR",F490,1,FALSE)),F490),""),"")</f>
        <v/>
      </c>
    </row>
    <row r="491" spans="1:8" x14ac:dyDescent="0.25">
      <c r="A491" s="1947" t="s">
        <v>3167</v>
      </c>
      <c r="B491" s="1947" t="s">
        <v>2698</v>
      </c>
      <c r="C491" s="1947" t="s">
        <v>2444</v>
      </c>
      <c r="D491" s="1948">
        <v>8530</v>
      </c>
      <c r="E491" s="1948">
        <v>8830.25</v>
      </c>
      <c r="F491" s="1947">
        <v>300.25</v>
      </c>
      <c r="G491" s="1948">
        <v>8679.75</v>
      </c>
      <c r="H491" s="1949" t="str">
        <f>IFERROR(IF(F491&gt;=VLOOKUP(A491,[1]Materiality!$I$6:$J$12,2,TRUE),IFERROR(IF(VLOOKUP("*CR",F491,1,FALSE)&gt;=0,"",VLOOKUP("*CR",F491,1,FALSE)),F491),""),"")</f>
        <v/>
      </c>
    </row>
    <row r="492" spans="1:8" x14ac:dyDescent="0.25">
      <c r="A492" s="1947" t="s">
        <v>3168</v>
      </c>
      <c r="B492" s="1947" t="s">
        <v>2698</v>
      </c>
      <c r="C492" s="1947" t="s">
        <v>2445</v>
      </c>
      <c r="D492" s="1948">
        <v>754266.12</v>
      </c>
      <c r="E492" s="1948">
        <v>549000</v>
      </c>
      <c r="F492" s="1948">
        <v>205266.12</v>
      </c>
      <c r="G492" s="1948">
        <v>457898.86</v>
      </c>
      <c r="H492" s="1949">
        <f>IFERROR(IF(F492&gt;=VLOOKUP(A492,[1]Materiality!$I$6:$J$12,2,TRUE),IFERROR(IF(VLOOKUP("*CR",F492,1,FALSE)&gt;=0,"",VLOOKUP("*CR",F492,1,FALSE)),F492),""),"")</f>
        <v>205266.12</v>
      </c>
    </row>
    <row r="493" spans="1:8" x14ac:dyDescent="0.25">
      <c r="A493" s="1947" t="s">
        <v>3169</v>
      </c>
      <c r="B493" s="1947" t="s">
        <v>2698</v>
      </c>
      <c r="C493" s="1947" t="s">
        <v>2446</v>
      </c>
      <c r="D493" s="1948">
        <v>807214.9</v>
      </c>
      <c r="E493" s="1948">
        <v>807214.9</v>
      </c>
      <c r="F493" s="1947">
        <v>0</v>
      </c>
      <c r="G493" s="1947">
        <v>0</v>
      </c>
      <c r="H493" s="1949" t="str">
        <f>IFERROR(IF(F493&gt;=VLOOKUP(A493,[1]Materiality!$I$6:$J$12,2,TRUE),IFERROR(IF(VLOOKUP("*CR",F493,1,FALSE)&gt;=0,"",VLOOKUP("*CR",F493,1,FALSE)),F493),""),"")</f>
        <v/>
      </c>
    </row>
    <row r="494" spans="1:8" x14ac:dyDescent="0.25">
      <c r="A494" s="1947" t="s">
        <v>3170</v>
      </c>
      <c r="B494" s="1947" t="s">
        <v>2698</v>
      </c>
      <c r="C494" s="1947" t="s">
        <v>2447</v>
      </c>
      <c r="D494" s="1948">
        <v>69769.75</v>
      </c>
      <c r="E494" s="1948">
        <v>69769.75</v>
      </c>
      <c r="F494" s="1947">
        <v>0</v>
      </c>
      <c r="G494" s="1947">
        <v>0</v>
      </c>
      <c r="H494" s="1949" t="str">
        <f>IFERROR(IF(F494&gt;=VLOOKUP(A494,[1]Materiality!$I$6:$J$12,2,TRUE),IFERROR(IF(VLOOKUP("*CR",F494,1,FALSE)&gt;=0,"",VLOOKUP("*CR",F494,1,FALSE)),F494),""),"")</f>
        <v/>
      </c>
    </row>
    <row r="495" spans="1:8" x14ac:dyDescent="0.25">
      <c r="A495" s="1947" t="s">
        <v>3171</v>
      </c>
      <c r="B495" s="1947" t="s">
        <v>2698</v>
      </c>
      <c r="C495" s="1947" t="s">
        <v>2448</v>
      </c>
      <c r="D495" s="1948">
        <v>30174.78</v>
      </c>
      <c r="E495" s="1948">
        <v>30174.78</v>
      </c>
      <c r="F495" s="1947">
        <v>0</v>
      </c>
      <c r="G495" s="1947">
        <v>0</v>
      </c>
      <c r="H495" s="1949" t="str">
        <f>IFERROR(IF(F495&gt;=VLOOKUP(A495,[1]Materiality!$I$6:$J$12,2,TRUE),IFERROR(IF(VLOOKUP("*CR",F495,1,FALSE)&gt;=0,"",VLOOKUP("*CR",F495,1,FALSE)),F495),""),"")</f>
        <v/>
      </c>
    </row>
    <row r="496" spans="1:8" x14ac:dyDescent="0.25">
      <c r="A496" s="1947" t="s">
        <v>3172</v>
      </c>
      <c r="B496" s="1947" t="s">
        <v>2698</v>
      </c>
      <c r="C496" s="1947" t="s">
        <v>2449</v>
      </c>
      <c r="D496" s="1948">
        <v>32518.92</v>
      </c>
      <c r="E496" s="1948">
        <v>32518.92</v>
      </c>
      <c r="F496" s="1947">
        <v>0</v>
      </c>
      <c r="G496" s="1947">
        <v>0</v>
      </c>
      <c r="H496" s="1949" t="str">
        <f>IFERROR(IF(F496&gt;=VLOOKUP(A496,[1]Materiality!$I$6:$J$12,2,TRUE),IFERROR(IF(VLOOKUP("*CR",F496,1,FALSE)&gt;=0,"",VLOOKUP("*CR",F496,1,FALSE)),F496),""),"")</f>
        <v/>
      </c>
    </row>
    <row r="497" spans="1:8" x14ac:dyDescent="0.25">
      <c r="A497" s="1947" t="s">
        <v>3173</v>
      </c>
      <c r="B497" s="1947" t="s">
        <v>2698</v>
      </c>
      <c r="C497" s="1947" t="s">
        <v>2450</v>
      </c>
      <c r="D497" s="1948">
        <v>18769.68</v>
      </c>
      <c r="E497" s="1948">
        <v>18769.68</v>
      </c>
      <c r="F497" s="1947">
        <v>0</v>
      </c>
      <c r="G497" s="1947">
        <v>0</v>
      </c>
      <c r="H497" s="1949" t="str">
        <f>IFERROR(IF(F497&gt;=VLOOKUP(A497,[1]Materiality!$I$6:$J$12,2,TRUE),IFERROR(IF(VLOOKUP("*CR",F497,1,FALSE)&gt;=0,"",VLOOKUP("*CR",F497,1,FALSE)),F497),""),"")</f>
        <v/>
      </c>
    </row>
    <row r="498" spans="1:8" x14ac:dyDescent="0.25">
      <c r="A498" s="1947" t="s">
        <v>3174</v>
      </c>
      <c r="B498" s="1947" t="s">
        <v>2698</v>
      </c>
      <c r="C498" s="1947" t="s">
        <v>2451</v>
      </c>
      <c r="D498" s="1948">
        <v>2516.83</v>
      </c>
      <c r="E498" s="1948">
        <v>2595.09</v>
      </c>
      <c r="F498" s="1947">
        <v>78.260000000000005</v>
      </c>
      <c r="G498" s="1947" t="s">
        <v>2452</v>
      </c>
      <c r="H498" s="1949" t="str">
        <f>IFERROR(IF(F498&gt;=VLOOKUP(A498,[1]Materiality!$I$6:$J$12,2,TRUE),IFERROR(IF(VLOOKUP("*CR",F498,1,FALSE)&gt;=0,"",VLOOKUP("*CR",F498,1,FALSE)),F498),""),"")</f>
        <v/>
      </c>
    </row>
    <row r="499" spans="1:8" x14ac:dyDescent="0.25">
      <c r="A499" s="1947" t="s">
        <v>3175</v>
      </c>
      <c r="B499" s="1947" t="s">
        <v>2698</v>
      </c>
      <c r="C499" s="1947" t="s">
        <v>2453</v>
      </c>
      <c r="D499" s="1948">
        <v>42117.55</v>
      </c>
      <c r="E499" s="1948">
        <v>42117.55</v>
      </c>
      <c r="F499" s="1947">
        <v>0</v>
      </c>
      <c r="G499" s="1947">
        <v>0</v>
      </c>
      <c r="H499" s="1949" t="str">
        <f>IFERROR(IF(F499&gt;=VLOOKUP(A499,[1]Materiality!$I$6:$J$12,2,TRUE),IFERROR(IF(VLOOKUP("*CR",F499,1,FALSE)&gt;=0,"",VLOOKUP("*CR",F499,1,FALSE)),F499),""),"")</f>
        <v/>
      </c>
    </row>
    <row r="500" spans="1:8" x14ac:dyDescent="0.25">
      <c r="A500" s="1947" t="s">
        <v>3176</v>
      </c>
      <c r="B500" s="1947" t="s">
        <v>2698</v>
      </c>
      <c r="C500" s="1947" t="s">
        <v>2454</v>
      </c>
      <c r="D500" s="1948">
        <v>10026.469999999999</v>
      </c>
      <c r="E500" s="1948">
        <v>10026.469999999999</v>
      </c>
      <c r="F500" s="1947">
        <v>0</v>
      </c>
      <c r="G500" s="1947">
        <v>0</v>
      </c>
      <c r="H500" s="1949" t="str">
        <f>IFERROR(IF(F500&gt;=VLOOKUP(A500,[1]Materiality!$I$6:$J$12,2,TRUE),IFERROR(IF(VLOOKUP("*CR",F500,1,FALSE)&gt;=0,"",VLOOKUP("*CR",F500,1,FALSE)),F500),""),"")</f>
        <v/>
      </c>
    </row>
    <row r="501" spans="1:8" x14ac:dyDescent="0.25">
      <c r="A501" s="1947" t="s">
        <v>3177</v>
      </c>
      <c r="B501" s="1947" t="s">
        <v>2698</v>
      </c>
      <c r="C501" s="1947" t="s">
        <v>2455</v>
      </c>
      <c r="D501" s="1948">
        <v>738909.77</v>
      </c>
      <c r="E501" s="1948">
        <v>738909.77</v>
      </c>
      <c r="F501" s="1947">
        <v>0</v>
      </c>
      <c r="G501" s="1947">
        <v>0</v>
      </c>
      <c r="H501" s="1949" t="str">
        <f>IFERROR(IF(F501&gt;=VLOOKUP(A501,[1]Materiality!$I$6:$J$12,2,TRUE),IFERROR(IF(VLOOKUP("*CR",F501,1,FALSE)&gt;=0,"",VLOOKUP("*CR",F501,1,FALSE)),F501),""),"")</f>
        <v/>
      </c>
    </row>
    <row r="502" spans="1:8" x14ac:dyDescent="0.25">
      <c r="A502" s="1947" t="s">
        <v>3178</v>
      </c>
      <c r="B502" s="1947" t="s">
        <v>2698</v>
      </c>
      <c r="C502" s="1947" t="s">
        <v>2456</v>
      </c>
      <c r="D502" s="1948">
        <v>5587.39</v>
      </c>
      <c r="E502" s="1948">
        <v>5542.67</v>
      </c>
      <c r="F502" s="1947">
        <v>44.72</v>
      </c>
      <c r="G502" s="1947">
        <v>43.78</v>
      </c>
      <c r="H502" s="1949" t="str">
        <f>IFERROR(IF(F502&gt;=VLOOKUP(A502,[1]Materiality!$I$6:$J$12,2,TRUE),IFERROR(IF(VLOOKUP("*CR",F502,1,FALSE)&gt;=0,"",VLOOKUP("*CR",F502,1,FALSE)),F502),""),"")</f>
        <v/>
      </c>
    </row>
    <row r="503" spans="1:8" x14ac:dyDescent="0.25">
      <c r="A503" s="1947" t="s">
        <v>3179</v>
      </c>
      <c r="B503" s="1947" t="s">
        <v>2698</v>
      </c>
      <c r="C503" s="1947" t="s">
        <v>2444</v>
      </c>
      <c r="D503" s="1948">
        <v>43671.18</v>
      </c>
      <c r="E503" s="1948">
        <v>43387.8</v>
      </c>
      <c r="F503" s="1947">
        <v>283.38</v>
      </c>
      <c r="G503" s="1947">
        <v>0</v>
      </c>
      <c r="H503" s="1949" t="str">
        <f>IFERROR(IF(F503&gt;=VLOOKUP(A503,[1]Materiality!$I$6:$J$12,2,TRUE),IFERROR(IF(VLOOKUP("*CR",F503,1,FALSE)&gt;=0,"",VLOOKUP("*CR",F503,1,FALSE)),F503),""),"")</f>
        <v/>
      </c>
    </row>
    <row r="504" spans="1:8" x14ac:dyDescent="0.25">
      <c r="A504" s="1947" t="s">
        <v>3180</v>
      </c>
      <c r="B504" s="1947" t="s">
        <v>2698</v>
      </c>
      <c r="C504" s="1947" t="s">
        <v>2457</v>
      </c>
      <c r="D504" s="1948">
        <v>22450.61</v>
      </c>
      <c r="E504" s="1948">
        <v>17485.43</v>
      </c>
      <c r="F504" s="1948">
        <v>4965.18</v>
      </c>
      <c r="G504" s="1948">
        <v>1474.08</v>
      </c>
      <c r="H504" s="1949" t="str">
        <f>IFERROR(IF(F504&gt;=VLOOKUP(A504,[1]Materiality!$I$6:$J$12,2,TRUE),IFERROR(IF(VLOOKUP("*CR",F504,1,FALSE)&gt;=0,"",VLOOKUP("*CR",F504,1,FALSE)),F504),""),"")</f>
        <v/>
      </c>
    </row>
    <row r="505" spans="1:8" x14ac:dyDescent="0.25">
      <c r="A505" s="1947" t="s">
        <v>2854</v>
      </c>
      <c r="B505" s="1947" t="s">
        <v>2699</v>
      </c>
      <c r="C505" s="1947" t="s">
        <v>2458</v>
      </c>
      <c r="D505" s="1948">
        <v>452547.78</v>
      </c>
      <c r="E505" s="1948">
        <v>452547.78</v>
      </c>
      <c r="F505" s="1947">
        <v>0</v>
      </c>
      <c r="G505" s="1947" t="s">
        <v>2459</v>
      </c>
      <c r="H505" s="1949" t="str">
        <f>IFERROR(IF(F505&gt;=VLOOKUP(A505,[1]Materiality!$I$6:$J$12,2,TRUE),IFERROR(IF(VLOOKUP("*CR",F505,1,FALSE)&gt;=0,"",VLOOKUP("*CR",F505,1,FALSE)),F505),""),"")</f>
        <v/>
      </c>
    </row>
    <row r="506" spans="1:8" x14ac:dyDescent="0.25">
      <c r="A506" s="1947" t="s">
        <v>2855</v>
      </c>
      <c r="B506" s="1947" t="s">
        <v>2699</v>
      </c>
      <c r="C506" s="1947" t="s">
        <v>2460</v>
      </c>
      <c r="D506" s="1948">
        <v>2042027.14</v>
      </c>
      <c r="E506" s="1948">
        <v>2310304.7599999998</v>
      </c>
      <c r="F506" s="1948">
        <v>268277.62</v>
      </c>
      <c r="G506" s="1947" t="s">
        <v>2461</v>
      </c>
      <c r="H506" s="1949">
        <f>IFERROR(IF(F506&gt;=VLOOKUP(A506,[1]Materiality!$I$6:$J$12,2,TRUE),IFERROR(IF(VLOOKUP("*CR",F506,1,FALSE)&gt;=0,"",VLOOKUP("*CR",F506,1,FALSE)),F506),""),"")</f>
        <v>268277.62</v>
      </c>
    </row>
    <row r="507" spans="1:8" x14ac:dyDescent="0.25">
      <c r="A507" s="1947" t="s">
        <v>1038</v>
      </c>
      <c r="B507" s="1947"/>
      <c r="C507" s="1947"/>
      <c r="D507" s="1947"/>
      <c r="E507" s="1947"/>
      <c r="F507" s="1947"/>
      <c r="G507" s="1947"/>
      <c r="H507" s="1949" t="str">
        <f>IFERROR(IF(F507&gt;=VLOOKUP(A507,[1]Materiality!$I$6:$J$12,2,TRUE),IFERROR(IF(VLOOKUP("*CR",F507,1,FALSE)&gt;=0,"",VLOOKUP("*CR",F507,1,FALSE)),F507),""),"")</f>
        <v/>
      </c>
    </row>
    <row r="508" spans="1:8" x14ac:dyDescent="0.25">
      <c r="A508" s="1952" t="s">
        <v>2852</v>
      </c>
      <c r="B508" s="1952" t="s">
        <v>2785</v>
      </c>
      <c r="C508" s="1947" t="s">
        <v>2462</v>
      </c>
      <c r="D508" s="1948">
        <v>7700113.6500000004</v>
      </c>
      <c r="E508" s="1948">
        <v>7700113.6500000004</v>
      </c>
      <c r="F508" s="1947">
        <v>0</v>
      </c>
      <c r="G508" s="1947">
        <v>0</v>
      </c>
      <c r="H508" s="1949" t="str">
        <f>IFERROR(IF(F508&gt;=VLOOKUP(A508,[1]Materiality!$I$6:$J$12,2,TRUE),IFERROR(IF(VLOOKUP("*CR",F508,1,FALSE)&gt;=0,"",VLOOKUP("*CR",F508,1,FALSE)),F508),""),"")</f>
        <v/>
      </c>
    </row>
    <row r="509" spans="1:8" x14ac:dyDescent="0.25">
      <c r="A509" s="1947" t="s">
        <v>1038</v>
      </c>
      <c r="B509" s="1947"/>
      <c r="C509" s="1947"/>
      <c r="D509" s="1947"/>
      <c r="E509" s="1947"/>
      <c r="F509" s="1947"/>
      <c r="G509" s="1947"/>
      <c r="H509" s="1949" t="str">
        <f>IFERROR(IF(F509&gt;=VLOOKUP(A509,[1]Materiality!$I$6:$J$12,2,TRUE),IFERROR(IF(VLOOKUP("*CR",F509,1,FALSE)&gt;=0,"",VLOOKUP("*CR",F509,1,FALSE)),F509),""),"")</f>
        <v/>
      </c>
    </row>
    <row r="510" spans="1:8" x14ac:dyDescent="0.25">
      <c r="A510" s="1947" t="s">
        <v>3181</v>
      </c>
      <c r="B510" s="1947" t="s">
        <v>2698</v>
      </c>
      <c r="C510" s="1947" t="s">
        <v>2463</v>
      </c>
      <c r="D510" s="1947">
        <v>0</v>
      </c>
      <c r="E510" s="1948">
        <v>1394306.19</v>
      </c>
      <c r="F510" s="1948">
        <v>1394306.19</v>
      </c>
      <c r="G510" s="1947"/>
      <c r="H510" s="1949">
        <f>IFERROR(IF(F510&gt;=VLOOKUP(A510,[1]Materiality!$I$6:$J$12,2,TRUE),IFERROR(IF(VLOOKUP("*CR",F510,1,FALSE)&gt;=0,"",VLOOKUP("*CR",F510,1,FALSE)),F510),""),"")</f>
        <v>1394306.19</v>
      </c>
    </row>
    <row r="511" spans="1:8" x14ac:dyDescent="0.25">
      <c r="A511" s="1947" t="s">
        <v>3182</v>
      </c>
      <c r="B511" s="1947" t="s">
        <v>2698</v>
      </c>
      <c r="C511" s="1947" t="s">
        <v>2463</v>
      </c>
      <c r="D511" s="1948">
        <v>39074.07</v>
      </c>
      <c r="E511" s="1948">
        <v>239074.07</v>
      </c>
      <c r="F511" s="1948">
        <v>200000</v>
      </c>
      <c r="G511" s="1947"/>
      <c r="H511" s="1949">
        <f>IFERROR(IF(F511&gt;=VLOOKUP(A511,[1]Materiality!$I$6:$J$12,2,TRUE),IFERROR(IF(VLOOKUP("*CR",F511,1,FALSE)&gt;=0,"",VLOOKUP("*CR",F511,1,FALSE)),F511),""),"")</f>
        <v>200000</v>
      </c>
    </row>
    <row r="512" spans="1:8" x14ac:dyDescent="0.25">
      <c r="A512" s="1947" t="s">
        <v>3183</v>
      </c>
      <c r="B512" s="1947" t="s">
        <v>2698</v>
      </c>
      <c r="C512" s="1947" t="s">
        <v>2463</v>
      </c>
      <c r="D512" s="1947">
        <v>0</v>
      </c>
      <c r="E512" s="1948">
        <v>8445.99</v>
      </c>
      <c r="F512" s="1948">
        <v>8445.99</v>
      </c>
      <c r="G512" s="1947"/>
      <c r="H512" s="1949" t="str">
        <f>IFERROR(IF(F512&gt;=VLOOKUP(A512,[1]Materiality!$I$6:$J$12,2,TRUE),IFERROR(IF(VLOOKUP("*CR",F512,1,FALSE)&gt;=0,"",VLOOKUP("*CR",F512,1,FALSE)),F512),""),"")</f>
        <v/>
      </c>
    </row>
    <row r="513" spans="1:8" x14ac:dyDescent="0.25">
      <c r="A513" s="1947" t="s">
        <v>3184</v>
      </c>
      <c r="B513" s="1947" t="s">
        <v>2698</v>
      </c>
      <c r="C513" s="1947" t="s">
        <v>2463</v>
      </c>
      <c r="D513" s="1947">
        <v>40</v>
      </c>
      <c r="E513" s="1948">
        <v>12366</v>
      </c>
      <c r="F513" s="1948">
        <v>12326</v>
      </c>
      <c r="G513" s="1947"/>
      <c r="H513" s="1949" t="str">
        <f>IFERROR(IF(F513&gt;=VLOOKUP(A513,[1]Materiality!$I$6:$J$12,2,TRUE),IFERROR(IF(VLOOKUP("*CR",F513,1,FALSE)&gt;=0,"",VLOOKUP("*CR",F513,1,FALSE)),F513),""),"")</f>
        <v/>
      </c>
    </row>
    <row r="514" spans="1:8" x14ac:dyDescent="0.25">
      <c r="A514" s="1947" t="s">
        <v>3185</v>
      </c>
      <c r="B514" s="1947" t="s">
        <v>2698</v>
      </c>
      <c r="C514" s="1947" t="s">
        <v>2463</v>
      </c>
      <c r="D514" s="1948">
        <v>3450</v>
      </c>
      <c r="E514" s="1948">
        <v>17047.5</v>
      </c>
      <c r="F514" s="1948">
        <v>13597.5</v>
      </c>
      <c r="G514" s="1947"/>
      <c r="H514" s="1949" t="str">
        <f>IFERROR(IF(F514&gt;=VLOOKUP(A514,[1]Materiality!$I$6:$J$12,2,TRUE),IFERROR(IF(VLOOKUP("*CR",F514,1,FALSE)&gt;=0,"",VLOOKUP("*CR",F514,1,FALSE)),F514),""),"")</f>
        <v/>
      </c>
    </row>
    <row r="515" spans="1:8" x14ac:dyDescent="0.25">
      <c r="A515" s="1947" t="s">
        <v>3186</v>
      </c>
      <c r="B515" s="1947" t="s">
        <v>2698</v>
      </c>
      <c r="C515" s="1947" t="s">
        <v>2463</v>
      </c>
      <c r="D515" s="1947">
        <v>0</v>
      </c>
      <c r="E515" s="1948">
        <v>10975.35</v>
      </c>
      <c r="F515" s="1948">
        <v>10975.35</v>
      </c>
      <c r="G515" s="1947"/>
      <c r="H515" s="1949" t="str">
        <f>IFERROR(IF(F515&gt;=VLOOKUP(A515,[1]Materiality!$I$6:$J$12,2,TRUE),IFERROR(IF(VLOOKUP("*CR",F515,1,FALSE)&gt;=0,"",VLOOKUP("*CR",F515,1,FALSE)),F515),""),"")</f>
        <v/>
      </c>
    </row>
    <row r="516" spans="1:8" x14ac:dyDescent="0.25">
      <c r="A516" s="1947" t="s">
        <v>3187</v>
      </c>
      <c r="B516" s="1947" t="s">
        <v>2698</v>
      </c>
      <c r="C516" s="1947" t="s">
        <v>2463</v>
      </c>
      <c r="D516" s="1947">
        <v>0</v>
      </c>
      <c r="E516" s="1948">
        <v>4317.92</v>
      </c>
      <c r="F516" s="1948">
        <v>4317.92</v>
      </c>
      <c r="G516" s="1947"/>
      <c r="H516" s="1949" t="str">
        <f>IFERROR(IF(F516&gt;=VLOOKUP(A516,[1]Materiality!$I$6:$J$12,2,TRUE),IFERROR(IF(VLOOKUP("*CR",F516,1,FALSE)&gt;=0,"",VLOOKUP("*CR",F516,1,FALSE)),F516),""),"")</f>
        <v/>
      </c>
    </row>
    <row r="517" spans="1:8" x14ac:dyDescent="0.25">
      <c r="A517" s="1947" t="s">
        <v>3188</v>
      </c>
      <c r="B517" s="1947" t="s">
        <v>2698</v>
      </c>
      <c r="C517" s="1947" t="s">
        <v>2463</v>
      </c>
      <c r="D517" s="1947">
        <v>0</v>
      </c>
      <c r="E517" s="1948">
        <v>106750.26</v>
      </c>
      <c r="F517" s="1948">
        <v>106750.26</v>
      </c>
      <c r="G517" s="1947"/>
      <c r="H517" s="1949">
        <f>IFERROR(IF(F517&gt;=VLOOKUP(A517,[1]Materiality!$I$6:$J$12,2,TRUE),IFERROR(IF(VLOOKUP("*CR",F517,1,FALSE)&gt;=0,"",VLOOKUP("*CR",F517,1,FALSE)),F517),""),"")</f>
        <v>106750.26</v>
      </c>
    </row>
    <row r="518" spans="1:8" x14ac:dyDescent="0.25">
      <c r="A518" s="1947" t="s">
        <v>3189</v>
      </c>
      <c r="B518" s="1947" t="s">
        <v>2698</v>
      </c>
      <c r="C518" s="1947" t="s">
        <v>2463</v>
      </c>
      <c r="D518" s="1947">
        <v>0</v>
      </c>
      <c r="E518" s="1948">
        <v>1338.01</v>
      </c>
      <c r="F518" s="1948">
        <v>1338.01</v>
      </c>
      <c r="G518" s="1947"/>
      <c r="H518" s="1949" t="str">
        <f>IFERROR(IF(F518&gt;=VLOOKUP(A518,[1]Materiality!$I$6:$J$12,2,TRUE),IFERROR(IF(VLOOKUP("*CR",F518,1,FALSE)&gt;=0,"",VLOOKUP("*CR",F518,1,FALSE)),F518),""),"")</f>
        <v/>
      </c>
    </row>
    <row r="519" spans="1:8" x14ac:dyDescent="0.25">
      <c r="A519" s="1947" t="s">
        <v>3190</v>
      </c>
      <c r="B519" s="1947" t="s">
        <v>2698</v>
      </c>
      <c r="C519" s="1947" t="s">
        <v>2463</v>
      </c>
      <c r="D519" s="1947">
        <v>300.10000000000002</v>
      </c>
      <c r="E519" s="1947">
        <v>300.10000000000002</v>
      </c>
      <c r="F519" s="1947">
        <v>0</v>
      </c>
      <c r="G519" s="1947"/>
      <c r="H519" s="1949" t="str">
        <f>IFERROR(IF(F519&gt;=VLOOKUP(A519,[1]Materiality!$I$6:$J$12,2,TRUE),IFERROR(IF(VLOOKUP("*CR",F519,1,FALSE)&gt;=0,"",VLOOKUP("*CR",F519,1,FALSE)),F519),""),"")</f>
        <v/>
      </c>
    </row>
    <row r="520" spans="1:8" x14ac:dyDescent="0.25">
      <c r="A520" s="1947" t="s">
        <v>1038</v>
      </c>
      <c r="B520" s="1947"/>
      <c r="C520" s="1947"/>
      <c r="D520" s="1947"/>
      <c r="E520" s="1947"/>
      <c r="F520" s="1947"/>
      <c r="G520" s="1947"/>
      <c r="H520" s="1949" t="str">
        <f>IFERROR(IF(F520&gt;=VLOOKUP(A520,[1]Materiality!$I$6:$J$12,2,TRUE),IFERROR(IF(VLOOKUP("*CR",F520,1,FALSE)&gt;=0,"",VLOOKUP("*CR",F520,1,FALSE)),F520),""),"")</f>
        <v/>
      </c>
    </row>
    <row r="521" spans="1:8" x14ac:dyDescent="0.25">
      <c r="A521" s="1952" t="s">
        <v>2852</v>
      </c>
      <c r="B521" s="1952" t="s">
        <v>2786</v>
      </c>
      <c r="C521" s="1947" t="s">
        <v>2464</v>
      </c>
      <c r="D521" s="1948">
        <v>42864.17</v>
      </c>
      <c r="E521" s="1948">
        <v>1794921.39</v>
      </c>
      <c r="F521" s="1948">
        <v>1752057.22</v>
      </c>
      <c r="G521" s="1947"/>
      <c r="H521" s="1949" t="str">
        <f>IFERROR(IF(F521&gt;=VLOOKUP(A521,[1]Materiality!$I$6:$J$12,2,TRUE),IFERROR(IF(VLOOKUP("*CR",F521,1,FALSE)&gt;=0,"",VLOOKUP("*CR",F521,1,FALSE)),F521),""),"")</f>
        <v/>
      </c>
    </row>
    <row r="522" spans="1:8" x14ac:dyDescent="0.25">
      <c r="A522" s="1947" t="s">
        <v>1038</v>
      </c>
      <c r="B522" s="1947"/>
      <c r="C522" s="1947"/>
      <c r="D522" s="1947"/>
      <c r="E522" s="1947"/>
      <c r="F522" s="1947"/>
      <c r="G522" s="1947"/>
      <c r="H522" s="1949" t="str">
        <f>IFERROR(IF(F522&gt;=VLOOKUP(A522,[1]Materiality!$I$6:$J$12,2,TRUE),IFERROR(IF(VLOOKUP("*CR",F522,1,FALSE)&gt;=0,"",VLOOKUP("*CR",F522,1,FALSE)),F522),""),"")</f>
        <v/>
      </c>
    </row>
    <row r="523" spans="1:8" x14ac:dyDescent="0.25">
      <c r="A523" s="1947" t="s">
        <v>3191</v>
      </c>
      <c r="B523" s="1947" t="s">
        <v>2698</v>
      </c>
      <c r="C523" s="1947" t="s">
        <v>2465</v>
      </c>
      <c r="D523" s="1948">
        <v>734037.86</v>
      </c>
      <c r="E523" s="1948">
        <v>4871.91</v>
      </c>
      <c r="F523" s="1948">
        <v>729165.95</v>
      </c>
      <c r="G523" s="1947"/>
      <c r="H523" s="1949">
        <f>IFERROR(IF(F523&gt;=VLOOKUP(A523,[1]Materiality!$I$6:$J$12,2,TRUE),IFERROR(IF(VLOOKUP("*CR",F523,1,FALSE)&gt;=0,"",VLOOKUP("*CR",F523,1,FALSE)),F523),""),"")</f>
        <v>729165.95</v>
      </c>
    </row>
    <row r="524" spans="1:8" x14ac:dyDescent="0.25">
      <c r="A524" s="1947" t="s">
        <v>3192</v>
      </c>
      <c r="B524" s="1947" t="s">
        <v>2698</v>
      </c>
      <c r="C524" s="1947" t="s">
        <v>2466</v>
      </c>
      <c r="D524" s="1948">
        <v>215906.5</v>
      </c>
      <c r="E524" s="1948">
        <v>53514.67</v>
      </c>
      <c r="F524" s="1948">
        <v>162391.82999999999</v>
      </c>
      <c r="G524" s="1947"/>
      <c r="H524" s="1949">
        <f>IFERROR(IF(F524&gt;=VLOOKUP(A524,[1]Materiality!$I$6:$J$12,2,TRUE),IFERROR(IF(VLOOKUP("*CR",F524,1,FALSE)&gt;=0,"",VLOOKUP("*CR",F524,1,FALSE)),F524),""),"")</f>
        <v>162391.82999999999</v>
      </c>
    </row>
    <row r="525" spans="1:8" x14ac:dyDescent="0.25">
      <c r="A525" s="1947" t="s">
        <v>3193</v>
      </c>
      <c r="B525" s="1947" t="s">
        <v>2698</v>
      </c>
      <c r="C525" s="1947" t="s">
        <v>2467</v>
      </c>
      <c r="D525" s="1948">
        <v>21360.27</v>
      </c>
      <c r="E525" s="1947">
        <v>0</v>
      </c>
      <c r="F525" s="1948">
        <v>21360.27</v>
      </c>
      <c r="G525" s="1947"/>
      <c r="H525" s="1949" t="str">
        <f>IFERROR(IF(F525&gt;=VLOOKUP(A525,[1]Materiality!$I$6:$J$12,2,TRUE),IFERROR(IF(VLOOKUP("*CR",F525,1,FALSE)&gt;=0,"",VLOOKUP("*CR",F525,1,FALSE)),F525),""),"")</f>
        <v/>
      </c>
    </row>
    <row r="526" spans="1:8" x14ac:dyDescent="0.25">
      <c r="A526" s="1947" t="s">
        <v>3194</v>
      </c>
      <c r="B526" s="1947" t="s">
        <v>2698</v>
      </c>
      <c r="C526" s="1947" t="s">
        <v>2468</v>
      </c>
      <c r="D526" s="1948">
        <v>19583.939999999999</v>
      </c>
      <c r="E526" s="1947">
        <v>0</v>
      </c>
      <c r="F526" s="1948">
        <v>19583.939999999999</v>
      </c>
      <c r="G526" s="1947"/>
      <c r="H526" s="1949" t="str">
        <f>IFERROR(IF(F526&gt;=VLOOKUP(A526,[1]Materiality!$I$6:$J$12,2,TRUE),IFERROR(IF(VLOOKUP("*CR",F526,1,FALSE)&gt;=0,"",VLOOKUP("*CR",F526,1,FALSE)),F526),""),"")</f>
        <v/>
      </c>
    </row>
    <row r="527" spans="1:8" x14ac:dyDescent="0.25">
      <c r="A527" s="1947" t="s">
        <v>3195</v>
      </c>
      <c r="B527" s="1947" t="s">
        <v>2698</v>
      </c>
      <c r="C527" s="1947" t="s">
        <v>2469</v>
      </c>
      <c r="D527" s="1948">
        <v>66828.149999999994</v>
      </c>
      <c r="E527" s="1947">
        <v>134.55000000000001</v>
      </c>
      <c r="F527" s="1948">
        <v>66693.600000000006</v>
      </c>
      <c r="G527" s="1947"/>
      <c r="H527" s="1949" t="str">
        <f>IFERROR(IF(F527&gt;=VLOOKUP(A527,[1]Materiality!$I$6:$J$12,2,TRUE),IFERROR(IF(VLOOKUP("*CR",F527,1,FALSE)&gt;=0,"",VLOOKUP("*CR",F527,1,FALSE)),F527),""),"")</f>
        <v/>
      </c>
    </row>
    <row r="528" spans="1:8" x14ac:dyDescent="0.25">
      <c r="A528" s="1947" t="s">
        <v>3196</v>
      </c>
      <c r="B528" s="1947" t="s">
        <v>2698</v>
      </c>
      <c r="C528" s="1947" t="s">
        <v>2470</v>
      </c>
      <c r="D528" s="1947">
        <v>913.08</v>
      </c>
      <c r="E528" s="1947">
        <v>0</v>
      </c>
      <c r="F528" s="1947">
        <v>913.08</v>
      </c>
      <c r="G528" s="1947"/>
      <c r="H528" s="1949" t="str">
        <f>IFERROR(IF(F528&gt;=VLOOKUP(A528,[1]Materiality!$I$6:$J$12,2,TRUE),IFERROR(IF(VLOOKUP("*CR",F528,1,FALSE)&gt;=0,"",VLOOKUP("*CR",F528,1,FALSE)),F528),""),"")</f>
        <v/>
      </c>
    </row>
    <row r="529" spans="1:8" x14ac:dyDescent="0.25">
      <c r="A529" s="1947" t="s">
        <v>3197</v>
      </c>
      <c r="B529" s="1947" t="s">
        <v>2698</v>
      </c>
      <c r="C529" s="1947" t="s">
        <v>2471</v>
      </c>
      <c r="D529" s="1948">
        <v>14873.09</v>
      </c>
      <c r="E529" s="1947">
        <v>0</v>
      </c>
      <c r="F529" s="1948">
        <v>14873.09</v>
      </c>
      <c r="G529" s="1947"/>
      <c r="H529" s="1949" t="str">
        <f>IFERROR(IF(F529&gt;=VLOOKUP(A529,[1]Materiality!$I$6:$J$12,2,TRUE),IFERROR(IF(VLOOKUP("*CR",F529,1,FALSE)&gt;=0,"",VLOOKUP("*CR",F529,1,FALSE)),F529),""),"")</f>
        <v/>
      </c>
    </row>
    <row r="530" spans="1:8" x14ac:dyDescent="0.25">
      <c r="A530" s="1947" t="s">
        <v>3198</v>
      </c>
      <c r="B530" s="1947" t="s">
        <v>2698</v>
      </c>
      <c r="C530" s="1947" t="s">
        <v>2472</v>
      </c>
      <c r="D530" s="1948">
        <v>23314.94</v>
      </c>
      <c r="E530" s="1948">
        <v>1069.48</v>
      </c>
      <c r="F530" s="1948">
        <v>22245.46</v>
      </c>
      <c r="G530" s="1947"/>
      <c r="H530" s="1949" t="str">
        <f>IFERROR(IF(F530&gt;=VLOOKUP(A530,[1]Materiality!$I$6:$J$12,2,TRUE),IFERROR(IF(VLOOKUP("*CR",F530,1,FALSE)&gt;=0,"",VLOOKUP("*CR",F530,1,FALSE)),F530),""),"")</f>
        <v/>
      </c>
    </row>
    <row r="531" spans="1:8" x14ac:dyDescent="0.25">
      <c r="A531" s="1947" t="s">
        <v>3199</v>
      </c>
      <c r="B531" s="1947" t="s">
        <v>2698</v>
      </c>
      <c r="C531" s="1947" t="s">
        <v>2473</v>
      </c>
      <c r="D531" s="1948">
        <v>10575.93</v>
      </c>
      <c r="E531" s="1947">
        <v>0</v>
      </c>
      <c r="F531" s="1948">
        <v>10575.93</v>
      </c>
      <c r="G531" s="1947"/>
      <c r="H531" s="1949" t="str">
        <f>IFERROR(IF(F531&gt;=VLOOKUP(A531,[1]Materiality!$I$6:$J$12,2,TRUE),IFERROR(IF(VLOOKUP("*CR",F531,1,FALSE)&gt;=0,"",VLOOKUP("*CR",F531,1,FALSE)),F531),""),"")</f>
        <v/>
      </c>
    </row>
    <row r="532" spans="1:8" x14ac:dyDescent="0.25">
      <c r="A532" s="1947" t="s">
        <v>3200</v>
      </c>
      <c r="B532" s="1947" t="s">
        <v>2787</v>
      </c>
      <c r="C532" s="1947" t="s">
        <v>2474</v>
      </c>
      <c r="D532" s="1948">
        <v>71719.179999999993</v>
      </c>
      <c r="E532" s="1947">
        <v>620.21</v>
      </c>
      <c r="F532" s="1948">
        <v>71098.97</v>
      </c>
      <c r="G532" s="1947"/>
      <c r="H532" s="1949" t="str">
        <f>IFERROR(IF(F532&gt;=VLOOKUP(A532,[1]Materiality!$I$6:$J$12,2,TRUE),IFERROR(IF(VLOOKUP("*CR",F532,1,FALSE)&gt;=0,"",VLOOKUP("*CR",F532,1,FALSE)),F532),""),"")</f>
        <v/>
      </c>
    </row>
    <row r="533" spans="1:8" x14ac:dyDescent="0.25">
      <c r="A533" s="1947" t="s">
        <v>3201</v>
      </c>
      <c r="B533" s="1947" t="s">
        <v>2698</v>
      </c>
      <c r="C533" s="1947" t="s">
        <v>2475</v>
      </c>
      <c r="D533" s="1948">
        <v>12077.59</v>
      </c>
      <c r="E533" s="1947">
        <v>0</v>
      </c>
      <c r="F533" s="1948">
        <v>12077.59</v>
      </c>
      <c r="G533" s="1947"/>
      <c r="H533" s="1949" t="str">
        <f>IFERROR(IF(F533&gt;=VLOOKUP(A533,[1]Materiality!$I$6:$J$12,2,TRUE),IFERROR(IF(VLOOKUP("*CR",F533,1,FALSE)&gt;=0,"",VLOOKUP("*CR",F533,1,FALSE)),F533),""),"")</f>
        <v/>
      </c>
    </row>
    <row r="534" spans="1:8" x14ac:dyDescent="0.25">
      <c r="A534" s="1947" t="s">
        <v>3202</v>
      </c>
      <c r="B534" s="1947" t="s">
        <v>2698</v>
      </c>
      <c r="C534" s="1947" t="s">
        <v>2476</v>
      </c>
      <c r="D534" s="1948">
        <v>46704.94</v>
      </c>
      <c r="E534" s="1947">
        <v>20</v>
      </c>
      <c r="F534" s="1948">
        <v>46684.94</v>
      </c>
      <c r="G534" s="1947"/>
      <c r="H534" s="1949" t="str">
        <f>IFERROR(IF(F534&gt;=VLOOKUP(A534,[1]Materiality!$I$6:$J$12,2,TRUE),IFERROR(IF(VLOOKUP("*CR",F534,1,FALSE)&gt;=0,"",VLOOKUP("*CR",F534,1,FALSE)),F534),""),"")</f>
        <v/>
      </c>
    </row>
    <row r="535" spans="1:8" x14ac:dyDescent="0.25">
      <c r="A535" s="1947" t="s">
        <v>3203</v>
      </c>
      <c r="B535" s="1947" t="s">
        <v>2698</v>
      </c>
      <c r="C535" s="1947" t="s">
        <v>2477</v>
      </c>
      <c r="D535" s="1948">
        <v>60795.28</v>
      </c>
      <c r="E535" s="1947">
        <v>0</v>
      </c>
      <c r="F535" s="1948">
        <v>60795.28</v>
      </c>
      <c r="G535" s="1947"/>
      <c r="H535" s="1949" t="str">
        <f>IFERROR(IF(F535&gt;=VLOOKUP(A535,[1]Materiality!$I$6:$J$12,2,TRUE),IFERROR(IF(VLOOKUP("*CR",F535,1,FALSE)&gt;=0,"",VLOOKUP("*CR",F535,1,FALSE)),F535),""),"")</f>
        <v/>
      </c>
    </row>
    <row r="536" spans="1:8" x14ac:dyDescent="0.25">
      <c r="A536" s="1947" t="s">
        <v>3204</v>
      </c>
      <c r="B536" s="1947" t="s">
        <v>2698</v>
      </c>
      <c r="C536" s="1947" t="s">
        <v>2478</v>
      </c>
      <c r="D536" s="1948">
        <v>221450.03</v>
      </c>
      <c r="E536" s="1947">
        <v>0</v>
      </c>
      <c r="F536" s="1948">
        <v>221450.03</v>
      </c>
      <c r="G536" s="1947"/>
      <c r="H536" s="1949">
        <f>IFERROR(IF(F536&gt;=VLOOKUP(A536,[1]Materiality!$I$6:$J$12,2,TRUE),IFERROR(IF(VLOOKUP("*CR",F536,1,FALSE)&gt;=0,"",VLOOKUP("*CR",F536,1,FALSE)),F536),""),"")</f>
        <v>221450.03</v>
      </c>
    </row>
    <row r="537" spans="1:8" x14ac:dyDescent="0.25">
      <c r="A537" s="1947" t="s">
        <v>3205</v>
      </c>
      <c r="B537" s="1947" t="s">
        <v>2698</v>
      </c>
      <c r="C537" s="1947" t="s">
        <v>2479</v>
      </c>
      <c r="D537" s="1948">
        <v>3820.25</v>
      </c>
      <c r="E537" s="1947">
        <v>0</v>
      </c>
      <c r="F537" s="1948">
        <v>3820.25</v>
      </c>
      <c r="G537" s="1947"/>
      <c r="H537" s="1949" t="str">
        <f>IFERROR(IF(F537&gt;=VLOOKUP(A537,[1]Materiality!$I$6:$J$12,2,TRUE),IFERROR(IF(VLOOKUP("*CR",F537,1,FALSE)&gt;=0,"",VLOOKUP("*CR",F537,1,FALSE)),F537),""),"")</f>
        <v/>
      </c>
    </row>
    <row r="538" spans="1:8" x14ac:dyDescent="0.25">
      <c r="A538" s="1947" t="s">
        <v>3206</v>
      </c>
      <c r="B538" s="1947" t="s">
        <v>2788</v>
      </c>
      <c r="C538" s="1947" t="s">
        <v>2480</v>
      </c>
      <c r="D538" s="1948">
        <v>11896.07</v>
      </c>
      <c r="E538" s="1947">
        <v>0</v>
      </c>
      <c r="F538" s="1948">
        <v>11896.07</v>
      </c>
      <c r="G538" s="1947"/>
      <c r="H538" s="1949" t="str">
        <f>IFERROR(IF(F538&gt;=VLOOKUP(A538,[1]Materiality!$I$6:$J$12,2,TRUE),IFERROR(IF(VLOOKUP("*CR",F538,1,FALSE)&gt;=0,"",VLOOKUP("*CR",F538,1,FALSE)),F538),""),"")</f>
        <v/>
      </c>
    </row>
    <row r="539" spans="1:8" x14ac:dyDescent="0.25">
      <c r="A539" s="1947" t="s">
        <v>3206</v>
      </c>
      <c r="B539" s="1947" t="s">
        <v>2789</v>
      </c>
      <c r="C539" s="1947" t="s">
        <v>2481</v>
      </c>
      <c r="D539" s="1948">
        <v>10758.09</v>
      </c>
      <c r="E539" s="1948">
        <v>2604.77</v>
      </c>
      <c r="F539" s="1948">
        <v>8153.32</v>
      </c>
      <c r="G539" s="1947"/>
      <c r="H539" s="1949" t="str">
        <f>IFERROR(IF(F539&gt;=VLOOKUP(A539,[1]Materiality!$I$6:$J$12,2,TRUE),IFERROR(IF(VLOOKUP("*CR",F539,1,FALSE)&gt;=0,"",VLOOKUP("*CR",F539,1,FALSE)),F539),""),"")</f>
        <v/>
      </c>
    </row>
    <row r="540" spans="1:8" x14ac:dyDescent="0.25">
      <c r="A540" s="1947" t="s">
        <v>1038</v>
      </c>
      <c r="B540" s="1947"/>
      <c r="C540" s="1947"/>
      <c r="D540" s="1947"/>
      <c r="E540" s="1947"/>
      <c r="F540" s="1947"/>
      <c r="G540" s="1947"/>
      <c r="H540" s="1949" t="str">
        <f>IFERROR(IF(F540&gt;=VLOOKUP(A540,[1]Materiality!$I$6:$J$12,2,TRUE),IFERROR(IF(VLOOKUP("*CR",F540,1,FALSE)&gt;=0,"",VLOOKUP("*CR",F540,1,FALSE)),F540),""),"")</f>
        <v/>
      </c>
    </row>
    <row r="541" spans="1:8" x14ac:dyDescent="0.25">
      <c r="A541" s="1952" t="s">
        <v>2852</v>
      </c>
      <c r="B541" s="1952" t="s">
        <v>2790</v>
      </c>
      <c r="C541" s="1947" t="s">
        <v>2482</v>
      </c>
      <c r="D541" s="1948">
        <v>1546615.19</v>
      </c>
      <c r="E541" s="1948">
        <v>62835.59</v>
      </c>
      <c r="F541" s="1948">
        <v>1483779.6</v>
      </c>
      <c r="G541" s="1947"/>
      <c r="H541" s="1949" t="str">
        <f>IFERROR(IF(F541&gt;=VLOOKUP(A541,[1]Materiality!$I$6:$J$12,2,TRUE),IFERROR(IF(VLOOKUP("*CR",F541,1,FALSE)&gt;=0,"",VLOOKUP("*CR",F541,1,FALSE)),F541),""),"")</f>
        <v/>
      </c>
    </row>
    <row r="542" spans="1:8" x14ac:dyDescent="0.25">
      <c r="A542" s="1947" t="s">
        <v>1038</v>
      </c>
      <c r="B542" s="1947"/>
      <c r="C542" s="1947"/>
      <c r="D542" s="1947"/>
      <c r="E542" s="1947"/>
      <c r="F542" s="1947"/>
      <c r="G542" s="1947"/>
      <c r="H542" s="1949" t="str">
        <f>IFERROR(IF(F542&gt;=VLOOKUP(A542,[1]Materiality!$I$6:$J$12,2,TRUE),IFERROR(IF(VLOOKUP("*CR",F542,1,FALSE)&gt;=0,"",VLOOKUP("*CR",F542,1,FALSE)),F542),""),"")</f>
        <v/>
      </c>
    </row>
    <row r="543" spans="1:8" x14ac:dyDescent="0.25">
      <c r="A543" s="1952" t="s">
        <v>2852</v>
      </c>
      <c r="B543" s="1952" t="s">
        <v>2791</v>
      </c>
      <c r="C543" s="1947" t="s">
        <v>2483</v>
      </c>
      <c r="D543" s="1948">
        <v>1589479.36</v>
      </c>
      <c r="E543" s="1948">
        <v>1857756.98</v>
      </c>
      <c r="F543" s="1948">
        <v>268277.62</v>
      </c>
      <c r="G543" s="1947"/>
      <c r="H543" s="1949" t="str">
        <f>IFERROR(IF(F543&gt;=VLOOKUP(A543,[1]Materiality!$I$6:$J$12,2,TRUE),IFERROR(IF(VLOOKUP("*CR",F543,1,FALSE)&gt;=0,"",VLOOKUP("*CR",F543,1,FALSE)),F543),""),"")</f>
        <v/>
      </c>
    </row>
    <row r="544" spans="1:8" x14ac:dyDescent="0.25">
      <c r="A544" s="1947" t="s">
        <v>1038</v>
      </c>
      <c r="B544" s="1947"/>
      <c r="C544" s="1947"/>
      <c r="D544" s="1947"/>
      <c r="E544" s="1947"/>
      <c r="F544" s="1947"/>
      <c r="G544" s="1947"/>
      <c r="H544" s="1949" t="str">
        <f>IFERROR(IF(F544&gt;=VLOOKUP(A544,[1]Materiality!$I$6:$J$12,2,TRUE),IFERROR(IF(VLOOKUP("*CR",F544,1,FALSE)&gt;=0,"",VLOOKUP("*CR",F544,1,FALSE)),F544),""),"")</f>
        <v/>
      </c>
    </row>
    <row r="545" spans="1:8" x14ac:dyDescent="0.25">
      <c r="A545" s="1947" t="s">
        <v>1038</v>
      </c>
      <c r="B545" s="1947"/>
      <c r="C545" s="1947"/>
      <c r="D545" s="1947"/>
      <c r="E545" s="1947"/>
      <c r="F545" s="1947"/>
      <c r="G545" s="1947"/>
      <c r="H545" s="1949" t="str">
        <f>IFERROR(IF(F545&gt;=VLOOKUP(A545,[1]Materiality!$I$6:$J$12,2,TRUE),IFERROR(IF(VLOOKUP("*CR",F545,1,FALSE)&gt;=0,"",VLOOKUP("*CR",F545,1,FALSE)),F545),""),"")</f>
        <v/>
      </c>
    </row>
    <row r="546" spans="1:8" x14ac:dyDescent="0.25">
      <c r="A546" s="1952" t="s">
        <v>2853</v>
      </c>
      <c r="B546" s="1952" t="s">
        <v>2783</v>
      </c>
      <c r="C546" s="1947" t="s">
        <v>2462</v>
      </c>
      <c r="D546" s="1948">
        <v>7700113.6500000004</v>
      </c>
      <c r="E546" s="1948">
        <v>7700113.6500000004</v>
      </c>
      <c r="F546" s="1947">
        <v>0</v>
      </c>
      <c r="G546" s="1947">
        <v>0</v>
      </c>
      <c r="H546" s="1949" t="str">
        <f>IFERROR(IF(F546&gt;=VLOOKUP(A546,[1]Materiality!$I$6:$J$12,2,TRUE),IFERROR(IF(VLOOKUP("*CR",F546,1,FALSE)&gt;=0,"",VLOOKUP("*CR",F546,1,FALSE)),F546),""),"")</f>
        <v/>
      </c>
    </row>
    <row r="547" spans="1:8" x14ac:dyDescent="0.25">
      <c r="A547" s="1952" t="s">
        <v>2853</v>
      </c>
      <c r="B547" s="1952" t="s">
        <v>2784</v>
      </c>
      <c r="C547" s="1947" t="s">
        <v>2483</v>
      </c>
      <c r="D547" s="1948">
        <v>1589479.36</v>
      </c>
      <c r="E547" s="1948">
        <v>1857756.98</v>
      </c>
      <c r="F547" s="1948">
        <v>268277.62</v>
      </c>
      <c r="G547" s="1947"/>
      <c r="H547" s="1949" t="str">
        <f>IFERROR(IF(F547&gt;=VLOOKUP(A547,[1]Materiality!$I$6:$J$12,2,TRUE),IFERROR(IF(VLOOKUP("*CR",F547,1,FALSE)&gt;=0,"",VLOOKUP("*CR",F547,1,FALSE)),F547),""),"")</f>
        <v/>
      </c>
    </row>
    <row r="548" spans="1:8" x14ac:dyDescent="0.25">
      <c r="A548" s="1947" t="s">
        <v>1038</v>
      </c>
      <c r="B548" s="1952"/>
      <c r="C548" s="1947"/>
      <c r="D548" s="1948"/>
      <c r="E548" s="1948"/>
      <c r="F548" s="1947"/>
      <c r="G548" s="1947"/>
      <c r="H548" s="1949" t="str">
        <f>IFERROR(IF(F548&gt;=VLOOKUP(A548,[1]Materiality!$I$6:$J$12,2,TRUE),IFERROR(IF(VLOOKUP("*CR",F548,1,FALSE)&gt;=0,"",VLOOKUP("*CR",F548,1,FALSE)),F548),""),"")</f>
        <v/>
      </c>
    </row>
    <row r="549" spans="1:8" x14ac:dyDescent="0.25">
      <c r="A549" s="1947" t="s">
        <v>3207</v>
      </c>
      <c r="B549" s="1947" t="s">
        <v>2698</v>
      </c>
      <c r="C549" s="1947" t="s">
        <v>2484</v>
      </c>
      <c r="D549" s="1948">
        <v>4142995.7</v>
      </c>
      <c r="E549" s="1948">
        <v>4144865.56</v>
      </c>
      <c r="F549" s="1948">
        <v>1869.86</v>
      </c>
      <c r="G549" s="1948">
        <v>5162.37</v>
      </c>
      <c r="H549" s="1949" t="str">
        <f>IFERROR(IF(F549&gt;=VLOOKUP(A549,[1]Materiality!$I$6:$J$12,2,TRUE),IFERROR(IF(VLOOKUP("*CR",F549,1,FALSE)&gt;=0,"",VLOOKUP("*CR",F549,1,FALSE)),F549),""),"")</f>
        <v/>
      </c>
    </row>
    <row r="550" spans="1:8" x14ac:dyDescent="0.25">
      <c r="A550" s="1947" t="s">
        <v>3208</v>
      </c>
      <c r="B550" s="1947" t="s">
        <v>2698</v>
      </c>
      <c r="C550" s="1947" t="s">
        <v>2485</v>
      </c>
      <c r="D550" s="1948">
        <v>1248619.0900000001</v>
      </c>
      <c r="E550" s="1948">
        <v>1251674.8899999999</v>
      </c>
      <c r="F550" s="1948">
        <v>3055.8</v>
      </c>
      <c r="G550" s="1947">
        <v>878.92</v>
      </c>
      <c r="H550" s="1949" t="str">
        <f>IFERROR(IF(F550&gt;=VLOOKUP(A550,[1]Materiality!$I$6:$J$12,2,TRUE),IFERROR(IF(VLOOKUP("*CR",F550,1,FALSE)&gt;=0,"",VLOOKUP("*CR",F550,1,FALSE)),F550),""),"")</f>
        <v/>
      </c>
    </row>
    <row r="551" spans="1:8" x14ac:dyDescent="0.25">
      <c r="A551" s="1947" t="s">
        <v>3209</v>
      </c>
      <c r="B551" s="1947" t="s">
        <v>2698</v>
      </c>
      <c r="C551" s="1947" t="s">
        <v>2486</v>
      </c>
      <c r="D551" s="1948">
        <v>2696118.68</v>
      </c>
      <c r="E551" s="1948">
        <v>2696118.68</v>
      </c>
      <c r="F551" s="1947">
        <v>0</v>
      </c>
      <c r="G551" s="1947">
        <v>0</v>
      </c>
      <c r="H551" s="1949" t="str">
        <f>IFERROR(IF(F551&gt;=VLOOKUP(A551,[1]Materiality!$I$6:$J$12,2,TRUE),IFERROR(IF(VLOOKUP("*CR",F551,1,FALSE)&gt;=0,"",VLOOKUP("*CR",F551,1,FALSE)),F551),""),"")</f>
        <v/>
      </c>
    </row>
    <row r="552" spans="1:8" x14ac:dyDescent="0.25">
      <c r="A552" s="1947" t="s">
        <v>2856</v>
      </c>
      <c r="B552" s="1947" t="s">
        <v>2699</v>
      </c>
      <c r="C552" s="1947" t="s">
        <v>2487</v>
      </c>
      <c r="D552" s="1948">
        <v>2902738.56</v>
      </c>
      <c r="E552" s="1948">
        <v>2897812.9</v>
      </c>
      <c r="F552" s="1948">
        <v>4925.66</v>
      </c>
      <c r="G552" s="1947" t="s">
        <v>2488</v>
      </c>
      <c r="H552" s="1949" t="str">
        <f>IFERROR(IF(F552&gt;=VLOOKUP(A552,[1]Materiality!$I$6:$J$12,2,TRUE),IFERROR(IF(VLOOKUP("*CR",F552,1,FALSE)&gt;=0,"",VLOOKUP("*CR",F552,1,FALSE)),F552),""),"")</f>
        <v/>
      </c>
    </row>
    <row r="553" spans="1:8" x14ac:dyDescent="0.25">
      <c r="A553" s="1947" t="s">
        <v>1038</v>
      </c>
      <c r="B553" s="1947"/>
      <c r="C553" s="1947"/>
      <c r="D553" s="1947"/>
      <c r="E553" s="1947"/>
      <c r="F553" s="1947"/>
      <c r="G553" s="1947"/>
      <c r="H553" s="1949" t="str">
        <f>IFERROR(IF(F553&gt;=VLOOKUP(A553,[1]Materiality!$I$6:$J$12,2,TRUE),IFERROR(IF(VLOOKUP("*CR",F553,1,FALSE)&gt;=0,"",VLOOKUP("*CR",F553,1,FALSE)),F553),""),"")</f>
        <v/>
      </c>
    </row>
    <row r="554" spans="1:8" x14ac:dyDescent="0.25">
      <c r="A554" s="1952" t="s">
        <v>2852</v>
      </c>
      <c r="B554" s="1952" t="s">
        <v>2792</v>
      </c>
      <c r="C554" s="1947" t="s">
        <v>2489</v>
      </c>
      <c r="D554" s="1948">
        <v>10990472.029999999</v>
      </c>
      <c r="E554" s="1948">
        <v>10990472.029999999</v>
      </c>
      <c r="F554" s="1947">
        <v>0</v>
      </c>
      <c r="G554" s="1947">
        <v>0</v>
      </c>
      <c r="H554" s="1949" t="str">
        <f>IFERROR(IF(F554&gt;=VLOOKUP(A554,[1]Materiality!$I$6:$J$12,2,TRUE),IFERROR(IF(VLOOKUP("*CR",F554,1,FALSE)&gt;=0,"",VLOOKUP("*CR",F554,1,FALSE)),F554),""),"")</f>
        <v/>
      </c>
    </row>
    <row r="555" spans="1:8" x14ac:dyDescent="0.25">
      <c r="A555" s="1947" t="s">
        <v>1038</v>
      </c>
      <c r="B555" s="1947"/>
      <c r="C555" s="1947"/>
      <c r="D555" s="1947"/>
      <c r="E555" s="1947"/>
      <c r="F555" s="1947"/>
      <c r="G555" s="1947"/>
      <c r="H555" s="1949" t="str">
        <f>IFERROR(IF(F555&gt;=VLOOKUP(A555,[1]Materiality!$I$6:$J$12,2,TRUE),IFERROR(IF(VLOOKUP("*CR",F555,1,FALSE)&gt;=0,"",VLOOKUP("*CR",F555,1,FALSE)),F555),""),"")</f>
        <v/>
      </c>
    </row>
    <row r="556" spans="1:8" x14ac:dyDescent="0.25">
      <c r="A556" s="1947" t="s">
        <v>3395</v>
      </c>
      <c r="B556" s="1947" t="s">
        <v>2698</v>
      </c>
      <c r="C556" s="1947" t="s">
        <v>2490</v>
      </c>
      <c r="D556" s="1947">
        <v>0</v>
      </c>
      <c r="E556" s="1948">
        <v>1074767.1499999999</v>
      </c>
      <c r="F556" s="1948">
        <v>1074767.1499999999</v>
      </c>
      <c r="G556" s="1947"/>
      <c r="H556" s="1949">
        <f>IFERROR(IF(F556&gt;=VLOOKUP(A556,[1]Materiality!$I$6:$J$12,2,TRUE),IFERROR(IF(VLOOKUP("*CR",F556,1,FALSE)&gt;=0,"",VLOOKUP("*CR",F556,1,FALSE)),F556),""),"")</f>
        <v>1074767.1499999999</v>
      </c>
    </row>
    <row r="557" spans="1:8" x14ac:dyDescent="0.25">
      <c r="A557" s="1947" t="s">
        <v>3210</v>
      </c>
      <c r="B557" s="1947" t="s">
        <v>2698</v>
      </c>
      <c r="C557" s="1947" t="s">
        <v>2490</v>
      </c>
      <c r="D557" s="1947">
        <v>0</v>
      </c>
      <c r="E557" s="1948">
        <v>1649485.55</v>
      </c>
      <c r="F557" s="1948">
        <v>1649485.55</v>
      </c>
      <c r="G557" s="1947"/>
      <c r="H557" s="1949">
        <f>IFERROR(IF(F557&gt;=VLOOKUP(A557,[1]Materiality!$I$6:$J$12,2,TRUE),IFERROR(IF(VLOOKUP("*CR",F557,1,FALSE)&gt;=0,"",VLOOKUP("*CR",F557,1,FALSE)),F557),""),"")</f>
        <v>1649485.55</v>
      </c>
    </row>
    <row r="558" spans="1:8" x14ac:dyDescent="0.25">
      <c r="A558" s="1947" t="s">
        <v>3211</v>
      </c>
      <c r="B558" s="1947" t="s">
        <v>2698</v>
      </c>
      <c r="C558" s="1947" t="s">
        <v>2490</v>
      </c>
      <c r="D558" s="1947">
        <v>874.89</v>
      </c>
      <c r="E558" s="1948">
        <v>5280.29</v>
      </c>
      <c r="F558" s="1948">
        <f>4405</f>
        <v>4405</v>
      </c>
      <c r="G558" s="1947"/>
      <c r="H558" s="1949" t="str">
        <f>IFERROR(IF(F558&gt;=VLOOKUP(A558,[1]Materiality!$I$6:$J$12,2,TRUE),IFERROR(IF(VLOOKUP("*CR",F558,1,FALSE)&gt;=0,"",VLOOKUP("*CR",F558,1,FALSE)),F558),""),"")</f>
        <v/>
      </c>
    </row>
    <row r="559" spans="1:8" x14ac:dyDescent="0.25">
      <c r="A559" s="1947" t="s">
        <v>3212</v>
      </c>
      <c r="B559" s="1947" t="s">
        <v>2698</v>
      </c>
      <c r="C559" s="1947" t="s">
        <v>2490</v>
      </c>
      <c r="D559" s="1947">
        <v>0</v>
      </c>
      <c r="E559" s="1948">
        <v>121913.2</v>
      </c>
      <c r="F559" s="1948">
        <v>121913.2</v>
      </c>
      <c r="G559" s="1947"/>
      <c r="H559" s="1949">
        <f>IFERROR(IF(F559&gt;=VLOOKUP(A559,[1]Materiality!$I$6:$J$12,2,TRUE),IFERROR(IF(VLOOKUP("*CR",F559,1,FALSE)&gt;=0,"",VLOOKUP("*CR",F559,1,FALSE)),F559),""),"")</f>
        <v>121913.2</v>
      </c>
    </row>
    <row r="560" spans="1:8" x14ac:dyDescent="0.25">
      <c r="A560" s="1947" t="s">
        <v>3213</v>
      </c>
      <c r="B560" s="1947" t="s">
        <v>2698</v>
      </c>
      <c r="C560" s="1947" t="s">
        <v>2490</v>
      </c>
      <c r="D560" s="1947">
        <v>0</v>
      </c>
      <c r="E560" s="1948">
        <v>2380.89</v>
      </c>
      <c r="F560" s="1948">
        <v>2380.89</v>
      </c>
      <c r="G560" s="1947"/>
      <c r="H560" s="1949" t="str">
        <f>IFERROR(IF(F560&gt;=VLOOKUP(A560,[1]Materiality!$I$6:$J$12,2,TRUE),IFERROR(IF(VLOOKUP("*CR",F560,1,FALSE)&gt;=0,"",VLOOKUP("*CR",F560,1,FALSE)),F560),""),"")</f>
        <v/>
      </c>
    </row>
    <row r="561" spans="1:8" x14ac:dyDescent="0.25">
      <c r="A561" s="1947" t="s">
        <v>1038</v>
      </c>
      <c r="B561" s="1947"/>
      <c r="C561" s="1947"/>
      <c r="D561" s="1947"/>
      <c r="E561" s="1947"/>
      <c r="F561" s="1947"/>
      <c r="G561" s="1947"/>
      <c r="H561" s="1949" t="str">
        <f>IFERROR(IF(F561&gt;=VLOOKUP(A561,[1]Materiality!$I$6:$J$12,2,TRUE),IFERROR(IF(VLOOKUP("*CR",F561,1,FALSE)&gt;=0,"",VLOOKUP("*CR",F561,1,FALSE)),F561),""),"")</f>
        <v/>
      </c>
    </row>
    <row r="562" spans="1:8" x14ac:dyDescent="0.25">
      <c r="A562" s="1952" t="s">
        <v>2852</v>
      </c>
      <c r="B562" s="1952" t="s">
        <v>2793</v>
      </c>
      <c r="C562" s="1947" t="s">
        <v>2491</v>
      </c>
      <c r="D562" s="1947">
        <v>874.89</v>
      </c>
      <c r="E562" s="1948">
        <v>2853827.08</v>
      </c>
      <c r="F562" s="1948">
        <v>2852952.19</v>
      </c>
      <c r="G562" s="1947"/>
      <c r="H562" s="1949" t="str">
        <f>IFERROR(IF(F562&gt;=VLOOKUP(A562,[1]Materiality!$I$6:$J$12,2,TRUE),IFERROR(IF(VLOOKUP("*CR",F562,1,FALSE)&gt;=0,"",VLOOKUP("*CR",F562,1,FALSE)),F562),""),"")</f>
        <v/>
      </c>
    </row>
    <row r="563" spans="1:8" x14ac:dyDescent="0.25">
      <c r="A563" s="1947" t="s">
        <v>1038</v>
      </c>
      <c r="B563" s="1947"/>
      <c r="C563" s="1947"/>
      <c r="D563" s="1947"/>
      <c r="E563" s="1947"/>
      <c r="F563" s="1947"/>
      <c r="G563" s="1947"/>
      <c r="H563" s="1949" t="str">
        <f>IFERROR(IF(F563&gt;=VLOOKUP(A563,[1]Materiality!$I$6:$J$12,2,TRUE),IFERROR(IF(VLOOKUP("*CR",F563,1,FALSE)&gt;=0,"",VLOOKUP("*CR",F563,1,FALSE)),F563),""),"")</f>
        <v/>
      </c>
    </row>
    <row r="564" spans="1:8" x14ac:dyDescent="0.25">
      <c r="A564" s="1947" t="s">
        <v>3214</v>
      </c>
      <c r="B564" s="1947" t="s">
        <v>2794</v>
      </c>
      <c r="C564" s="1947" t="s">
        <v>2492</v>
      </c>
      <c r="D564" s="1948">
        <v>64940</v>
      </c>
      <c r="E564" s="1947">
        <v>0</v>
      </c>
      <c r="F564" s="1948">
        <v>64940</v>
      </c>
      <c r="G564" s="1947"/>
      <c r="H564" s="1949">
        <f>IFERROR(IF(F564&gt;=VLOOKUP(A564,[1]Materiality!$I$6:$J$12,2,TRUE),IFERROR(IF(VLOOKUP("*CR",F564,1,FALSE)&gt;=0,"",VLOOKUP("*CR",F564,1,FALSE)),F564),""),"")</f>
        <v>64940</v>
      </c>
    </row>
    <row r="565" spans="1:8" x14ac:dyDescent="0.25">
      <c r="A565" s="1947" t="s">
        <v>3214</v>
      </c>
      <c r="B565" s="1947" t="s">
        <v>2795</v>
      </c>
      <c r="C565" s="1947" t="s">
        <v>2493</v>
      </c>
      <c r="D565" s="1948">
        <v>41987.71</v>
      </c>
      <c r="E565" s="1948">
        <v>41987.71</v>
      </c>
      <c r="F565" s="1947">
        <v>0</v>
      </c>
      <c r="G565" s="1947"/>
      <c r="H565" s="1949" t="str">
        <f>IFERROR(IF(F565&gt;=VLOOKUP(A565,[1]Materiality!$I$6:$J$12,2,TRUE),IFERROR(IF(VLOOKUP("*CR",F565,1,FALSE)&gt;=0,"",VLOOKUP("*CR",F565,1,FALSE)),F565),""),"")</f>
        <v/>
      </c>
    </row>
    <row r="566" spans="1:8" x14ac:dyDescent="0.25">
      <c r="A566" s="1947" t="s">
        <v>3215</v>
      </c>
      <c r="B566" s="1947" t="s">
        <v>2796</v>
      </c>
      <c r="C566" s="1947" t="s">
        <v>2494</v>
      </c>
      <c r="D566" s="1948">
        <v>44642.47</v>
      </c>
      <c r="E566" s="1947">
        <v>27.47</v>
      </c>
      <c r="F566" s="1948">
        <v>44615</v>
      </c>
      <c r="G566" s="1947"/>
      <c r="H566" s="1949">
        <f>IFERROR(IF(F566&gt;=VLOOKUP(A566,[1]Materiality!$I$6:$J$12,2,TRUE),IFERROR(IF(VLOOKUP("*CR",F566,1,FALSE)&gt;=0,"",VLOOKUP("*CR",F566,1,FALSE)),F566),""),"")</f>
        <v>44615</v>
      </c>
    </row>
    <row r="567" spans="1:8" x14ac:dyDescent="0.25">
      <c r="A567" s="1947" t="s">
        <v>3215</v>
      </c>
      <c r="B567" s="1947" t="s">
        <v>2794</v>
      </c>
      <c r="C567" s="1947" t="s">
        <v>2495</v>
      </c>
      <c r="D567" s="1948">
        <v>55060</v>
      </c>
      <c r="E567" s="1947">
        <v>0</v>
      </c>
      <c r="F567" s="1948">
        <v>55060</v>
      </c>
      <c r="G567" s="1947"/>
      <c r="H567" s="1949">
        <f>IFERROR(IF(F567&gt;=VLOOKUP(A567,[1]Materiality!$I$6:$J$12,2,TRUE),IFERROR(IF(VLOOKUP("*CR",F567,1,FALSE)&gt;=0,"",VLOOKUP("*CR",F567,1,FALSE)),F567),""),"")</f>
        <v>55060</v>
      </c>
    </row>
    <row r="568" spans="1:8" x14ac:dyDescent="0.25">
      <c r="A568" s="1947" t="s">
        <v>3216</v>
      </c>
      <c r="B568" s="1947" t="s">
        <v>2797</v>
      </c>
      <c r="C568" s="1947" t="s">
        <v>2496</v>
      </c>
      <c r="D568" s="1948">
        <v>117493.75999999999</v>
      </c>
      <c r="E568" s="1947">
        <v>0</v>
      </c>
      <c r="F568" s="1948">
        <f>117493.76-58746.88</f>
        <v>58746.879999999997</v>
      </c>
      <c r="G568" s="1947"/>
      <c r="H568" s="1949">
        <f>IFERROR(IF(F568&gt;=VLOOKUP(A568,[1]Materiality!$I$6:$J$12,2,TRUE),IFERROR(IF(VLOOKUP("*CR",F568,1,FALSE)&gt;=0,"",VLOOKUP("*CR",F568,1,FALSE)),F568),""),"")</f>
        <v>58746.879999999997</v>
      </c>
    </row>
    <row r="569" spans="1:8" x14ac:dyDescent="0.25">
      <c r="A569" s="1947" t="s">
        <v>3401</v>
      </c>
      <c r="B569" s="1947" t="s">
        <v>2698</v>
      </c>
      <c r="C569" s="1947" t="s">
        <v>2497</v>
      </c>
      <c r="D569" s="1948">
        <v>3379</v>
      </c>
      <c r="E569" s="1947">
        <v>998.11</v>
      </c>
      <c r="F569" s="1948">
        <v>2380.89</v>
      </c>
      <c r="G569" s="1947"/>
      <c r="H569" s="1949" t="str">
        <f>IFERROR(IF(F569&gt;=VLOOKUP(A569,[1]Materiality!$I$6:$J$12,2,TRUE),IFERROR(IF(VLOOKUP("*CR",F569,1,FALSE)&gt;=0,"",VLOOKUP("*CR",F569,1,FALSE)),F569),""),"")</f>
        <v/>
      </c>
    </row>
    <row r="570" spans="1:8" x14ac:dyDescent="0.25">
      <c r="A570" s="1947" t="s">
        <v>3217</v>
      </c>
      <c r="B570" s="1947" t="s">
        <v>2796</v>
      </c>
      <c r="C570" s="1947" t="s">
        <v>2498</v>
      </c>
      <c r="D570" s="1948">
        <v>920972.53</v>
      </c>
      <c r="E570" s="1947">
        <v>972.53</v>
      </c>
      <c r="F570" s="1948">
        <v>920000</v>
      </c>
      <c r="G570" s="1947"/>
      <c r="H570" s="1949">
        <f>IFERROR(IF(F570&gt;=VLOOKUP(A570,[1]Materiality!$I$6:$J$12,2,TRUE),IFERROR(IF(VLOOKUP("*CR",F570,1,FALSE)&gt;=0,"",VLOOKUP("*CR",F570,1,FALSE)),F570),""),"")</f>
        <v>920000</v>
      </c>
    </row>
    <row r="571" spans="1:8" x14ac:dyDescent="0.25">
      <c r="A571" s="1947" t="s">
        <v>3217</v>
      </c>
      <c r="B571" s="1947" t="s">
        <v>2797</v>
      </c>
      <c r="C571" s="1947" t="s">
        <v>2499</v>
      </c>
      <c r="D571" s="1948">
        <v>145000</v>
      </c>
      <c r="E571" s="1947">
        <v>0</v>
      </c>
      <c r="F571" s="1948">
        <v>145000</v>
      </c>
      <c r="G571" s="1947"/>
      <c r="H571" s="1949">
        <f>IFERROR(IF(F571&gt;=VLOOKUP(A571,[1]Materiality!$I$6:$J$12,2,TRUE),IFERROR(IF(VLOOKUP("*CR",F571,1,FALSE)&gt;=0,"",VLOOKUP("*CR",F571,1,FALSE)),F571),""),"")</f>
        <v>145000</v>
      </c>
    </row>
    <row r="572" spans="1:8" x14ac:dyDescent="0.25">
      <c r="A572" s="1947" t="s">
        <v>3218</v>
      </c>
      <c r="B572" s="1947" t="s">
        <v>2794</v>
      </c>
      <c r="C572" s="1947" t="s">
        <v>2495</v>
      </c>
      <c r="D572" s="1948">
        <v>1385000</v>
      </c>
      <c r="E572" s="1947">
        <v>0</v>
      </c>
      <c r="F572" s="1948">
        <v>1385000</v>
      </c>
      <c r="G572" s="1947"/>
      <c r="H572" s="1949">
        <f>IFERROR(IF(F572&gt;=VLOOKUP(A572,[1]Materiality!$I$6:$J$12,2,TRUE),IFERROR(IF(VLOOKUP("*CR",F572,1,FALSE)&gt;=0,"",VLOOKUP("*CR",F572,1,FALSE)),F572),""),"")</f>
        <v>1385000</v>
      </c>
    </row>
    <row r="573" spans="1:8" x14ac:dyDescent="0.25">
      <c r="A573" s="1947" t="s">
        <v>3402</v>
      </c>
      <c r="B573" s="1947" t="s">
        <v>2698</v>
      </c>
      <c r="C573" s="1947" t="s">
        <v>2500</v>
      </c>
      <c r="D573" s="1948">
        <v>121913.2</v>
      </c>
      <c r="E573" s="1947">
        <v>0</v>
      </c>
      <c r="F573" s="1948">
        <v>121912</v>
      </c>
      <c r="G573" s="1947"/>
      <c r="H573" s="1949">
        <f>IFERROR(IF(F573&gt;=VLOOKUP(A573,[1]Materiality!$I$6:$J$12,2,TRUE),IFERROR(IF(VLOOKUP("*CR",F573,1,FALSE)&gt;=0,"",VLOOKUP("*CR",F573,1,FALSE)),F573),""),"")</f>
        <v>121912</v>
      </c>
    </row>
    <row r="574" spans="1:8" x14ac:dyDescent="0.25">
      <c r="A574" s="1947" t="s">
        <v>3219</v>
      </c>
      <c r="B574" s="1947" t="s">
        <v>2698</v>
      </c>
      <c r="C574" s="1947" t="s">
        <v>2501</v>
      </c>
      <c r="D574" s="1948">
        <v>1475</v>
      </c>
      <c r="E574" s="1947">
        <v>0</v>
      </c>
      <c r="F574" s="1948">
        <v>1475</v>
      </c>
      <c r="G574" s="1947"/>
      <c r="H574" s="1949" t="str">
        <f>IFERROR(IF(F574&gt;=VLOOKUP(A574,[1]Materiality!$I$6:$J$12,2,TRUE),IFERROR(IF(VLOOKUP("*CR",F574,1,FALSE)&gt;=0,"",VLOOKUP("*CR",F574,1,FALSE)),F574),""),"")</f>
        <v/>
      </c>
    </row>
    <row r="575" spans="1:8" x14ac:dyDescent="0.25">
      <c r="A575" s="1947" t="s">
        <v>1038</v>
      </c>
      <c r="B575" s="1947"/>
      <c r="C575" s="1947"/>
      <c r="D575" s="1947"/>
      <c r="E575" s="1947"/>
      <c r="F575" s="1947"/>
      <c r="G575" s="1947"/>
      <c r="H575" s="1949" t="str">
        <f>IFERROR(IF(F575&gt;=VLOOKUP(A575,[1]Materiality!$I$6:$J$12,2,TRUE),IFERROR(IF(VLOOKUP("*CR",F575,1,FALSE)&gt;=0,"",VLOOKUP("*CR",F575,1,FALSE)),F575),""),"")</f>
        <v/>
      </c>
    </row>
    <row r="576" spans="1:8" x14ac:dyDescent="0.25">
      <c r="A576" s="1952" t="s">
        <v>2852</v>
      </c>
      <c r="B576" s="1952" t="s">
        <v>2798</v>
      </c>
      <c r="C576" s="1947" t="s">
        <v>2502</v>
      </c>
      <c r="D576" s="1948">
        <v>2901863.67</v>
      </c>
      <c r="E576" s="1948">
        <v>43985.82</v>
      </c>
      <c r="F576" s="1948">
        <v>2857877.85</v>
      </c>
      <c r="G576" s="1947"/>
      <c r="H576" s="1949" t="str">
        <f>IFERROR(IF(F576&gt;=VLOOKUP(A576,[1]Materiality!$I$6:$J$12,2,TRUE),IFERROR(IF(VLOOKUP("*CR",F576,1,FALSE)&gt;=0,"",VLOOKUP("*CR",F576,1,FALSE)),F576),""),"")</f>
        <v/>
      </c>
    </row>
    <row r="577" spans="1:8" x14ac:dyDescent="0.25">
      <c r="A577" s="1947" t="s">
        <v>1038</v>
      </c>
      <c r="B577" s="1947"/>
      <c r="C577" s="1947"/>
      <c r="D577" s="1947"/>
      <c r="E577" s="1947"/>
      <c r="F577" s="1947"/>
      <c r="G577" s="1947"/>
      <c r="H577" s="1949" t="str">
        <f>IFERROR(IF(F577&gt;=VLOOKUP(A577,[1]Materiality!$I$6:$J$12,2,TRUE),IFERROR(IF(VLOOKUP("*CR",F577,1,FALSE)&gt;=0,"",VLOOKUP("*CR",F577,1,FALSE)),F577),""),"")</f>
        <v/>
      </c>
    </row>
    <row r="578" spans="1:8" x14ac:dyDescent="0.25">
      <c r="A578" s="1952" t="s">
        <v>2852</v>
      </c>
      <c r="B578" s="1952" t="s">
        <v>2799</v>
      </c>
      <c r="C578" s="1947" t="s">
        <v>2503</v>
      </c>
      <c r="D578" s="1948">
        <v>2902738.56</v>
      </c>
      <c r="E578" s="1948">
        <v>2897812.9</v>
      </c>
      <c r="F578" s="1948">
        <v>4925.66</v>
      </c>
      <c r="G578" s="1947"/>
      <c r="H578" s="1949" t="str">
        <f>IFERROR(IF(F578&gt;=VLOOKUP(A578,[1]Materiality!$I$6:$J$12,2,TRUE),IFERROR(IF(VLOOKUP("*CR",F578,1,FALSE)&gt;=0,"",VLOOKUP("*CR",F578,1,FALSE)),F578),""),"")</f>
        <v/>
      </c>
    </row>
    <row r="579" spans="1:8" x14ac:dyDescent="0.25">
      <c r="A579" s="1947" t="s">
        <v>1038</v>
      </c>
      <c r="B579" s="1952"/>
      <c r="C579" s="1947"/>
      <c r="D579" s="1948"/>
      <c r="E579" s="1948"/>
      <c r="F579" s="1948"/>
      <c r="G579" s="1947"/>
      <c r="H579" s="1949" t="str">
        <f>IFERROR(IF(F579&gt;=VLOOKUP(A579,[1]Materiality!$I$6:$J$12,2,TRUE),IFERROR(IF(VLOOKUP("*CR",F579,1,FALSE)&gt;=0,"",VLOOKUP("*CR",F579,1,FALSE)),F579),""),"")</f>
        <v/>
      </c>
    </row>
    <row r="580" spans="1:8" s="1947" customFormat="1" x14ac:dyDescent="0.25">
      <c r="A580" s="1947" t="s">
        <v>3220</v>
      </c>
      <c r="B580" s="1947" t="s">
        <v>2698</v>
      </c>
      <c r="C580" s="1947" t="s">
        <v>2504</v>
      </c>
      <c r="D580" s="1948">
        <v>1797722.63</v>
      </c>
      <c r="E580" s="1948">
        <v>1655460.58</v>
      </c>
      <c r="F580" s="1948">
        <v>142262.04999999999</v>
      </c>
      <c r="G580" s="1948">
        <v>284936.8</v>
      </c>
      <c r="H580" s="1949">
        <f>IFERROR(IF(F580&gt;=VLOOKUP(A580,[1]Materiality!$I$6:$J$12,2,TRUE),IFERROR(IF(VLOOKUP("*CR",F580,1,FALSE)&gt;=0,"",VLOOKUP("*CR",F580,1,FALSE)),F580),""),"")</f>
        <v>142262.04999999999</v>
      </c>
    </row>
    <row r="581" spans="1:8" s="1947" customFormat="1" x14ac:dyDescent="0.25">
      <c r="A581" s="1947" t="s">
        <v>3221</v>
      </c>
      <c r="B581" s="1947" t="s">
        <v>2698</v>
      </c>
      <c r="C581" s="1947" t="s">
        <v>2505</v>
      </c>
      <c r="D581" s="1947">
        <v>202.17</v>
      </c>
      <c r="E581" s="1947">
        <v>0</v>
      </c>
      <c r="F581" s="1947">
        <v>202.17</v>
      </c>
      <c r="G581" s="1948">
        <v>134481.26999999999</v>
      </c>
      <c r="H581" s="1949" t="str">
        <f>IFERROR(IF(F581&gt;=VLOOKUP(A581,[1]Materiality!$I$6:$J$12,2,TRUE),IFERROR(IF(VLOOKUP("*CR",F581,1,FALSE)&gt;=0,"",VLOOKUP("*CR",F581,1,FALSE)),F581),""),"")</f>
        <v/>
      </c>
    </row>
    <row r="582" spans="1:8" s="1947" customFormat="1" x14ac:dyDescent="0.25">
      <c r="A582" s="1947" t="s">
        <v>3222</v>
      </c>
      <c r="B582" s="1947" t="s">
        <v>2698</v>
      </c>
      <c r="C582" s="1947" t="s">
        <v>2506</v>
      </c>
      <c r="D582" s="1947">
        <v>0</v>
      </c>
      <c r="E582" s="1947">
        <v>0</v>
      </c>
      <c r="F582" s="1947">
        <v>0</v>
      </c>
      <c r="G582" s="1948">
        <v>5107.28</v>
      </c>
      <c r="H582" s="1949" t="str">
        <f>IFERROR(IF(F582&gt;=VLOOKUP(A582,[1]Materiality!$I$6:$J$12,2,TRUE),IFERROR(IF(VLOOKUP("*CR",F582,1,FALSE)&gt;=0,"",VLOOKUP("*CR",F582,1,FALSE)),F582),""),"")</f>
        <v/>
      </c>
    </row>
    <row r="583" spans="1:8" s="1947" customFormat="1" x14ac:dyDescent="0.25">
      <c r="A583" s="1947" t="s">
        <v>3223</v>
      </c>
      <c r="B583" s="1947" t="s">
        <v>2698</v>
      </c>
      <c r="C583" s="1947" t="s">
        <v>2507</v>
      </c>
      <c r="D583" s="1947">
        <v>0.36</v>
      </c>
      <c r="E583" s="1947">
        <v>0</v>
      </c>
      <c r="F583" s="1947">
        <v>0.36</v>
      </c>
      <c r="G583" s="1947">
        <v>572.78</v>
      </c>
      <c r="H583" s="1949" t="str">
        <f>IFERROR(IF(F583&gt;=VLOOKUP(A583,[1]Materiality!$I$6:$J$12,2,TRUE),IFERROR(IF(VLOOKUP("*CR",F583,1,FALSE)&gt;=0,"",VLOOKUP("*CR",F583,1,FALSE)),F583),""),"")</f>
        <v/>
      </c>
    </row>
    <row r="584" spans="1:8" s="1947" customFormat="1" x14ac:dyDescent="0.25">
      <c r="A584" s="1947" t="s">
        <v>3224</v>
      </c>
      <c r="B584" s="1947" t="s">
        <v>2698</v>
      </c>
      <c r="C584" s="1947" t="s">
        <v>2508</v>
      </c>
      <c r="D584" s="1948">
        <v>122950.56</v>
      </c>
      <c r="E584" s="1948">
        <v>122950.56</v>
      </c>
      <c r="F584" s="1947">
        <v>0</v>
      </c>
      <c r="G584" s="1947">
        <v>0</v>
      </c>
      <c r="H584" s="1949" t="str">
        <f>IFERROR(IF(F584&gt;=VLOOKUP(A584,[1]Materiality!$I$6:$J$12,2,TRUE),IFERROR(IF(VLOOKUP("*CR",F584,1,FALSE)&gt;=0,"",VLOOKUP("*CR",F584,1,FALSE)),F584),""),"")</f>
        <v/>
      </c>
    </row>
    <row r="585" spans="1:8" s="1947" customFormat="1" x14ac:dyDescent="0.25">
      <c r="A585" s="1947" t="s">
        <v>3225</v>
      </c>
      <c r="B585" s="1947" t="s">
        <v>2698</v>
      </c>
      <c r="C585" s="1947" t="s">
        <v>2509</v>
      </c>
      <c r="D585" s="1948">
        <v>505721.84</v>
      </c>
      <c r="E585" s="1948">
        <v>498000</v>
      </c>
      <c r="F585" s="1948">
        <v>7721.84</v>
      </c>
      <c r="G585" s="1948">
        <v>585108.61</v>
      </c>
      <c r="H585" s="1949" t="str">
        <f>IFERROR(IF(F585&gt;=VLOOKUP(A585,[1]Materiality!$I$6:$J$12,2,TRUE),IFERROR(IF(VLOOKUP("*CR",F585,1,FALSE)&gt;=0,"",VLOOKUP("*CR",F585,1,FALSE)),F585),""),"")</f>
        <v/>
      </c>
    </row>
    <row r="586" spans="1:8" s="1947" customFormat="1" x14ac:dyDescent="0.25">
      <c r="A586" s="1947" t="s">
        <v>3226</v>
      </c>
      <c r="B586" s="1947" t="s">
        <v>2698</v>
      </c>
      <c r="C586" s="1947" t="s">
        <v>2510</v>
      </c>
      <c r="D586" s="1948">
        <v>1077344.52</v>
      </c>
      <c r="E586" s="1948">
        <v>1077344.52</v>
      </c>
      <c r="F586" s="1947">
        <v>0</v>
      </c>
      <c r="G586" s="1947">
        <v>0</v>
      </c>
      <c r="H586" s="1949" t="str">
        <f>IFERROR(IF(F586&gt;=VLOOKUP(A586,[1]Materiality!$I$6:$J$12,2,TRUE),IFERROR(IF(VLOOKUP("*CR",F586,1,FALSE)&gt;=0,"",VLOOKUP("*CR",F586,1,FALSE)),F586),""),"")</f>
        <v/>
      </c>
    </row>
    <row r="587" spans="1:8" s="1947" customFormat="1" x14ac:dyDescent="0.25">
      <c r="A587" s="1947" t="s">
        <v>3227</v>
      </c>
      <c r="B587" s="1947" t="s">
        <v>2698</v>
      </c>
      <c r="C587" s="1947" t="s">
        <v>2511</v>
      </c>
      <c r="D587" s="1947">
        <v>775.32</v>
      </c>
      <c r="E587" s="1947">
        <v>775.32</v>
      </c>
      <c r="F587" s="1947">
        <v>0</v>
      </c>
      <c r="G587" s="1947">
        <v>0</v>
      </c>
      <c r="H587" s="1949" t="str">
        <f>IFERROR(IF(F587&gt;=VLOOKUP(A587,[1]Materiality!$I$6:$J$12,2,TRUE),IFERROR(IF(VLOOKUP("*CR",F587,1,FALSE)&gt;=0,"",VLOOKUP("*CR",F587,1,FALSE)),F587),""),"")</f>
        <v/>
      </c>
    </row>
    <row r="588" spans="1:8" s="1947" customFormat="1" x14ac:dyDescent="0.25">
      <c r="A588" s="1947" t="s">
        <v>3228</v>
      </c>
      <c r="B588" s="1947" t="s">
        <v>2698</v>
      </c>
      <c r="C588" s="1947" t="s">
        <v>2512</v>
      </c>
      <c r="D588" s="1947">
        <v>846.65</v>
      </c>
      <c r="E588" s="1947">
        <v>846.65</v>
      </c>
      <c r="F588" s="1947">
        <v>0</v>
      </c>
      <c r="G588" s="1947">
        <v>0</v>
      </c>
      <c r="H588" s="1949" t="str">
        <f>IFERROR(IF(F588&gt;=VLOOKUP(A588,[1]Materiality!$I$6:$J$12,2,TRUE),IFERROR(IF(VLOOKUP("*CR",F588,1,FALSE)&gt;=0,"",VLOOKUP("*CR",F588,1,FALSE)),F588),""),"")</f>
        <v/>
      </c>
    </row>
    <row r="589" spans="1:8" s="1947" customFormat="1" x14ac:dyDescent="0.25">
      <c r="A589" s="1947" t="s">
        <v>3229</v>
      </c>
      <c r="B589" s="1947" t="s">
        <v>2698</v>
      </c>
      <c r="C589" s="1947" t="s">
        <v>2513</v>
      </c>
      <c r="D589" s="1947">
        <v>312.27999999999997</v>
      </c>
      <c r="E589" s="1947">
        <v>312.27999999999997</v>
      </c>
      <c r="F589" s="1947">
        <v>0</v>
      </c>
      <c r="G589" s="1947">
        <v>0</v>
      </c>
      <c r="H589" s="1949" t="str">
        <f>IFERROR(IF(F589&gt;=VLOOKUP(A589,[1]Materiality!$I$6:$J$12,2,TRUE),IFERROR(IF(VLOOKUP("*CR",F589,1,FALSE)&gt;=0,"",VLOOKUP("*CR",F589,1,FALSE)),F589),""),"")</f>
        <v/>
      </c>
    </row>
    <row r="590" spans="1:8" s="1947" customFormat="1" x14ac:dyDescent="0.25">
      <c r="A590" s="1947" t="s">
        <v>3230</v>
      </c>
      <c r="B590" s="1947" t="s">
        <v>2698</v>
      </c>
      <c r="C590" s="1947" t="s">
        <v>2514</v>
      </c>
      <c r="D590" s="1947">
        <v>488.16</v>
      </c>
      <c r="E590" s="1947">
        <v>488.16</v>
      </c>
      <c r="F590" s="1947">
        <v>0</v>
      </c>
      <c r="G590" s="1947">
        <v>0</v>
      </c>
      <c r="H590" s="1949" t="str">
        <f>IFERROR(IF(F590&gt;=VLOOKUP(A590,[1]Materiality!$I$6:$J$12,2,TRUE),IFERROR(IF(VLOOKUP("*CR",F590,1,FALSE)&gt;=0,"",VLOOKUP("*CR",F590,1,FALSE)),F590),""),"")</f>
        <v/>
      </c>
    </row>
    <row r="591" spans="1:8" s="1947" customFormat="1" x14ac:dyDescent="0.25">
      <c r="A591" s="1947" t="s">
        <v>3231</v>
      </c>
      <c r="B591" s="1947" t="s">
        <v>2698</v>
      </c>
      <c r="C591" s="1947" t="s">
        <v>2515</v>
      </c>
      <c r="D591" s="1947">
        <v>87.24</v>
      </c>
      <c r="E591" s="1947">
        <v>87.24</v>
      </c>
      <c r="F591" s="1947">
        <v>0</v>
      </c>
      <c r="G591" s="1947">
        <v>0</v>
      </c>
      <c r="H591" s="1949" t="str">
        <f>IFERROR(IF(F591&gt;=VLOOKUP(A591,[1]Materiality!$I$6:$J$12,2,TRUE),IFERROR(IF(VLOOKUP("*CR",F591,1,FALSE)&gt;=0,"",VLOOKUP("*CR",F591,1,FALSE)),F591),""),"")</f>
        <v/>
      </c>
    </row>
    <row r="592" spans="1:8" s="1947" customFormat="1" x14ac:dyDescent="0.25">
      <c r="A592" s="1947" t="s">
        <v>3232</v>
      </c>
      <c r="B592" s="1947" t="s">
        <v>2698</v>
      </c>
      <c r="C592" s="1947" t="s">
        <v>2516</v>
      </c>
      <c r="D592" s="1948">
        <v>6858.96</v>
      </c>
      <c r="E592" s="1948">
        <v>6858.96</v>
      </c>
      <c r="F592" s="1947">
        <v>0</v>
      </c>
      <c r="G592" s="1947">
        <v>0</v>
      </c>
      <c r="H592" s="1949" t="str">
        <f>IFERROR(IF(F592&gt;=VLOOKUP(A592,[1]Materiality!$I$6:$J$12,2,TRUE),IFERROR(IF(VLOOKUP("*CR",F592,1,FALSE)&gt;=0,"",VLOOKUP("*CR",F592,1,FALSE)),F592),""),"")</f>
        <v/>
      </c>
    </row>
    <row r="593" spans="1:8" s="1947" customFormat="1" x14ac:dyDescent="0.25">
      <c r="A593" s="1947" t="s">
        <v>3233</v>
      </c>
      <c r="B593" s="1947" t="s">
        <v>2698</v>
      </c>
      <c r="C593" s="1947" t="s">
        <v>2517</v>
      </c>
      <c r="D593" s="1947">
        <v>0</v>
      </c>
      <c r="E593" s="1947">
        <v>186.24</v>
      </c>
      <c r="F593" s="1947">
        <v>186.24</v>
      </c>
      <c r="G593" s="1947" t="s">
        <v>2518</v>
      </c>
      <c r="H593" s="1949" t="str">
        <f>IFERROR(IF(F593&gt;=VLOOKUP(A593,[1]Materiality!$I$6:$J$12,2,TRUE),IFERROR(IF(VLOOKUP("*CR",F593,1,FALSE)&gt;=0,"",VLOOKUP("*CR",F593,1,FALSE)),F593),""),"")</f>
        <v/>
      </c>
    </row>
    <row r="594" spans="1:8" s="1947" customFormat="1" x14ac:dyDescent="0.25">
      <c r="A594" s="1947" t="s">
        <v>2857</v>
      </c>
      <c r="B594" s="1947" t="s">
        <v>2699</v>
      </c>
      <c r="C594" s="1947" t="s">
        <v>2519</v>
      </c>
      <c r="D594" s="1948">
        <v>1320571.55</v>
      </c>
      <c r="E594" s="1948">
        <v>1470571.73</v>
      </c>
      <c r="F594" s="1948">
        <v>150000.18</v>
      </c>
      <c r="G594" s="1947" t="s">
        <v>2520</v>
      </c>
      <c r="H594" s="1949">
        <f>IFERROR(IF(F594&gt;=VLOOKUP(A594,[1]Materiality!$I$6:$J$12,2,TRUE),IFERROR(IF(VLOOKUP("*CR",F594,1,FALSE)&gt;=0,"",VLOOKUP("*CR",F594,1,FALSE)),F594),""),"")</f>
        <v>150000.18</v>
      </c>
    </row>
    <row r="595" spans="1:8" s="1947" customFormat="1" x14ac:dyDescent="0.25">
      <c r="A595" s="1947" t="s">
        <v>1038</v>
      </c>
      <c r="H595" s="1949" t="str">
        <f>IFERROR(IF(F595&gt;=VLOOKUP(A595,[1]Materiality!$I$6:$J$12,2,TRUE),IFERROR(IF(VLOOKUP("*CR",F595,1,FALSE)&gt;=0,"",VLOOKUP("*CR",F595,1,FALSE)),F595),""),"")</f>
        <v/>
      </c>
    </row>
    <row r="596" spans="1:8" s="1947" customFormat="1" x14ac:dyDescent="0.25">
      <c r="A596" s="1952" t="s">
        <v>2852</v>
      </c>
      <c r="B596" s="1952" t="s">
        <v>2800</v>
      </c>
      <c r="C596" s="1947" t="s">
        <v>2521</v>
      </c>
      <c r="D596" s="1948">
        <v>4833882.24</v>
      </c>
      <c r="E596" s="1948">
        <v>4833882.24</v>
      </c>
      <c r="F596" s="1947">
        <v>0</v>
      </c>
      <c r="G596" s="1947">
        <v>0</v>
      </c>
      <c r="H596" s="1949" t="str">
        <f>IFERROR(IF(F596&gt;=VLOOKUP(A596,[1]Materiality!$I$6:$J$12,2,TRUE),IFERROR(IF(VLOOKUP("*CR",F596,1,FALSE)&gt;=0,"",VLOOKUP("*CR",F596,1,FALSE)),F596),""),"")</f>
        <v/>
      </c>
    </row>
    <row r="597" spans="1:8" s="1947" customFormat="1" x14ac:dyDescent="0.25">
      <c r="A597" s="1947" t="s">
        <v>1038</v>
      </c>
      <c r="H597" s="1949" t="str">
        <f>IFERROR(IF(F597&gt;=VLOOKUP(A597,[1]Materiality!$I$6:$J$12,2,TRUE),IFERROR(IF(VLOOKUP("*CR",F597,1,FALSE)&gt;=0,"",VLOOKUP("*CR",F597,1,FALSE)),F597),""),"")</f>
        <v/>
      </c>
    </row>
    <row r="598" spans="1:8" s="1947" customFormat="1" x14ac:dyDescent="0.25">
      <c r="A598" s="1947" t="s">
        <v>3234</v>
      </c>
      <c r="B598" s="1947" t="s">
        <v>2698</v>
      </c>
      <c r="C598" s="1947" t="s">
        <v>2522</v>
      </c>
      <c r="D598" s="1948">
        <v>122950.56</v>
      </c>
      <c r="E598" s="1948">
        <v>792218.73</v>
      </c>
      <c r="F598" s="1948">
        <v>669268.17000000004</v>
      </c>
      <c r="H598" s="1949">
        <f>IFERROR(IF(F598&gt;=VLOOKUP(A598,[1]Materiality!$I$6:$J$12,2,TRUE),IFERROR(IF(VLOOKUP("*CR",F598,1,FALSE)&gt;=0,"",VLOOKUP("*CR",F598,1,FALSE)),F598),""),"")</f>
        <v>669268.17000000004</v>
      </c>
    </row>
    <row r="599" spans="1:8" s="1947" customFormat="1" x14ac:dyDescent="0.25">
      <c r="A599" s="1947" t="s">
        <v>3235</v>
      </c>
      <c r="B599" s="1947" t="s">
        <v>2698</v>
      </c>
      <c r="C599" s="1947" t="s">
        <v>2522</v>
      </c>
      <c r="D599" s="1947">
        <v>0</v>
      </c>
      <c r="E599" s="1948">
        <v>8983.19</v>
      </c>
      <c r="F599" s="1948">
        <f>8983.19+1</f>
        <v>8984.19</v>
      </c>
      <c r="H599" s="1949" t="str">
        <f>IFERROR(IF(F599&gt;=VLOOKUP(A599,[1]Materiality!$I$6:$J$12,2,TRUE),IFERROR(IF(VLOOKUP("*CR",F599,1,FALSE)&gt;=0,"",VLOOKUP("*CR",F599,1,FALSE)),F599),""),"")</f>
        <v/>
      </c>
    </row>
    <row r="600" spans="1:8" s="1947" customFormat="1" x14ac:dyDescent="0.25">
      <c r="A600" s="1947" t="s">
        <v>3236</v>
      </c>
      <c r="B600" s="1947" t="s">
        <v>2698</v>
      </c>
      <c r="C600" s="1947" t="s">
        <v>2522</v>
      </c>
      <c r="D600" s="1947">
        <v>0</v>
      </c>
      <c r="E600" s="1947">
        <v>279.38</v>
      </c>
      <c r="F600" s="1947">
        <v>279.38</v>
      </c>
      <c r="H600" s="1949" t="str">
        <f>IFERROR(IF(F600&gt;=VLOOKUP(A600,[1]Materiality!$I$6:$J$12,2,TRUE),IFERROR(IF(VLOOKUP("*CR",F600,1,FALSE)&gt;=0,"",VLOOKUP("*CR",F600,1,FALSE)),F600),""),"")</f>
        <v/>
      </c>
    </row>
    <row r="601" spans="1:8" s="1947" customFormat="1" x14ac:dyDescent="0.25">
      <c r="A601" s="1947" t="s">
        <v>3237</v>
      </c>
      <c r="B601" s="1947" t="s">
        <v>2698</v>
      </c>
      <c r="C601" s="1947" t="s">
        <v>2522</v>
      </c>
      <c r="D601" s="1947">
        <v>0</v>
      </c>
      <c r="E601" s="1948">
        <v>109419.13</v>
      </c>
      <c r="F601" s="1948">
        <v>109419.13</v>
      </c>
      <c r="H601" s="1949">
        <f>IFERROR(IF(F601&gt;=VLOOKUP(A601,[1]Materiality!$I$6:$J$12,2,TRUE),IFERROR(IF(VLOOKUP("*CR",F601,1,FALSE)&gt;=0,"",VLOOKUP("*CR",F601,1,FALSE)),F601),""),"")</f>
        <v>109419.13</v>
      </c>
    </row>
    <row r="602" spans="1:8" s="1947" customFormat="1" x14ac:dyDescent="0.25">
      <c r="A602" s="1947" t="s">
        <v>3238</v>
      </c>
      <c r="B602" s="1947" t="s">
        <v>2698</v>
      </c>
      <c r="C602" s="1947" t="s">
        <v>2522</v>
      </c>
      <c r="D602" s="1948">
        <v>71504.41</v>
      </c>
      <c r="E602" s="1948">
        <v>517758.2</v>
      </c>
      <c r="F602" s="1948">
        <v>446253.79</v>
      </c>
      <c r="H602" s="1949">
        <f>IFERROR(IF(F602&gt;=VLOOKUP(A602,[1]Materiality!$I$6:$J$12,2,TRUE),IFERROR(IF(VLOOKUP("*CR",F602,1,FALSE)&gt;=0,"",VLOOKUP("*CR",F602,1,FALSE)),F602),""),"")</f>
        <v>446253.79</v>
      </c>
    </row>
    <row r="603" spans="1:8" s="1947" customFormat="1" x14ac:dyDescent="0.25">
      <c r="A603" s="1947" t="s">
        <v>1038</v>
      </c>
      <c r="H603" s="1949" t="str">
        <f>IFERROR(IF(F603&gt;=VLOOKUP(A603,[1]Materiality!$I$6:$J$12,2,TRUE),IFERROR(IF(VLOOKUP("*CR",F603,1,FALSE)&gt;=0,"",VLOOKUP("*CR",F603,1,FALSE)),F603),""),"")</f>
        <v/>
      </c>
    </row>
    <row r="604" spans="1:8" s="1947" customFormat="1" x14ac:dyDescent="0.25">
      <c r="A604" s="1952" t="s">
        <v>2852</v>
      </c>
      <c r="B604" s="1952" t="s">
        <v>2801</v>
      </c>
      <c r="C604" s="1947" t="s">
        <v>2491</v>
      </c>
      <c r="D604" s="1948">
        <v>194454.97</v>
      </c>
      <c r="E604" s="1948">
        <v>1428658.63</v>
      </c>
      <c r="F604" s="1948">
        <v>1234203.6599999999</v>
      </c>
      <c r="H604" s="1949" t="str">
        <f>IFERROR(IF(F604&gt;=VLOOKUP(A604,[1]Materiality!$I$6:$J$12,2,TRUE),IFERROR(IF(VLOOKUP("*CR",F604,1,FALSE)&gt;=0,"",VLOOKUP("*CR",F604,1,FALSE)),F604),""),"")</f>
        <v/>
      </c>
    </row>
    <row r="605" spans="1:8" s="1947" customFormat="1" x14ac:dyDescent="0.25">
      <c r="A605" s="1947" t="s">
        <v>1038</v>
      </c>
      <c r="H605" s="1949" t="str">
        <f>IFERROR(IF(F605&gt;=VLOOKUP(A605,[1]Materiality!$I$6:$J$12,2,TRUE),IFERROR(IF(VLOOKUP("*CR",F605,1,FALSE)&gt;=0,"",VLOOKUP("*CR",F605,1,FALSE)),F605),""),"")</f>
        <v/>
      </c>
    </row>
    <row r="606" spans="1:8" s="1947" customFormat="1" x14ac:dyDescent="0.25">
      <c r="A606" s="1947" t="s">
        <v>3239</v>
      </c>
      <c r="B606" s="1947" t="s">
        <v>2731</v>
      </c>
      <c r="C606" s="1947" t="s">
        <v>2523</v>
      </c>
      <c r="D606" s="1948">
        <v>6102</v>
      </c>
      <c r="E606" s="1947">
        <v>0</v>
      </c>
      <c r="F606" s="1948">
        <v>6102</v>
      </c>
      <c r="H606" s="1949" t="str">
        <f>IFERROR(IF(F606&gt;=VLOOKUP(A606,[1]Materiality!$I$6:$J$12,2,TRUE),IFERROR(IF(VLOOKUP("*CR",F606,1,FALSE)&gt;=0,"",VLOOKUP("*CR",F606,1,FALSE)),F606),""),"")</f>
        <v/>
      </c>
    </row>
    <row r="607" spans="1:8" s="1947" customFormat="1" x14ac:dyDescent="0.25">
      <c r="A607" s="1947" t="s">
        <v>3240</v>
      </c>
      <c r="B607" s="1947" t="s">
        <v>2731</v>
      </c>
      <c r="C607" s="1947" t="s">
        <v>2524</v>
      </c>
      <c r="D607" s="1947">
        <v>603.48</v>
      </c>
      <c r="E607" s="1947">
        <v>0</v>
      </c>
      <c r="F607" s="1947">
        <v>603.48</v>
      </c>
      <c r="H607" s="1949" t="str">
        <f>IFERROR(IF(F607&gt;=VLOOKUP(A607,[1]Materiality!$I$6:$J$12,2,TRUE),IFERROR(IF(VLOOKUP("*CR",F607,1,FALSE)&gt;=0,"",VLOOKUP("*CR",F607,1,FALSE)),F607),""),"")</f>
        <v/>
      </c>
    </row>
    <row r="608" spans="1:8" s="1947" customFormat="1" x14ac:dyDescent="0.25">
      <c r="A608" s="1947" t="s">
        <v>3241</v>
      </c>
      <c r="B608" s="1947" t="s">
        <v>2731</v>
      </c>
      <c r="C608" s="1947" t="s">
        <v>2524</v>
      </c>
      <c r="D608" s="1947">
        <v>35.4</v>
      </c>
      <c r="E608" s="1947">
        <v>0</v>
      </c>
      <c r="F608" s="1947">
        <v>35.4</v>
      </c>
      <c r="H608" s="1949" t="str">
        <f>IFERROR(IF(F608&gt;=VLOOKUP(A608,[1]Materiality!$I$6:$J$12,2,TRUE),IFERROR(IF(VLOOKUP("*CR",F608,1,FALSE)&gt;=0,"",VLOOKUP("*CR",F608,1,FALSE)),F608),""),"")</f>
        <v/>
      </c>
    </row>
    <row r="609" spans="1:8" s="1947" customFormat="1" x14ac:dyDescent="0.25">
      <c r="A609" s="1947" t="s">
        <v>3242</v>
      </c>
      <c r="B609" s="1947" t="s">
        <v>2731</v>
      </c>
      <c r="C609" s="1947" t="s">
        <v>2525</v>
      </c>
      <c r="D609" s="1947">
        <v>118.08</v>
      </c>
      <c r="E609" s="1947">
        <v>0</v>
      </c>
      <c r="F609" s="1947">
        <v>118.08</v>
      </c>
      <c r="H609" s="1949" t="str">
        <f>IFERROR(IF(F609&gt;=VLOOKUP(A609,[1]Materiality!$I$6:$J$12,2,TRUE),IFERROR(IF(VLOOKUP("*CR",F609,1,FALSE)&gt;=0,"",VLOOKUP("*CR",F609,1,FALSE)),F609),""),"")</f>
        <v/>
      </c>
    </row>
    <row r="610" spans="1:8" s="1947" customFormat="1" x14ac:dyDescent="0.25">
      <c r="A610" s="1947" t="s">
        <v>3243</v>
      </c>
      <c r="B610" s="1947" t="s">
        <v>2698</v>
      </c>
      <c r="C610" s="1947" t="s">
        <v>2526</v>
      </c>
      <c r="D610" s="1948">
        <v>2151.5500000000002</v>
      </c>
      <c r="E610" s="1947">
        <v>0</v>
      </c>
      <c r="F610" s="1948">
        <v>2151.5500000000002</v>
      </c>
      <c r="H610" s="1949" t="str">
        <f>IFERROR(IF(F610&gt;=VLOOKUP(A610,[1]Materiality!$I$6:$J$12,2,TRUE),IFERROR(IF(VLOOKUP("*CR",F610,1,FALSE)&gt;=0,"",VLOOKUP("*CR",F610,1,FALSE)),F610),""),"")</f>
        <v/>
      </c>
    </row>
    <row r="611" spans="1:8" s="1947" customFormat="1" x14ac:dyDescent="0.25">
      <c r="A611" s="1947" t="s">
        <v>3244</v>
      </c>
      <c r="B611" s="1947" t="s">
        <v>2721</v>
      </c>
      <c r="C611" s="1947" t="s">
        <v>2527</v>
      </c>
      <c r="D611" s="1948">
        <v>241253.93</v>
      </c>
      <c r="E611" s="1948">
        <v>31885.1</v>
      </c>
      <c r="F611" s="1948">
        <v>209368.83</v>
      </c>
      <c r="H611" s="1949">
        <f>IFERROR(IF(F611&gt;=VLOOKUP(A611,[1]Materiality!$I$6:$J$12,2,TRUE),IFERROR(IF(VLOOKUP("*CR",F611,1,FALSE)&gt;=0,"",VLOOKUP("*CR",F611,1,FALSE)),F611),""),"")</f>
        <v>209368.83</v>
      </c>
    </row>
    <row r="612" spans="1:8" s="1947" customFormat="1" x14ac:dyDescent="0.25">
      <c r="A612" s="1947" t="s">
        <v>3245</v>
      </c>
      <c r="B612" s="1947" t="s">
        <v>2721</v>
      </c>
      <c r="C612" s="1947" t="s">
        <v>2528</v>
      </c>
      <c r="D612" s="1948">
        <v>1200.44</v>
      </c>
      <c r="E612" s="1947">
        <v>0</v>
      </c>
      <c r="F612" s="1948">
        <v>1200.44</v>
      </c>
      <c r="H612" s="1949" t="str">
        <f>IFERROR(IF(F612&gt;=VLOOKUP(A612,[1]Materiality!$I$6:$J$12,2,TRUE),IFERROR(IF(VLOOKUP("*CR",F612,1,FALSE)&gt;=0,"",VLOOKUP("*CR",F612,1,FALSE)),F612),""),"")</f>
        <v/>
      </c>
    </row>
    <row r="613" spans="1:8" s="1947" customFormat="1" x14ac:dyDescent="0.25">
      <c r="A613" s="1947" t="s">
        <v>3245</v>
      </c>
      <c r="B613" s="1947" t="s">
        <v>2775</v>
      </c>
      <c r="C613" s="1947" t="s">
        <v>2529</v>
      </c>
      <c r="D613" s="1948">
        <v>7322.7</v>
      </c>
      <c r="E613" s="1947">
        <v>0</v>
      </c>
      <c r="F613" s="1948">
        <v>7322.7</v>
      </c>
      <c r="H613" s="1949" t="str">
        <f>IFERROR(IF(F613&gt;=VLOOKUP(A613,[1]Materiality!$I$6:$J$12,2,TRUE),IFERROR(IF(VLOOKUP("*CR",F613,1,FALSE)&gt;=0,"",VLOOKUP("*CR",F613,1,FALSE)),F613),""),"")</f>
        <v/>
      </c>
    </row>
    <row r="614" spans="1:8" s="1947" customFormat="1" x14ac:dyDescent="0.25">
      <c r="A614" s="1947" t="s">
        <v>3246</v>
      </c>
      <c r="B614" s="1947" t="s">
        <v>2698</v>
      </c>
      <c r="C614" s="1947" t="s">
        <v>2530</v>
      </c>
      <c r="D614" s="1948">
        <v>416144</v>
      </c>
      <c r="E614" s="1947">
        <v>0</v>
      </c>
      <c r="F614" s="1948">
        <v>416144</v>
      </c>
      <c r="H614" s="1949">
        <f>IFERROR(IF(F614&gt;=VLOOKUP(A614,[1]Materiality!$I$6:$J$12,2,TRUE),IFERROR(IF(VLOOKUP("*CR",F614,1,FALSE)&gt;=0,"",VLOOKUP("*CR",F614,1,FALSE)),F614),""),"")</f>
        <v>416144</v>
      </c>
    </row>
    <row r="615" spans="1:8" s="1947" customFormat="1" x14ac:dyDescent="0.25">
      <c r="A615" s="1947" t="s">
        <v>3247</v>
      </c>
      <c r="B615" s="1947" t="s">
        <v>2721</v>
      </c>
      <c r="C615" s="1947" t="s">
        <v>2531</v>
      </c>
      <c r="D615" s="1948">
        <v>321085</v>
      </c>
      <c r="E615" s="1947">
        <v>0</v>
      </c>
      <c r="F615" s="1948">
        <v>321085</v>
      </c>
      <c r="H615" s="1949">
        <f>IFERROR(IF(F615&gt;=VLOOKUP(A615,[1]Materiality!$I$6:$J$12,2,TRUE),IFERROR(IF(VLOOKUP("*CR",F615,1,FALSE)&gt;=0,"",VLOOKUP("*CR",F615,1,FALSE)),F615),""),"")</f>
        <v>321085</v>
      </c>
    </row>
    <row r="616" spans="1:8" s="1947" customFormat="1" x14ac:dyDescent="0.25">
      <c r="A616" s="1947" t="s">
        <v>3248</v>
      </c>
      <c r="B616" s="1947" t="s">
        <v>2698</v>
      </c>
      <c r="C616" s="1947" t="s">
        <v>2532</v>
      </c>
      <c r="D616" s="1948">
        <v>5360</v>
      </c>
      <c r="E616" s="1948">
        <v>3973</v>
      </c>
      <c r="F616" s="1948">
        <v>1387</v>
      </c>
      <c r="H616" s="1949" t="str">
        <f>IFERROR(IF(F616&gt;=VLOOKUP(A616,[1]Materiality!$I$6:$J$12,2,TRUE),IFERROR(IF(VLOOKUP("*CR",F616,1,FALSE)&gt;=0,"",VLOOKUP("*CR",F616,1,FALSE)),F616),""),"")</f>
        <v/>
      </c>
    </row>
    <row r="617" spans="1:8" s="1947" customFormat="1" x14ac:dyDescent="0.25">
      <c r="A617" s="1947" t="s">
        <v>3249</v>
      </c>
      <c r="B617" s="1947" t="s">
        <v>2698</v>
      </c>
      <c r="C617" s="1947" t="s">
        <v>2533</v>
      </c>
      <c r="D617" s="1948">
        <v>124740</v>
      </c>
      <c r="E617" s="1948">
        <v>6055</v>
      </c>
      <c r="F617" s="1948">
        <v>118685</v>
      </c>
      <c r="H617" s="1949">
        <f>IFERROR(IF(F617&gt;=VLOOKUP(A617,[1]Materiality!$I$6:$J$12,2,TRUE),IFERROR(IF(VLOOKUP("*CR",F617,1,FALSE)&gt;=0,"",VLOOKUP("*CR",F617,1,FALSE)),F617),""),"")</f>
        <v>118685</v>
      </c>
    </row>
    <row r="618" spans="1:8" s="1947" customFormat="1" x14ac:dyDescent="0.25">
      <c r="A618" s="1947" t="s">
        <v>1038</v>
      </c>
      <c r="H618" s="1949" t="str">
        <f>IFERROR(IF(F618&gt;=VLOOKUP(A618,[1]Materiality!$I$6:$J$12,2,TRUE),IFERROR(IF(VLOOKUP("*CR",F618,1,FALSE)&gt;=0,"",VLOOKUP("*CR",F618,1,FALSE)),F618),""),"")</f>
        <v/>
      </c>
    </row>
    <row r="619" spans="1:8" s="1947" customFormat="1" x14ac:dyDescent="0.25">
      <c r="A619" s="1952" t="s">
        <v>2852</v>
      </c>
      <c r="B619" s="1952" t="s">
        <v>2802</v>
      </c>
      <c r="C619" s="1947" t="s">
        <v>2534</v>
      </c>
      <c r="D619" s="1948">
        <v>1126116.58</v>
      </c>
      <c r="E619" s="1948">
        <v>41913.1</v>
      </c>
      <c r="F619" s="1948">
        <v>1084203.48</v>
      </c>
      <c r="H619" s="1949" t="str">
        <f>IFERROR(IF(F619&gt;=VLOOKUP(A619,[1]Materiality!$I$6:$J$12,2,TRUE),IFERROR(IF(VLOOKUP("*CR",F619,1,FALSE)&gt;=0,"",VLOOKUP("*CR",F619,1,FALSE)),F619),""),"")</f>
        <v/>
      </c>
    </row>
    <row r="620" spans="1:8" s="1947" customFormat="1" x14ac:dyDescent="0.25">
      <c r="A620" s="1947" t="s">
        <v>1038</v>
      </c>
      <c r="H620" s="1949" t="str">
        <f>IFERROR(IF(F620&gt;=VLOOKUP(A620,[1]Materiality!$I$6:$J$12,2,TRUE),IFERROR(IF(VLOOKUP("*CR",F620,1,FALSE)&gt;=0,"",VLOOKUP("*CR",F620,1,FALSE)),F620),""),"")</f>
        <v/>
      </c>
    </row>
    <row r="621" spans="1:8" s="1947" customFormat="1" x14ac:dyDescent="0.25">
      <c r="A621" s="1952" t="s">
        <v>2852</v>
      </c>
      <c r="B621" s="1952" t="s">
        <v>2803</v>
      </c>
      <c r="C621" s="1947" t="s">
        <v>2482</v>
      </c>
      <c r="D621" s="1948">
        <v>1320571.55</v>
      </c>
      <c r="E621" s="1948">
        <v>1470571.73</v>
      </c>
      <c r="F621" s="1948">
        <v>150000.18</v>
      </c>
      <c r="H621" s="1949" t="str">
        <f>IFERROR(IF(F621&gt;=VLOOKUP(A621,[1]Materiality!$I$6:$J$12,2,TRUE),IFERROR(IF(VLOOKUP("*CR",F621,1,FALSE)&gt;=0,"",VLOOKUP("*CR",F621,1,FALSE)),F621),""),"")</f>
        <v/>
      </c>
    </row>
    <row r="622" spans="1:8" s="1947" customFormat="1" x14ac:dyDescent="0.25">
      <c r="A622" s="1947" t="s">
        <v>1038</v>
      </c>
      <c r="H622" s="1949" t="str">
        <f>IFERROR(IF(F622&gt;=VLOOKUP(A622,[1]Materiality!$I$6:$J$12,2,TRUE),IFERROR(IF(VLOOKUP("*CR",F622,1,FALSE)&gt;=0,"",VLOOKUP("*CR",F622,1,FALSE)),F622),""),"")</f>
        <v/>
      </c>
    </row>
    <row r="623" spans="1:8" s="1947" customFormat="1" x14ac:dyDescent="0.25">
      <c r="A623" s="1947" t="s">
        <v>1038</v>
      </c>
      <c r="H623" s="1949" t="str">
        <f>IFERROR(IF(F623&gt;=VLOOKUP(A623,[1]Materiality!$I$6:$J$12,2,TRUE),IFERROR(IF(VLOOKUP("*CR",F623,1,FALSE)&gt;=0,"",VLOOKUP("*CR",F623,1,FALSE)),F623),""),"")</f>
        <v/>
      </c>
    </row>
    <row r="624" spans="1:8" s="1947" customFormat="1" x14ac:dyDescent="0.25">
      <c r="A624" s="1952" t="s">
        <v>2853</v>
      </c>
      <c r="B624" s="1952" t="s">
        <v>2783</v>
      </c>
      <c r="C624" s="1947" t="s">
        <v>2521</v>
      </c>
      <c r="D624" s="1948">
        <v>4833882.24</v>
      </c>
      <c r="E624" s="1948">
        <v>4833882.24</v>
      </c>
      <c r="F624" s="1947">
        <v>0</v>
      </c>
      <c r="G624" s="1947">
        <v>0</v>
      </c>
      <c r="H624" s="1949" t="str">
        <f>IFERROR(IF(F624&gt;=VLOOKUP(A624,[1]Materiality!$I$6:$J$12,2,TRUE),IFERROR(IF(VLOOKUP("*CR",F624,1,FALSE)&gt;=0,"",VLOOKUP("*CR",F624,1,FALSE)),F624),""),"")</f>
        <v/>
      </c>
    </row>
    <row r="625" spans="1:8" s="1947" customFormat="1" x14ac:dyDescent="0.25">
      <c r="A625" s="1952" t="s">
        <v>2853</v>
      </c>
      <c r="B625" s="1952" t="s">
        <v>2784</v>
      </c>
      <c r="C625" s="1947" t="s">
        <v>2482</v>
      </c>
      <c r="D625" s="1948">
        <v>1320571.55</v>
      </c>
      <c r="E625" s="1948">
        <v>1470571.73</v>
      </c>
      <c r="F625" s="1948">
        <v>150000.18</v>
      </c>
      <c r="H625" s="1949" t="str">
        <f>IFERROR(IF(F625&gt;=VLOOKUP(A625,[1]Materiality!$I$6:$J$12,2,TRUE),IFERROR(IF(VLOOKUP("*CR",F625,1,FALSE)&gt;=0,"",VLOOKUP("*CR",F625,1,FALSE)),F625),""),"")</f>
        <v/>
      </c>
    </row>
    <row r="626" spans="1:8" x14ac:dyDescent="0.25">
      <c r="A626" s="1947" t="s">
        <v>1038</v>
      </c>
      <c r="B626" s="1947"/>
      <c r="C626" s="1947"/>
      <c r="D626" s="1947"/>
      <c r="E626" s="1947"/>
      <c r="F626" s="1947"/>
      <c r="G626" s="1947"/>
      <c r="H626" s="1949" t="str">
        <f>IFERROR(IF(F626&gt;=VLOOKUP(A626,[1]Materiality!$I$6:$J$12,2,TRUE),IFERROR(IF(VLOOKUP("*CR",F626,1,FALSE)&gt;=0,"",VLOOKUP("*CR",F626,1,FALSE)),F626),""),"")</f>
        <v/>
      </c>
    </row>
    <row r="627" spans="1:8" x14ac:dyDescent="0.25">
      <c r="A627" s="1947" t="s">
        <v>1038</v>
      </c>
      <c r="B627" s="1947"/>
      <c r="C627" s="1947"/>
      <c r="D627" s="1947"/>
      <c r="E627" s="1947"/>
      <c r="F627" s="1947"/>
      <c r="G627" s="1947"/>
      <c r="H627" s="1949" t="str">
        <f>IFERROR(IF(F627&gt;=VLOOKUP(A627,[1]Materiality!$I$6:$J$12,2,TRUE),IFERROR(IF(VLOOKUP("*CR",F627,1,FALSE)&gt;=0,"",VLOOKUP("*CR",F627,1,FALSE)),F627),""),"")</f>
        <v/>
      </c>
    </row>
    <row r="628" spans="1:8" x14ac:dyDescent="0.25">
      <c r="A628" s="1952" t="s">
        <v>2853</v>
      </c>
      <c r="B628" s="1952" t="s">
        <v>2783</v>
      </c>
      <c r="C628" s="1947" t="s">
        <v>2489</v>
      </c>
      <c r="D628" s="1948">
        <v>10990472.029999999</v>
      </c>
      <c r="E628" s="1948">
        <v>10990472.029999999</v>
      </c>
      <c r="F628" s="1947">
        <v>0</v>
      </c>
      <c r="G628" s="1947">
        <v>0</v>
      </c>
      <c r="H628" s="1949" t="str">
        <f>IFERROR(IF(F628&gt;=VLOOKUP(A628,[1]Materiality!$I$6:$J$12,2,TRUE),IFERROR(IF(VLOOKUP("*CR",F628,1,FALSE)&gt;=0,"",VLOOKUP("*CR",F628,1,FALSE)),F628),""),"")</f>
        <v/>
      </c>
    </row>
    <row r="629" spans="1:8" x14ac:dyDescent="0.25">
      <c r="A629" s="1952" t="s">
        <v>2853</v>
      </c>
      <c r="B629" s="1952" t="s">
        <v>2784</v>
      </c>
      <c r="C629" s="1947" t="s">
        <v>2503</v>
      </c>
      <c r="D629" s="1948">
        <v>2902738.56</v>
      </c>
      <c r="E629" s="1948">
        <v>2897812.9</v>
      </c>
      <c r="F629" s="1948">
        <v>4925.66</v>
      </c>
      <c r="G629" s="1947"/>
      <c r="H629" s="1949" t="str">
        <f>IFERROR(IF(F629&gt;=VLOOKUP(A629,[1]Materiality!$I$6:$J$12,2,TRUE),IFERROR(IF(VLOOKUP("*CR",F629,1,FALSE)&gt;=0,"",VLOOKUP("*CR",F629,1,FALSE)),F629),""),"")</f>
        <v/>
      </c>
    </row>
    <row r="630" spans="1:8" x14ac:dyDescent="0.25">
      <c r="A630" s="1951" t="s">
        <v>1038</v>
      </c>
      <c r="H630" s="1949" t="str">
        <f>IFERROR(IF(F630&gt;=VLOOKUP(A630,[1]Materiality!$I$6:$J$12,2,TRUE),IFERROR(IF(VLOOKUP("*CR",F630,1,FALSE)&gt;=0,"",VLOOKUP("*CR",F630,1,FALSE)),F630),""),"")</f>
        <v/>
      </c>
    </row>
    <row r="631" spans="1:8" x14ac:dyDescent="0.25">
      <c r="A631" s="1947" t="s">
        <v>3250</v>
      </c>
      <c r="B631" s="1947" t="s">
        <v>2698</v>
      </c>
      <c r="C631" s="1947" t="s">
        <v>2535</v>
      </c>
      <c r="D631" s="1948">
        <v>704666.53</v>
      </c>
      <c r="E631" s="1948">
        <v>590784.54</v>
      </c>
      <c r="F631" s="1948">
        <v>113881.99</v>
      </c>
      <c r="G631" s="1948">
        <v>181199.08</v>
      </c>
      <c r="H631" s="1949">
        <f>IFERROR(IF(F631&gt;=VLOOKUP(A631,[1]Materiality!$I$6:$J$12,2,TRUE),IFERROR(IF(VLOOKUP("*CR",F631,1,FALSE)&gt;=0,"",VLOOKUP("*CR",F631,1,FALSE)),F631),""),"")</f>
        <v>113881.99</v>
      </c>
    </row>
    <row r="632" spans="1:8" x14ac:dyDescent="0.25">
      <c r="A632" s="1947" t="s">
        <v>3251</v>
      </c>
      <c r="B632" s="1947" t="s">
        <v>2698</v>
      </c>
      <c r="C632" s="1947" t="s">
        <v>2536</v>
      </c>
      <c r="D632" s="1948">
        <v>159289.53</v>
      </c>
      <c r="E632" s="1948">
        <v>100000</v>
      </c>
      <c r="F632" s="1948">
        <v>59289.53</v>
      </c>
      <c r="G632" s="1948">
        <v>816092.05</v>
      </c>
      <c r="H632" s="1949">
        <f>IFERROR(IF(F632&gt;=VLOOKUP(A632,[1]Materiality!$I$6:$J$12,2,TRUE),IFERROR(IF(VLOOKUP("*CR",F632,1,FALSE)&gt;=0,"",VLOOKUP("*CR",F632,1,FALSE)),F632),""),"")</f>
        <v>59289.53</v>
      </c>
    </row>
    <row r="633" spans="1:8" x14ac:dyDescent="0.25">
      <c r="A633" s="1947" t="s">
        <v>3252</v>
      </c>
      <c r="B633" s="1947" t="s">
        <v>2698</v>
      </c>
      <c r="C633" s="1947" t="s">
        <v>2537</v>
      </c>
      <c r="D633" s="1948">
        <v>213845.83</v>
      </c>
      <c r="E633" s="1948">
        <v>214207.77</v>
      </c>
      <c r="F633" s="1947">
        <v>361.94</v>
      </c>
      <c r="G633" s="1947" t="s">
        <v>2538</v>
      </c>
      <c r="H633" s="1949" t="str">
        <f>IFERROR(IF(F633&gt;=VLOOKUP(A633,[1]Materiality!$I$6:$J$12,2,TRUE),IFERROR(IF(VLOOKUP("*CR",F633,1,FALSE)&gt;=0,"",VLOOKUP("*CR",F633,1,FALSE)),F633),""),"")</f>
        <v/>
      </c>
    </row>
    <row r="634" spans="1:8" x14ac:dyDescent="0.25">
      <c r="A634" s="1947" t="s">
        <v>3253</v>
      </c>
      <c r="B634" s="1947" t="s">
        <v>2698</v>
      </c>
      <c r="C634" s="1947" t="s">
        <v>2539</v>
      </c>
      <c r="D634" s="1948">
        <v>97817.37</v>
      </c>
      <c r="E634" s="1948">
        <v>97817.37</v>
      </c>
      <c r="F634" s="1947">
        <v>0</v>
      </c>
      <c r="G634" s="1947">
        <v>0</v>
      </c>
      <c r="H634" s="1949" t="str">
        <f>IFERROR(IF(F634&gt;=VLOOKUP(A634,[1]Materiality!$I$6:$J$12,2,TRUE),IFERROR(IF(VLOOKUP("*CR",F634,1,FALSE)&gt;=0,"",VLOOKUP("*CR",F634,1,FALSE)),F634),""),"")</f>
        <v/>
      </c>
    </row>
    <row r="635" spans="1:8" x14ac:dyDescent="0.25">
      <c r="A635" s="1947" t="s">
        <v>3254</v>
      </c>
      <c r="B635" s="1947" t="s">
        <v>2698</v>
      </c>
      <c r="C635" s="1947" t="s">
        <v>2540</v>
      </c>
      <c r="D635" s="1948">
        <v>124775.7</v>
      </c>
      <c r="E635" s="1948">
        <v>124775.7</v>
      </c>
      <c r="F635" s="1947">
        <v>0</v>
      </c>
      <c r="G635" s="1947">
        <v>0</v>
      </c>
      <c r="H635" s="1949" t="str">
        <f>IFERROR(IF(F635&gt;=VLOOKUP(A635,[1]Materiality!$I$6:$J$12,2,TRUE),IFERROR(IF(VLOOKUP("*CR",F635,1,FALSE)&gt;=0,"",VLOOKUP("*CR",F635,1,FALSE)),F635),""),"")</f>
        <v/>
      </c>
    </row>
    <row r="636" spans="1:8" x14ac:dyDescent="0.25">
      <c r="A636" s="1947" t="s">
        <v>3255</v>
      </c>
      <c r="B636" s="1947" t="s">
        <v>2698</v>
      </c>
      <c r="C636" s="1947" t="s">
        <v>2541</v>
      </c>
      <c r="D636" s="1948">
        <v>438036.16</v>
      </c>
      <c r="E636" s="1948">
        <v>438036.16</v>
      </c>
      <c r="F636" s="1947">
        <v>0</v>
      </c>
      <c r="G636" s="1947">
        <v>0</v>
      </c>
      <c r="H636" s="1949" t="str">
        <f>IFERROR(IF(F636&gt;=VLOOKUP(A636,[1]Materiality!$I$6:$J$12,2,TRUE),IFERROR(IF(VLOOKUP("*CR",F636,1,FALSE)&gt;=0,"",VLOOKUP("*CR",F636,1,FALSE)),F636),""),"")</f>
        <v/>
      </c>
    </row>
    <row r="637" spans="1:8" x14ac:dyDescent="0.25">
      <c r="A637" s="1947" t="s">
        <v>2858</v>
      </c>
      <c r="B637" s="1947" t="s">
        <v>2699</v>
      </c>
      <c r="C637" s="1947" t="s">
        <v>2542</v>
      </c>
      <c r="D637" s="1948">
        <v>442381.8</v>
      </c>
      <c r="E637" s="1948">
        <v>615191.38</v>
      </c>
      <c r="F637" s="1948">
        <v>172809.58</v>
      </c>
      <c r="G637" s="1947" t="s">
        <v>2543</v>
      </c>
      <c r="H637" s="1949">
        <f>IFERROR(IF(F637&gt;=VLOOKUP(A637,[1]Materiality!$I$6:$J$12,2,TRUE),IFERROR(IF(VLOOKUP("*CR",F637,1,FALSE)&gt;=0,"",VLOOKUP("*CR",F637,1,FALSE)),F637),""),"")</f>
        <v>172809.58</v>
      </c>
    </row>
    <row r="638" spans="1:8" x14ac:dyDescent="0.25">
      <c r="A638" s="1947" t="s">
        <v>1038</v>
      </c>
      <c r="B638" s="1947"/>
      <c r="C638" s="1947"/>
      <c r="D638" s="1947"/>
      <c r="E638" s="1947"/>
      <c r="F638" s="1947"/>
      <c r="G638" s="1947"/>
      <c r="H638" s="1949" t="str">
        <f>IFERROR(IF(F638&gt;=VLOOKUP(A638,[1]Materiality!$I$6:$J$12,2,TRUE),IFERROR(IF(VLOOKUP("*CR",F638,1,FALSE)&gt;=0,"",VLOOKUP("*CR",F638,1,FALSE)),F638),""),"")</f>
        <v/>
      </c>
    </row>
    <row r="639" spans="1:8" x14ac:dyDescent="0.25">
      <c r="A639" s="1952" t="s">
        <v>2852</v>
      </c>
      <c r="B639" s="1952" t="s">
        <v>2804</v>
      </c>
      <c r="C639" s="1947" t="s">
        <v>2544</v>
      </c>
      <c r="D639" s="1948">
        <v>2180812.92</v>
      </c>
      <c r="E639" s="1948">
        <v>2180812.92</v>
      </c>
      <c r="F639" s="1947">
        <v>0</v>
      </c>
      <c r="G639" s="1947">
        <v>0</v>
      </c>
      <c r="H639" s="1949" t="str">
        <f>IFERROR(IF(F639&gt;=VLOOKUP(A639,[1]Materiality!$I$6:$J$12,2,TRUE),IFERROR(IF(VLOOKUP("*CR",F639,1,FALSE)&gt;=0,"",VLOOKUP("*CR",F639,1,FALSE)),F639),""),"")</f>
        <v/>
      </c>
    </row>
    <row r="640" spans="1:8" x14ac:dyDescent="0.25">
      <c r="A640" s="1947" t="s">
        <v>1038</v>
      </c>
      <c r="B640" s="1947"/>
      <c r="C640" s="1947"/>
      <c r="D640" s="1947"/>
      <c r="E640" s="1947"/>
      <c r="F640" s="1947"/>
      <c r="G640" s="1947"/>
      <c r="H640" s="1949" t="str">
        <f>IFERROR(IF(F640&gt;=VLOOKUP(A640,[1]Materiality!$I$6:$J$12,2,TRUE),IFERROR(IF(VLOOKUP("*CR",F640,1,FALSE)&gt;=0,"",VLOOKUP("*CR",F640,1,FALSE)),F640),""),"")</f>
        <v/>
      </c>
    </row>
    <row r="641" spans="1:8" x14ac:dyDescent="0.25">
      <c r="A641" s="1947" t="s">
        <v>3256</v>
      </c>
      <c r="B641" s="1947" t="s">
        <v>2698</v>
      </c>
      <c r="C641" s="1947" t="s">
        <v>2545</v>
      </c>
      <c r="D641" s="1947">
        <v>0</v>
      </c>
      <c r="E641" s="1948">
        <v>261851.79</v>
      </c>
      <c r="F641" s="1948">
        <v>261851.79</v>
      </c>
      <c r="G641" s="1947"/>
      <c r="H641" s="1949">
        <f>IFERROR(IF(F641&gt;=VLOOKUP(A641,[1]Materiality!$I$6:$J$12,2,TRUE),IFERROR(IF(VLOOKUP("*CR",F641,1,FALSE)&gt;=0,"",VLOOKUP("*CR",F641,1,FALSE)),F641),""),"")</f>
        <v>261851.79</v>
      </c>
    </row>
    <row r="642" spans="1:8" x14ac:dyDescent="0.25">
      <c r="A642" s="1947" t="s">
        <v>3257</v>
      </c>
      <c r="B642" s="1947" t="s">
        <v>2698</v>
      </c>
      <c r="C642" s="1947" t="s">
        <v>2545</v>
      </c>
      <c r="D642" s="1947">
        <v>0</v>
      </c>
      <c r="E642" s="1948">
        <v>261851.79</v>
      </c>
      <c r="F642" s="1948">
        <v>261851.79</v>
      </c>
      <c r="G642" s="1947"/>
      <c r="H642" s="1949">
        <f>IFERROR(IF(F642&gt;=VLOOKUP(A642,[1]Materiality!$I$6:$J$12,2,TRUE),IFERROR(IF(VLOOKUP("*CR",F642,1,FALSE)&gt;=0,"",VLOOKUP("*CR",F642,1,FALSE)),F642),""),"")</f>
        <v>261851.79</v>
      </c>
    </row>
    <row r="643" spans="1:8" x14ac:dyDescent="0.25">
      <c r="A643" s="1947" t="s">
        <v>3258</v>
      </c>
      <c r="B643" s="1947" t="s">
        <v>2698</v>
      </c>
      <c r="C643" s="1947" t="s">
        <v>2545</v>
      </c>
      <c r="D643" s="1947">
        <v>0</v>
      </c>
      <c r="E643" s="1948">
        <v>80272</v>
      </c>
      <c r="F643" s="1948">
        <v>80272</v>
      </c>
      <c r="G643" s="1947"/>
      <c r="H643" s="1949">
        <f>IFERROR(IF(F643&gt;=VLOOKUP(A643,[1]Materiality!$I$6:$J$12,2,TRUE),IFERROR(IF(VLOOKUP("*CR",F643,1,FALSE)&gt;=0,"",VLOOKUP("*CR",F643,1,FALSE)),F643),""),"")</f>
        <v>80272</v>
      </c>
    </row>
    <row r="644" spans="1:8" x14ac:dyDescent="0.25">
      <c r="A644" s="1947" t="s">
        <v>3259</v>
      </c>
      <c r="B644" s="1947" t="s">
        <v>2698</v>
      </c>
      <c r="C644" s="1947" t="s">
        <v>2545</v>
      </c>
      <c r="D644" s="1947">
        <v>0</v>
      </c>
      <c r="E644" s="1948">
        <v>9980.48</v>
      </c>
      <c r="F644" s="1948">
        <f>9980.48+1</f>
        <v>9981.48</v>
      </c>
      <c r="G644" s="1947"/>
      <c r="H644" s="1949" t="str">
        <f>IFERROR(IF(F644&gt;=VLOOKUP(A644,[1]Materiality!$I$6:$J$12,2,TRUE),IFERROR(IF(VLOOKUP("*CR",F644,1,FALSE)&gt;=0,"",VLOOKUP("*CR",F644,1,FALSE)),F644),""),"")</f>
        <v/>
      </c>
    </row>
    <row r="645" spans="1:8" x14ac:dyDescent="0.25">
      <c r="A645" s="1947" t="s">
        <v>1038</v>
      </c>
      <c r="B645" s="1947"/>
      <c r="C645" s="1947"/>
      <c r="D645" s="1947"/>
      <c r="E645" s="1947"/>
      <c r="F645" s="1947"/>
      <c r="G645" s="1947"/>
      <c r="H645" s="1949" t="str">
        <f>IFERROR(IF(F645&gt;=VLOOKUP(A645,[1]Materiality!$I$6:$J$12,2,TRUE),IFERROR(IF(VLOOKUP("*CR",F645,1,FALSE)&gt;=0,"",VLOOKUP("*CR",F645,1,FALSE)),F645),""),"")</f>
        <v/>
      </c>
    </row>
    <row r="646" spans="1:8" x14ac:dyDescent="0.25">
      <c r="A646" s="1952" t="s">
        <v>2852</v>
      </c>
      <c r="B646" s="1952" t="s">
        <v>2805</v>
      </c>
      <c r="C646" s="1947" t="s">
        <v>2489</v>
      </c>
      <c r="D646" s="1947">
        <v>0</v>
      </c>
      <c r="E646" s="1948">
        <v>613956.06000000006</v>
      </c>
      <c r="F646" s="1948">
        <v>613956.06000000006</v>
      </c>
      <c r="G646" s="1947"/>
      <c r="H646" s="1949" t="str">
        <f>IFERROR(IF(F646&gt;=VLOOKUP(A646,[1]Materiality!$I$6:$J$12,2,TRUE),IFERROR(IF(VLOOKUP("*CR",F646,1,FALSE)&gt;=0,"",VLOOKUP("*CR",F646,1,FALSE)),F646),""),"")</f>
        <v/>
      </c>
    </row>
    <row r="647" spans="1:8" x14ac:dyDescent="0.25">
      <c r="A647" s="1947" t="s">
        <v>1038</v>
      </c>
      <c r="B647" s="1947"/>
      <c r="C647" s="1947"/>
      <c r="D647" s="1947"/>
      <c r="E647" s="1947"/>
      <c r="F647" s="1947"/>
      <c r="G647" s="1947"/>
      <c r="H647" s="1949" t="str">
        <f>IFERROR(IF(F647&gt;=VLOOKUP(A647,[1]Materiality!$I$6:$J$12,2,TRUE),IFERROR(IF(VLOOKUP("*CR",F647,1,FALSE)&gt;=0,"",VLOOKUP("*CR",F647,1,FALSE)),F647),""),"")</f>
        <v/>
      </c>
    </row>
    <row r="648" spans="1:8" x14ac:dyDescent="0.25">
      <c r="A648" s="1947" t="s">
        <v>3260</v>
      </c>
      <c r="B648" s="1947" t="s">
        <v>2703</v>
      </c>
      <c r="C648" s="1947" t="s">
        <v>2546</v>
      </c>
      <c r="D648" s="1948">
        <v>2550.83</v>
      </c>
      <c r="E648" s="1947">
        <v>0</v>
      </c>
      <c r="F648" s="1948">
        <v>2550.83</v>
      </c>
      <c r="G648" s="1947"/>
      <c r="H648" s="1949" t="str">
        <f>IFERROR(IF(F648&gt;=VLOOKUP(A648,[1]Materiality!$I$6:$J$12,2,TRUE),IFERROR(IF(VLOOKUP("*CR",F648,1,FALSE)&gt;=0,"",VLOOKUP("*CR",F648,1,FALSE)),F648),""),"")</f>
        <v/>
      </c>
    </row>
    <row r="649" spans="1:8" x14ac:dyDescent="0.25">
      <c r="A649" s="1947" t="s">
        <v>3260</v>
      </c>
      <c r="B649" s="1947" t="s">
        <v>2704</v>
      </c>
      <c r="C649" s="1947" t="s">
        <v>2547</v>
      </c>
      <c r="D649" s="1947">
        <v>312.68</v>
      </c>
      <c r="E649" s="1947">
        <v>0</v>
      </c>
      <c r="F649" s="1947">
        <v>312.68</v>
      </c>
      <c r="G649" s="1947"/>
      <c r="H649" s="1949" t="str">
        <f>IFERROR(IF(F649&gt;=VLOOKUP(A649,[1]Materiality!$I$6:$J$12,2,TRUE),IFERROR(IF(VLOOKUP("*CR",F649,1,FALSE)&gt;=0,"",VLOOKUP("*CR",F649,1,FALSE)),F649),""),"")</f>
        <v/>
      </c>
    </row>
    <row r="650" spans="1:8" x14ac:dyDescent="0.25">
      <c r="A650" s="1947" t="s">
        <v>3261</v>
      </c>
      <c r="B650" s="1947" t="s">
        <v>2806</v>
      </c>
      <c r="C650" s="1947" t="s">
        <v>2548</v>
      </c>
      <c r="D650" s="1948">
        <v>1123.08</v>
      </c>
      <c r="E650" s="1947">
        <v>0</v>
      </c>
      <c r="F650" s="1948">
        <v>1123.08</v>
      </c>
      <c r="G650" s="1947"/>
      <c r="H650" s="1949" t="str">
        <f>IFERROR(IF(F650&gt;=VLOOKUP(A650,[1]Materiality!$I$6:$J$12,2,TRUE),IFERROR(IF(VLOOKUP("*CR",F650,1,FALSE)&gt;=0,"",VLOOKUP("*CR",F650,1,FALSE)),F650),""),"")</f>
        <v/>
      </c>
    </row>
    <row r="651" spans="1:8" x14ac:dyDescent="0.25">
      <c r="A651" s="1947" t="s">
        <v>3262</v>
      </c>
      <c r="B651" s="1947" t="s">
        <v>2806</v>
      </c>
      <c r="C651" s="1947" t="s">
        <v>2549</v>
      </c>
      <c r="D651" s="1948">
        <v>1153.8399999999999</v>
      </c>
      <c r="E651" s="1947">
        <v>0</v>
      </c>
      <c r="F651" s="1948">
        <v>1153.8399999999999</v>
      </c>
      <c r="G651" s="1947"/>
      <c r="H651" s="1949" t="str">
        <f>IFERROR(IF(F651&gt;=VLOOKUP(A651,[1]Materiality!$I$6:$J$12,2,TRUE),IFERROR(IF(VLOOKUP("*CR",F651,1,FALSE)&gt;=0,"",VLOOKUP("*CR",F651,1,FALSE)),F651),""),"")</f>
        <v/>
      </c>
    </row>
    <row r="652" spans="1:8" x14ac:dyDescent="0.25">
      <c r="A652" s="1947" t="s">
        <v>3263</v>
      </c>
      <c r="B652" s="1947" t="s">
        <v>2806</v>
      </c>
      <c r="C652" s="1947" t="s">
        <v>2549</v>
      </c>
      <c r="D652" s="1947">
        <v>691.81</v>
      </c>
      <c r="E652" s="1947">
        <v>0</v>
      </c>
      <c r="F652" s="1947">
        <v>691.81</v>
      </c>
      <c r="G652" s="1947"/>
      <c r="H652" s="1949" t="str">
        <f>IFERROR(IF(F652&gt;=VLOOKUP(A652,[1]Materiality!$I$6:$J$12,2,TRUE),IFERROR(IF(VLOOKUP("*CR",F652,1,FALSE)&gt;=0,"",VLOOKUP("*CR",F652,1,FALSE)),F652),""),"")</f>
        <v/>
      </c>
    </row>
    <row r="653" spans="1:8" x14ac:dyDescent="0.25">
      <c r="A653" s="1947" t="s">
        <v>3263</v>
      </c>
      <c r="B653" s="1947" t="s">
        <v>2807</v>
      </c>
      <c r="C653" s="1947" t="s">
        <v>2550</v>
      </c>
      <c r="D653" s="1947">
        <v>230.64</v>
      </c>
      <c r="E653" s="1947">
        <v>0</v>
      </c>
      <c r="F653" s="1947">
        <v>230.64</v>
      </c>
      <c r="G653" s="1947"/>
      <c r="H653" s="1949" t="str">
        <f>IFERROR(IF(F653&gt;=VLOOKUP(A653,[1]Materiality!$I$6:$J$12,2,TRUE),IFERROR(IF(VLOOKUP("*CR",F653,1,FALSE)&gt;=0,"",VLOOKUP("*CR",F653,1,FALSE)),F653),""),"")</f>
        <v/>
      </c>
    </row>
    <row r="654" spans="1:8" x14ac:dyDescent="0.25">
      <c r="A654" s="1947" t="s">
        <v>3264</v>
      </c>
      <c r="B654" s="1947" t="s">
        <v>2721</v>
      </c>
      <c r="C654" s="1947" t="s">
        <v>2551</v>
      </c>
      <c r="D654" s="1948">
        <v>1344.52</v>
      </c>
      <c r="E654" s="1947">
        <v>0</v>
      </c>
      <c r="F654" s="1948">
        <v>1344.52</v>
      </c>
      <c r="G654" s="1947"/>
      <c r="H654" s="1949" t="str">
        <f>IFERROR(IF(F654&gt;=VLOOKUP(A654,[1]Materiality!$I$6:$J$12,2,TRUE),IFERROR(IF(VLOOKUP("*CR",F654,1,FALSE)&gt;=0,"",VLOOKUP("*CR",F654,1,FALSE)),F654),""),"")</f>
        <v/>
      </c>
    </row>
    <row r="655" spans="1:8" x14ac:dyDescent="0.25">
      <c r="A655" s="1947" t="s">
        <v>3264</v>
      </c>
      <c r="B655" s="1947" t="s">
        <v>2709</v>
      </c>
      <c r="C655" s="1947" t="s">
        <v>2552</v>
      </c>
      <c r="D655" s="1947">
        <v>244.56</v>
      </c>
      <c r="E655" s="1947">
        <v>0</v>
      </c>
      <c r="F655" s="1947">
        <v>244.56</v>
      </c>
      <c r="G655" s="1947"/>
      <c r="H655" s="1949" t="str">
        <f>IFERROR(IF(F655&gt;=VLOOKUP(A655,[1]Materiality!$I$6:$J$12,2,TRUE),IFERROR(IF(VLOOKUP("*CR",F655,1,FALSE)&gt;=0,"",VLOOKUP("*CR",F655,1,FALSE)),F655),""),"")</f>
        <v/>
      </c>
    </row>
    <row r="656" spans="1:8" x14ac:dyDescent="0.25">
      <c r="A656" s="1947" t="s">
        <v>3264</v>
      </c>
      <c r="B656" s="1947" t="s">
        <v>2731</v>
      </c>
      <c r="C656" s="1947" t="s">
        <v>2553</v>
      </c>
      <c r="D656" s="1948">
        <v>2032.56</v>
      </c>
      <c r="E656" s="1947">
        <v>0</v>
      </c>
      <c r="F656" s="1948">
        <v>2032.56</v>
      </c>
      <c r="G656" s="1947"/>
      <c r="H656" s="1949" t="str">
        <f>IFERROR(IF(F656&gt;=VLOOKUP(A656,[1]Materiality!$I$6:$J$12,2,TRUE),IFERROR(IF(VLOOKUP("*CR",F656,1,FALSE)&gt;=0,"",VLOOKUP("*CR",F656,1,FALSE)),F656),""),"")</f>
        <v/>
      </c>
    </row>
    <row r="657" spans="1:8" x14ac:dyDescent="0.25">
      <c r="A657" s="1947" t="s">
        <v>3264</v>
      </c>
      <c r="B657" s="1947" t="s">
        <v>2765</v>
      </c>
      <c r="C657" s="1947" t="s">
        <v>2554</v>
      </c>
      <c r="D657" s="1947">
        <v>557.05999999999995</v>
      </c>
      <c r="E657" s="1947">
        <v>0</v>
      </c>
      <c r="F657" s="1947">
        <v>557.05999999999995</v>
      </c>
      <c r="G657" s="1947"/>
      <c r="H657" s="1949" t="str">
        <f>IFERROR(IF(F657&gt;=VLOOKUP(A657,[1]Materiality!$I$6:$J$12,2,TRUE),IFERROR(IF(VLOOKUP("*CR",F657,1,FALSE)&gt;=0,"",VLOOKUP("*CR",F657,1,FALSE)),F657),""),"")</f>
        <v/>
      </c>
    </row>
    <row r="658" spans="1:8" x14ac:dyDescent="0.25">
      <c r="A658" s="1953" t="s">
        <v>3264</v>
      </c>
      <c r="B658" s="1953" t="s">
        <v>2771</v>
      </c>
      <c r="C658" s="1947" t="s">
        <v>2555</v>
      </c>
      <c r="D658" s="1947">
        <v>140.16</v>
      </c>
      <c r="E658" s="1947">
        <v>0</v>
      </c>
      <c r="F658" s="1947">
        <v>140.16</v>
      </c>
      <c r="G658" s="1947"/>
      <c r="H658" s="1949" t="str">
        <f>IFERROR(IF(F658&gt;=VLOOKUP(A658,[1]Materiality!$I$6:$J$12,2,TRUE),IFERROR(IF(VLOOKUP("*CR",F658,1,FALSE)&gt;=0,"",VLOOKUP("*CR",F658,1,FALSE)),F658),""),"")</f>
        <v/>
      </c>
    </row>
    <row r="659" spans="1:8" x14ac:dyDescent="0.25">
      <c r="A659" s="1947" t="s">
        <v>3264</v>
      </c>
      <c r="B659" s="1947" t="s">
        <v>2774</v>
      </c>
      <c r="C659" s="1947" t="s">
        <v>2556</v>
      </c>
      <c r="D659" s="1947">
        <v>537.36</v>
      </c>
      <c r="E659" s="1947">
        <v>0</v>
      </c>
      <c r="F659" s="1947">
        <v>537.36</v>
      </c>
      <c r="G659" s="1947"/>
      <c r="H659" s="1949" t="str">
        <f>IFERROR(IF(F659&gt;=VLOOKUP(A659,[1]Materiality!$I$6:$J$12,2,TRUE),IFERROR(IF(VLOOKUP("*CR",F659,1,FALSE)&gt;=0,"",VLOOKUP("*CR",F659,1,FALSE)),F659),""),"")</f>
        <v/>
      </c>
    </row>
    <row r="660" spans="1:8" x14ac:dyDescent="0.25">
      <c r="A660" s="1947" t="s">
        <v>3264</v>
      </c>
      <c r="B660" s="1947" t="s">
        <v>2773</v>
      </c>
      <c r="C660" s="1947" t="s">
        <v>2557</v>
      </c>
      <c r="D660" s="1947">
        <v>225.84</v>
      </c>
      <c r="E660" s="1947">
        <v>0</v>
      </c>
      <c r="F660" s="1947">
        <v>225.84</v>
      </c>
      <c r="G660" s="1947"/>
      <c r="H660" s="1949" t="str">
        <f>IFERROR(IF(F660&gt;=VLOOKUP(A660,[1]Materiality!$I$6:$J$12,2,TRUE),IFERROR(IF(VLOOKUP("*CR",F660,1,FALSE)&gt;=0,"",VLOOKUP("*CR",F660,1,FALSE)),F660),""),"")</f>
        <v/>
      </c>
    </row>
    <row r="661" spans="1:8" x14ac:dyDescent="0.25">
      <c r="A661" s="1947" t="s">
        <v>3264</v>
      </c>
      <c r="B661" s="1947" t="s">
        <v>2787</v>
      </c>
      <c r="C661" s="1947" t="s">
        <v>2558</v>
      </c>
      <c r="D661" s="1948">
        <v>7748.36</v>
      </c>
      <c r="E661" s="1947">
        <v>0</v>
      </c>
      <c r="F661" s="1948">
        <v>7748.36</v>
      </c>
      <c r="G661" s="1947"/>
      <c r="H661" s="1949" t="str">
        <f>IFERROR(IF(F661&gt;=VLOOKUP(A661,[1]Materiality!$I$6:$J$12,2,TRUE),IFERROR(IF(VLOOKUP("*CR",F661,1,FALSE)&gt;=0,"",VLOOKUP("*CR",F661,1,FALSE)),F661),""),"")</f>
        <v/>
      </c>
    </row>
    <row r="662" spans="1:8" x14ac:dyDescent="0.25">
      <c r="A662" s="1947" t="s">
        <v>3265</v>
      </c>
      <c r="B662" s="1947" t="s">
        <v>2698</v>
      </c>
      <c r="C662" s="1947" t="s">
        <v>2559</v>
      </c>
      <c r="D662" s="1948">
        <v>5493.62</v>
      </c>
      <c r="E662" s="1947">
        <v>0</v>
      </c>
      <c r="F662" s="1948">
        <v>5493.62</v>
      </c>
      <c r="G662" s="1947"/>
      <c r="H662" s="1949" t="str">
        <f>IFERROR(IF(F662&gt;=VLOOKUP(A662,[1]Materiality!$I$6:$J$12,2,TRUE),IFERROR(IF(VLOOKUP("*CR",F662,1,FALSE)&gt;=0,"",VLOOKUP("*CR",F662,1,FALSE)),F662),""),"")</f>
        <v/>
      </c>
    </row>
    <row r="663" spans="1:8" x14ac:dyDescent="0.25">
      <c r="A663" s="1947" t="s">
        <v>3266</v>
      </c>
      <c r="B663" s="1947" t="s">
        <v>2698</v>
      </c>
      <c r="C663" s="1947" t="s">
        <v>2560</v>
      </c>
      <c r="D663" s="1948">
        <v>3658.59</v>
      </c>
      <c r="E663" s="1947">
        <v>0</v>
      </c>
      <c r="F663" s="1948">
        <v>3658.59</v>
      </c>
      <c r="G663" s="1947"/>
      <c r="H663" s="1949" t="str">
        <f>IFERROR(IF(F663&gt;=VLOOKUP(A663,[1]Materiality!$I$6:$J$12,2,TRUE),IFERROR(IF(VLOOKUP("*CR",F663,1,FALSE)&gt;=0,"",VLOOKUP("*CR",F663,1,FALSE)),F663),""),"")</f>
        <v/>
      </c>
    </row>
    <row r="664" spans="1:8" x14ac:dyDescent="0.25">
      <c r="A664" s="1947" t="s">
        <v>3267</v>
      </c>
      <c r="B664" s="1947" t="s">
        <v>2698</v>
      </c>
      <c r="C664" s="1947" t="s">
        <v>2561</v>
      </c>
      <c r="D664" s="1948">
        <v>94389.81</v>
      </c>
      <c r="E664" s="1947">
        <v>657.19</v>
      </c>
      <c r="F664" s="1948">
        <v>93732.62</v>
      </c>
      <c r="G664" s="1947"/>
      <c r="H664" s="1949">
        <f>IFERROR(IF(F664&gt;=VLOOKUP(A664,[1]Materiality!$I$6:$J$12,2,TRUE),IFERROR(IF(VLOOKUP("*CR",F664,1,FALSE)&gt;=0,"",VLOOKUP("*CR",F664,1,FALSE)),F664),""),"")</f>
        <v>93732.62</v>
      </c>
    </row>
    <row r="665" spans="1:8" x14ac:dyDescent="0.25">
      <c r="A665" s="1947" t="s">
        <v>3268</v>
      </c>
      <c r="B665" s="1947" t="s">
        <v>2698</v>
      </c>
      <c r="C665" s="1947" t="s">
        <v>2559</v>
      </c>
      <c r="D665" s="1948">
        <v>42117.55</v>
      </c>
      <c r="E665" s="1947">
        <v>297.95</v>
      </c>
      <c r="F665" s="1948">
        <v>41819.599999999999</v>
      </c>
      <c r="G665" s="1947"/>
      <c r="H665" s="1949">
        <f>IFERROR(IF(F665&gt;=VLOOKUP(A665,[1]Materiality!$I$6:$J$12,2,TRUE),IFERROR(IF(VLOOKUP("*CR",F665,1,FALSE)&gt;=0,"",VLOOKUP("*CR",F665,1,FALSE)),F665),""),"")</f>
        <v>41819.599999999999</v>
      </c>
    </row>
    <row r="666" spans="1:8" x14ac:dyDescent="0.25">
      <c r="A666" s="1947" t="s">
        <v>3269</v>
      </c>
      <c r="B666" s="1947" t="s">
        <v>2698</v>
      </c>
      <c r="C666" s="1947" t="s">
        <v>2560</v>
      </c>
      <c r="D666" s="1948">
        <v>10026.469999999999</v>
      </c>
      <c r="E666" s="1947">
        <v>69.69</v>
      </c>
      <c r="F666" s="1948">
        <v>9956.7800000000007</v>
      </c>
      <c r="G666" s="1947"/>
      <c r="H666" s="1949" t="str">
        <f>IFERROR(IF(F666&gt;=VLOOKUP(A666,[1]Materiality!$I$6:$J$12,2,TRUE),IFERROR(IF(VLOOKUP("*CR",F666,1,FALSE)&gt;=0,"",VLOOKUP("*CR",F666,1,FALSE)),F666),""),"")</f>
        <v/>
      </c>
    </row>
    <row r="667" spans="1:8" x14ac:dyDescent="0.25">
      <c r="A667" s="1947" t="s">
        <v>3270</v>
      </c>
      <c r="B667" s="1947" t="s">
        <v>2698</v>
      </c>
      <c r="C667" s="1947" t="s">
        <v>2560</v>
      </c>
      <c r="D667" s="1947">
        <v>87.24</v>
      </c>
      <c r="E667" s="1947">
        <v>0</v>
      </c>
      <c r="F667" s="1947">
        <v>87.24</v>
      </c>
      <c r="G667" s="1947"/>
      <c r="H667" s="1949" t="str">
        <f>IFERROR(IF(F667&gt;=VLOOKUP(A667,[1]Materiality!$I$6:$J$12,2,TRUE),IFERROR(IF(VLOOKUP("*CR",F667,1,FALSE)&gt;=0,"",VLOOKUP("*CR",F667,1,FALSE)),F667),""),"")</f>
        <v/>
      </c>
    </row>
    <row r="668" spans="1:8" x14ac:dyDescent="0.25">
      <c r="A668" s="1947" t="s">
        <v>3271</v>
      </c>
      <c r="B668" s="1947" t="s">
        <v>2806</v>
      </c>
      <c r="C668" s="1947" t="s">
        <v>2549</v>
      </c>
      <c r="D668" s="1947">
        <v>89.9</v>
      </c>
      <c r="E668" s="1947">
        <v>0</v>
      </c>
      <c r="F668" s="1947">
        <v>89.9</v>
      </c>
      <c r="G668" s="1947"/>
      <c r="H668" s="1949" t="str">
        <f>IFERROR(IF(F668&gt;=VLOOKUP(A668,[1]Materiality!$I$6:$J$12,2,TRUE),IFERROR(IF(VLOOKUP("*CR",F668,1,FALSE)&gt;=0,"",VLOOKUP("*CR",F668,1,FALSE)),F668),""),"")</f>
        <v/>
      </c>
    </row>
    <row r="669" spans="1:8" x14ac:dyDescent="0.25">
      <c r="A669" s="1947" t="s">
        <v>3396</v>
      </c>
      <c r="B669" s="1947" t="s">
        <v>2808</v>
      </c>
      <c r="C669" s="1947" t="s">
        <v>2562</v>
      </c>
      <c r="D669" s="1948">
        <v>3155.87</v>
      </c>
      <c r="E669" s="1947">
        <v>0</v>
      </c>
      <c r="F669" s="1948">
        <v>3155.87</v>
      </c>
      <c r="G669" s="1947"/>
      <c r="H669" s="1949" t="str">
        <f>IFERROR(IF(F669&gt;=VLOOKUP(A669,[1]Materiality!$I$6:$J$12,2,TRUE),IFERROR(IF(VLOOKUP("*CR",F669,1,FALSE)&gt;=0,"",VLOOKUP("*CR",F669,1,FALSE)),F669),""),"")</f>
        <v/>
      </c>
    </row>
    <row r="670" spans="1:8" x14ac:dyDescent="0.25">
      <c r="A670" s="1947" t="s">
        <v>3396</v>
      </c>
      <c r="B670" s="1947" t="s">
        <v>2809</v>
      </c>
      <c r="C670" s="1947" t="s">
        <v>2563</v>
      </c>
      <c r="D670" s="1948">
        <v>1426.84</v>
      </c>
      <c r="E670" s="1947">
        <v>0</v>
      </c>
      <c r="F670" s="1948">
        <v>1426.84</v>
      </c>
      <c r="G670" s="1947"/>
      <c r="H670" s="1949" t="str">
        <f>IFERROR(IF(F670&gt;=VLOOKUP(A670,[1]Materiality!$I$6:$J$12,2,TRUE),IFERROR(IF(VLOOKUP("*CR",F670,1,FALSE)&gt;=0,"",VLOOKUP("*CR",F670,1,FALSE)),F670),""),"")</f>
        <v/>
      </c>
    </row>
    <row r="671" spans="1:8" x14ac:dyDescent="0.25">
      <c r="A671" s="1947" t="s">
        <v>3396</v>
      </c>
      <c r="B671" s="1947" t="s">
        <v>2810</v>
      </c>
      <c r="C671" s="1947" t="s">
        <v>2564</v>
      </c>
      <c r="D671" s="1948">
        <v>50463.82</v>
      </c>
      <c r="E671" s="1947">
        <v>0</v>
      </c>
      <c r="F671" s="1948">
        <v>50463.82</v>
      </c>
      <c r="G671" s="1947"/>
      <c r="H671" s="1949">
        <f>IFERROR(IF(F671&gt;=VLOOKUP(A671,[1]Materiality!$I$6:$J$12,2,TRUE),IFERROR(IF(VLOOKUP("*CR",F671,1,FALSE)&gt;=0,"",VLOOKUP("*CR",F671,1,FALSE)),F671),""),"")</f>
        <v>50463.82</v>
      </c>
    </row>
    <row r="672" spans="1:8" x14ac:dyDescent="0.25">
      <c r="A672" s="1947" t="s">
        <v>3338</v>
      </c>
      <c r="B672" s="1947" t="s">
        <v>2811</v>
      </c>
      <c r="C672" s="1947" t="s">
        <v>2565</v>
      </c>
      <c r="D672" s="1948">
        <v>22761.91</v>
      </c>
      <c r="E672" s="1947">
        <v>85.33</v>
      </c>
      <c r="F672" s="1948">
        <v>22676.58</v>
      </c>
      <c r="G672" s="1947"/>
      <c r="H672" s="1949">
        <f>IFERROR(IF(F672&gt;=VLOOKUP(A672,[1]Materiality!$I$6:$J$12,2,TRUE),IFERROR(IF(VLOOKUP("*CR",F672,1,FALSE)&gt;=0,"",VLOOKUP("*CR",F672,1,FALSE)),F672),""),"")</f>
        <v>22676.58</v>
      </c>
    </row>
    <row r="673" spans="1:8" x14ac:dyDescent="0.25">
      <c r="A673" s="1947" t="s">
        <v>3338</v>
      </c>
      <c r="B673" s="1947" t="s">
        <v>2812</v>
      </c>
      <c r="C673" s="1947" t="s">
        <v>2566</v>
      </c>
      <c r="D673" s="1948">
        <v>2221.2199999999998</v>
      </c>
      <c r="E673" s="1947">
        <v>0</v>
      </c>
      <c r="F673" s="1948">
        <v>2221.2199999999998</v>
      </c>
      <c r="G673" s="1947"/>
      <c r="H673" s="1949" t="str">
        <f>IFERROR(IF(F673&gt;=VLOOKUP(A673,[1]Materiality!$I$6:$J$12,2,TRUE),IFERROR(IF(VLOOKUP("*CR",F673,1,FALSE)&gt;=0,"",VLOOKUP("*CR",F673,1,FALSE)),F673),""),"")</f>
        <v/>
      </c>
    </row>
    <row r="674" spans="1:8" x14ac:dyDescent="0.25">
      <c r="A674" s="1947" t="s">
        <v>3338</v>
      </c>
      <c r="B674" s="1947" t="s">
        <v>2809</v>
      </c>
      <c r="C674" s="1947" t="s">
        <v>2563</v>
      </c>
      <c r="D674" s="1948">
        <v>10579.19</v>
      </c>
      <c r="E674" s="1947">
        <v>39.450000000000003</v>
      </c>
      <c r="F674" s="1948">
        <v>10539.74</v>
      </c>
      <c r="G674" s="1947"/>
      <c r="H674" s="1949" t="str">
        <f>IFERROR(IF(F674&gt;=VLOOKUP(A674,[1]Materiality!$I$6:$J$12,2,TRUE),IFERROR(IF(VLOOKUP("*CR",F674,1,FALSE)&gt;=0,"",VLOOKUP("*CR",F674,1,FALSE)),F674),""),"")</f>
        <v/>
      </c>
    </row>
    <row r="675" spans="1:8" x14ac:dyDescent="0.25">
      <c r="A675" s="1947" t="s">
        <v>3338</v>
      </c>
      <c r="B675" s="1947" t="s">
        <v>2813</v>
      </c>
      <c r="C675" s="1947" t="s">
        <v>2567</v>
      </c>
      <c r="D675" s="1947">
        <v>958.77</v>
      </c>
      <c r="E675" s="1947">
        <v>0</v>
      </c>
      <c r="F675" s="1947">
        <v>958.77</v>
      </c>
      <c r="G675" s="1947"/>
      <c r="H675" s="1949" t="str">
        <f>IFERROR(IF(F675&gt;=VLOOKUP(A675,[1]Materiality!$I$6:$J$12,2,TRUE),IFERROR(IF(VLOOKUP("*CR",F675,1,FALSE)&gt;=0,"",VLOOKUP("*CR",F675,1,FALSE)),F675),""),"")</f>
        <v/>
      </c>
    </row>
    <row r="676" spans="1:8" x14ac:dyDescent="0.25">
      <c r="A676" s="1947" t="s">
        <v>3338</v>
      </c>
      <c r="B676" s="1947" t="s">
        <v>2810</v>
      </c>
      <c r="C676" s="1947" t="s">
        <v>2564</v>
      </c>
      <c r="D676" s="1948">
        <v>14369.45</v>
      </c>
      <c r="E676" s="1947">
        <v>9.23</v>
      </c>
      <c r="F676" s="1948">
        <v>14360.22</v>
      </c>
      <c r="G676" s="1947"/>
      <c r="H676" s="1949" t="str">
        <f>IFERROR(IF(F676&gt;=VLOOKUP(A676,[1]Materiality!$I$6:$J$12,2,TRUE),IFERROR(IF(VLOOKUP("*CR",F676,1,FALSE)&gt;=0,"",VLOOKUP("*CR",F676,1,FALSE)),F676),""),"")</f>
        <v/>
      </c>
    </row>
    <row r="677" spans="1:8" x14ac:dyDescent="0.25">
      <c r="A677" s="1947" t="s">
        <v>3338</v>
      </c>
      <c r="B677" s="1947" t="s">
        <v>2814</v>
      </c>
      <c r="C677" s="1947" t="s">
        <v>2568</v>
      </c>
      <c r="D677" s="1947">
        <v>32.119999999999997</v>
      </c>
      <c r="E677" s="1947">
        <v>0</v>
      </c>
      <c r="F677" s="1947">
        <v>32.119999999999997</v>
      </c>
      <c r="G677" s="1947"/>
      <c r="H677" s="1949" t="str">
        <f>IFERROR(IF(F677&gt;=VLOOKUP(A677,[1]Materiality!$I$6:$J$12,2,TRUE),IFERROR(IF(VLOOKUP("*CR",F677,1,FALSE)&gt;=0,"",VLOOKUP("*CR",F677,1,FALSE)),F677),""),"")</f>
        <v/>
      </c>
    </row>
    <row r="678" spans="1:8" x14ac:dyDescent="0.25">
      <c r="A678" s="1947" t="s">
        <v>3338</v>
      </c>
      <c r="B678" s="1947" t="s">
        <v>2815</v>
      </c>
      <c r="C678" s="1947" t="s">
        <v>2569</v>
      </c>
      <c r="D678" s="1947">
        <v>226.09</v>
      </c>
      <c r="E678" s="1947">
        <v>0</v>
      </c>
      <c r="F678" s="1947">
        <v>226.09</v>
      </c>
      <c r="G678" s="1947"/>
      <c r="H678" s="1949" t="str">
        <f>IFERROR(IF(F678&gt;=VLOOKUP(A678,[1]Materiality!$I$6:$J$12,2,TRUE),IFERROR(IF(VLOOKUP("*CR",F678,1,FALSE)&gt;=0,"",VLOOKUP("*CR",F678,1,FALSE)),F678),""),"")</f>
        <v/>
      </c>
    </row>
    <row r="679" spans="1:8" x14ac:dyDescent="0.25">
      <c r="A679" s="1947" t="s">
        <v>3338</v>
      </c>
      <c r="B679" s="1947" t="s">
        <v>2810</v>
      </c>
      <c r="C679" s="1947" t="s">
        <v>2564</v>
      </c>
      <c r="D679" s="1948">
        <v>2543.27</v>
      </c>
      <c r="E679" s="1947">
        <v>0</v>
      </c>
      <c r="F679" s="1948">
        <v>2543.27</v>
      </c>
      <c r="G679" s="1947"/>
      <c r="H679" s="1949" t="str">
        <f>IFERROR(IF(F679&gt;=VLOOKUP(A679,[1]Materiality!$I$6:$J$12,2,TRUE),IFERROR(IF(VLOOKUP("*CR",F679,1,FALSE)&gt;=0,"",VLOOKUP("*CR",F679,1,FALSE)),F679),""),"")</f>
        <v/>
      </c>
    </row>
    <row r="680" spans="1:8" x14ac:dyDescent="0.25">
      <c r="A680" s="1947" t="s">
        <v>3339</v>
      </c>
      <c r="B680" s="1947" t="s">
        <v>2810</v>
      </c>
      <c r="C680" s="1947" t="s">
        <v>2564</v>
      </c>
      <c r="D680" s="1948">
        <v>8647.91</v>
      </c>
      <c r="E680" s="1947">
        <v>0</v>
      </c>
      <c r="F680" s="1948">
        <v>8647.91</v>
      </c>
      <c r="G680" s="1947"/>
      <c r="H680" s="1949" t="str">
        <f>IFERROR(IF(F680&gt;=VLOOKUP(A680,[1]Materiality!$I$6:$J$12,2,TRUE),IFERROR(IF(VLOOKUP("*CR",F680,1,FALSE)&gt;=0,"",VLOOKUP("*CR",F680,1,FALSE)),F680),""),"")</f>
        <v/>
      </c>
    </row>
    <row r="681" spans="1:8" x14ac:dyDescent="0.25">
      <c r="A681" s="1947" t="s">
        <v>3340</v>
      </c>
      <c r="B681" s="1947" t="s">
        <v>2816</v>
      </c>
      <c r="C681" s="1947" t="s">
        <v>2570</v>
      </c>
      <c r="D681" s="1947">
        <v>126.42</v>
      </c>
      <c r="E681" s="1947">
        <v>0</v>
      </c>
      <c r="F681" s="1947">
        <v>126.42</v>
      </c>
      <c r="G681" s="1947"/>
      <c r="H681" s="1949" t="str">
        <f>IFERROR(IF(F681&gt;=VLOOKUP(A681,[1]Materiality!$I$6:$J$12,2,TRUE),IFERROR(IF(VLOOKUP("*CR",F681,1,FALSE)&gt;=0,"",VLOOKUP("*CR",F681,1,FALSE)),F681),""),"")</f>
        <v/>
      </c>
    </row>
    <row r="682" spans="1:8" x14ac:dyDescent="0.25">
      <c r="A682" s="1947" t="s">
        <v>3340</v>
      </c>
      <c r="B682" s="1947" t="s">
        <v>2817</v>
      </c>
      <c r="C682" s="1947" t="s">
        <v>2571</v>
      </c>
      <c r="D682" s="1948">
        <v>3127.24</v>
      </c>
      <c r="E682" s="1947">
        <v>0</v>
      </c>
      <c r="F682" s="1948">
        <v>3127.24</v>
      </c>
      <c r="G682" s="1947"/>
      <c r="H682" s="1949" t="str">
        <f>IFERROR(IF(F682&gt;=VLOOKUP(A682,[1]Materiality!$I$6:$J$12,2,TRUE),IFERROR(IF(VLOOKUP("*CR",F682,1,FALSE)&gt;=0,"",VLOOKUP("*CR",F682,1,FALSE)),F682),""),"")</f>
        <v/>
      </c>
    </row>
    <row r="683" spans="1:8" x14ac:dyDescent="0.25">
      <c r="A683" s="1947" t="s">
        <v>3340</v>
      </c>
      <c r="B683" s="1947" t="s">
        <v>2818</v>
      </c>
      <c r="C683" s="1947" t="s">
        <v>2572</v>
      </c>
      <c r="D683" s="1948">
        <v>1634.88</v>
      </c>
      <c r="E683" s="1947">
        <v>0</v>
      </c>
      <c r="F683" s="1948">
        <v>1634.88</v>
      </c>
      <c r="G683" s="1947"/>
      <c r="H683" s="1949" t="str">
        <f>IFERROR(IF(F683&gt;=VLOOKUP(A683,[1]Materiality!$I$6:$J$12,2,TRUE),IFERROR(IF(VLOOKUP("*CR",F683,1,FALSE)&gt;=0,"",VLOOKUP("*CR",F683,1,FALSE)),F683),""),"")</f>
        <v/>
      </c>
    </row>
    <row r="684" spans="1:8" x14ac:dyDescent="0.25">
      <c r="A684" s="1947" t="s">
        <v>3340</v>
      </c>
      <c r="B684" s="1947" t="s">
        <v>2809</v>
      </c>
      <c r="C684" s="1947" t="s">
        <v>2563</v>
      </c>
      <c r="D684" s="1948">
        <v>3999.99</v>
      </c>
      <c r="E684" s="1947">
        <v>0</v>
      </c>
      <c r="F684" s="1948">
        <v>3999.99</v>
      </c>
      <c r="G684" s="1947"/>
      <c r="H684" s="1949" t="str">
        <f>IFERROR(IF(F684&gt;=VLOOKUP(A684,[1]Materiality!$I$6:$J$12,2,TRUE),IFERROR(IF(VLOOKUP("*CR",F684,1,FALSE)&gt;=0,"",VLOOKUP("*CR",F684,1,FALSE)),F684),""),"")</f>
        <v/>
      </c>
    </row>
    <row r="685" spans="1:8" x14ac:dyDescent="0.25">
      <c r="A685" s="1947" t="s">
        <v>3340</v>
      </c>
      <c r="B685" s="1947" t="s">
        <v>2810</v>
      </c>
      <c r="C685" s="1947" t="s">
        <v>2564</v>
      </c>
      <c r="D685" s="1948">
        <v>7811.06</v>
      </c>
      <c r="E685" s="1947">
        <v>0</v>
      </c>
      <c r="F685" s="1948">
        <v>7811.06</v>
      </c>
      <c r="G685" s="1947"/>
      <c r="H685" s="1949" t="str">
        <f>IFERROR(IF(F685&gt;=VLOOKUP(A685,[1]Materiality!$I$6:$J$12,2,TRUE),IFERROR(IF(VLOOKUP("*CR",F685,1,FALSE)&gt;=0,"",VLOOKUP("*CR",F685,1,FALSE)),F685),""),"")</f>
        <v/>
      </c>
    </row>
    <row r="686" spans="1:8" x14ac:dyDescent="0.25">
      <c r="A686" s="1947" t="s">
        <v>3341</v>
      </c>
      <c r="B686" s="1947" t="s">
        <v>2819</v>
      </c>
      <c r="C686" s="1947" t="s">
        <v>2573</v>
      </c>
      <c r="D686" s="1947">
        <v>12.39</v>
      </c>
      <c r="E686" s="1947">
        <v>0</v>
      </c>
      <c r="F686" s="1947">
        <v>12.39</v>
      </c>
      <c r="G686" s="1947"/>
      <c r="H686" s="1949" t="str">
        <f>IFERROR(IF(F686&gt;=VLOOKUP(A686,[1]Materiality!$I$6:$J$12,2,TRUE),IFERROR(IF(VLOOKUP("*CR",F686,1,FALSE)&gt;=0,"",VLOOKUP("*CR",F686,1,FALSE)),F686),""),"")</f>
        <v/>
      </c>
    </row>
    <row r="687" spans="1:8" x14ac:dyDescent="0.25">
      <c r="A687" s="1947" t="s">
        <v>3342</v>
      </c>
      <c r="B687" s="1947" t="s">
        <v>2810</v>
      </c>
      <c r="C687" s="1947" t="s">
        <v>2564</v>
      </c>
      <c r="D687" s="1947">
        <v>27.55</v>
      </c>
      <c r="E687" s="1947">
        <v>0</v>
      </c>
      <c r="F687" s="1947">
        <v>27.55</v>
      </c>
      <c r="G687" s="1947"/>
      <c r="H687" s="1949" t="str">
        <f>IFERROR(IF(F687&gt;=VLOOKUP(A687,[1]Materiality!$I$6:$J$12,2,TRUE),IFERROR(IF(VLOOKUP("*CR",F687,1,FALSE)&gt;=0,"",VLOOKUP("*CR",F687,1,FALSE)),F687),""),"")</f>
        <v/>
      </c>
    </row>
    <row r="688" spans="1:8" x14ac:dyDescent="0.25">
      <c r="A688" s="1947" t="s">
        <v>3343</v>
      </c>
      <c r="B688" s="1947" t="s">
        <v>2820</v>
      </c>
      <c r="C688" s="1947" t="s">
        <v>2574</v>
      </c>
      <c r="D688" s="1948">
        <v>1704.16</v>
      </c>
      <c r="E688" s="1947">
        <v>0</v>
      </c>
      <c r="F688" s="1948">
        <v>1704.16</v>
      </c>
      <c r="G688" s="1947"/>
      <c r="H688" s="1949" t="str">
        <f>IFERROR(IF(F688&gt;=VLOOKUP(A688,[1]Materiality!$I$6:$J$12,2,TRUE),IFERROR(IF(VLOOKUP("*CR",F688,1,FALSE)&gt;=0,"",VLOOKUP("*CR",F688,1,FALSE)),F688),""),"")</f>
        <v/>
      </c>
    </row>
    <row r="689" spans="1:8" x14ac:dyDescent="0.25">
      <c r="A689" s="1947" t="s">
        <v>3344</v>
      </c>
      <c r="B689" s="1947" t="s">
        <v>2821</v>
      </c>
      <c r="C689" s="1947" t="s">
        <v>2575</v>
      </c>
      <c r="D689" s="1947">
        <v>70.02</v>
      </c>
      <c r="E689" s="1947">
        <v>0</v>
      </c>
      <c r="F689" s="1947">
        <v>70.02</v>
      </c>
      <c r="G689" s="1947"/>
      <c r="H689" s="1949" t="str">
        <f>IFERROR(IF(F689&gt;=VLOOKUP(A689,[1]Materiality!$I$6:$J$12,2,TRUE),IFERROR(IF(VLOOKUP("*CR",F689,1,FALSE)&gt;=0,"",VLOOKUP("*CR",F689,1,FALSE)),F689),""),"")</f>
        <v/>
      </c>
    </row>
    <row r="690" spans="1:8" x14ac:dyDescent="0.25">
      <c r="A690" s="1947" t="s">
        <v>3345</v>
      </c>
      <c r="B690" s="1947" t="s">
        <v>2822</v>
      </c>
      <c r="C690" s="1947" t="s">
        <v>2576</v>
      </c>
      <c r="D690" s="1948">
        <v>15675.36</v>
      </c>
      <c r="E690" s="1947">
        <v>0</v>
      </c>
      <c r="F690" s="1948">
        <v>15675.36</v>
      </c>
      <c r="G690" s="1947"/>
      <c r="H690" s="1949" t="str">
        <f>IFERROR(IF(F690&gt;=VLOOKUP(A690,[1]Materiality!$I$6:$J$12,2,TRUE),IFERROR(IF(VLOOKUP("*CR",F690,1,FALSE)&gt;=0,"",VLOOKUP("*CR",F690,1,FALSE)),F690),""),"")</f>
        <v/>
      </c>
    </row>
    <row r="691" spans="1:8" x14ac:dyDescent="0.25">
      <c r="A691" s="1947" t="s">
        <v>3345</v>
      </c>
      <c r="B691" s="1947" t="s">
        <v>2809</v>
      </c>
      <c r="C691" s="1947" t="s">
        <v>2563</v>
      </c>
      <c r="D691" s="1948">
        <v>5416.08</v>
      </c>
      <c r="E691" s="1947">
        <v>0</v>
      </c>
      <c r="F691" s="1948">
        <v>5416.08</v>
      </c>
      <c r="G691" s="1947"/>
      <c r="H691" s="1949" t="str">
        <f>IFERROR(IF(F691&gt;=VLOOKUP(A691,[1]Materiality!$I$6:$J$12,2,TRUE),IFERROR(IF(VLOOKUP("*CR",F691,1,FALSE)&gt;=0,"",VLOOKUP("*CR",F691,1,FALSE)),F691),""),"")</f>
        <v/>
      </c>
    </row>
    <row r="692" spans="1:8" x14ac:dyDescent="0.25">
      <c r="A692" s="1947" t="s">
        <v>3345</v>
      </c>
      <c r="B692" s="1947" t="s">
        <v>2810</v>
      </c>
      <c r="C692" s="1947" t="s">
        <v>2564</v>
      </c>
      <c r="D692" s="1948">
        <v>3182.13</v>
      </c>
      <c r="E692" s="1947">
        <v>0</v>
      </c>
      <c r="F692" s="1948">
        <v>3182.13</v>
      </c>
      <c r="G692" s="1947"/>
      <c r="H692" s="1949" t="str">
        <f>IFERROR(IF(F692&gt;=VLOOKUP(A692,[1]Materiality!$I$6:$J$12,2,TRUE),IFERROR(IF(VLOOKUP("*CR",F692,1,FALSE)&gt;=0,"",VLOOKUP("*CR",F692,1,FALSE)),F692),""),"")</f>
        <v/>
      </c>
    </row>
    <row r="693" spans="1:8" x14ac:dyDescent="0.25">
      <c r="A693" s="1947" t="s">
        <v>3346</v>
      </c>
      <c r="B693" s="1947" t="s">
        <v>2823</v>
      </c>
      <c r="C693" s="1947" t="s">
        <v>2577</v>
      </c>
      <c r="D693" s="1948">
        <v>4452.45</v>
      </c>
      <c r="E693" s="1947">
        <v>0</v>
      </c>
      <c r="F693" s="1948">
        <v>4452.45</v>
      </c>
      <c r="G693" s="1947"/>
      <c r="H693" s="1949" t="str">
        <f>IFERROR(IF(F693&gt;=VLOOKUP(A693,[1]Materiality!$I$6:$J$12,2,TRUE),IFERROR(IF(VLOOKUP("*CR",F693,1,FALSE)&gt;=0,"",VLOOKUP("*CR",F693,1,FALSE)),F693),""),"")</f>
        <v/>
      </c>
    </row>
    <row r="694" spans="1:8" x14ac:dyDescent="0.25">
      <c r="A694" s="1947" t="s">
        <v>3346</v>
      </c>
      <c r="B694" s="1947" t="s">
        <v>2809</v>
      </c>
      <c r="C694" s="1947" t="s">
        <v>2563</v>
      </c>
      <c r="D694" s="1948">
        <v>1901.2</v>
      </c>
      <c r="E694" s="1947">
        <v>0</v>
      </c>
      <c r="F694" s="1948">
        <v>1901.2</v>
      </c>
      <c r="G694" s="1947"/>
      <c r="H694" s="1949" t="str">
        <f>IFERROR(IF(F694&gt;=VLOOKUP(A694,[1]Materiality!$I$6:$J$12,2,TRUE),IFERROR(IF(VLOOKUP("*CR",F694,1,FALSE)&gt;=0,"",VLOOKUP("*CR",F694,1,FALSE)),F694),""),"")</f>
        <v/>
      </c>
    </row>
    <row r="695" spans="1:8" x14ac:dyDescent="0.25">
      <c r="A695" s="1947" t="s">
        <v>3346</v>
      </c>
      <c r="B695" s="1947" t="s">
        <v>2810</v>
      </c>
      <c r="C695" s="1947" t="s">
        <v>2564</v>
      </c>
      <c r="D695" s="1948">
        <v>5445.56</v>
      </c>
      <c r="E695" s="1947">
        <v>3.58</v>
      </c>
      <c r="F695" s="1948">
        <v>5441.98</v>
      </c>
      <c r="G695" s="1947"/>
      <c r="H695" s="1949" t="str">
        <f>IFERROR(IF(F695&gt;=VLOOKUP(A695,[1]Materiality!$I$6:$J$12,2,TRUE),IFERROR(IF(VLOOKUP("*CR",F695,1,FALSE)&gt;=0,"",VLOOKUP("*CR",F695,1,FALSE)),F695),""),"")</f>
        <v/>
      </c>
    </row>
    <row r="696" spans="1:8" x14ac:dyDescent="0.25">
      <c r="A696" s="1947" t="s">
        <v>3347</v>
      </c>
      <c r="B696" s="1947" t="s">
        <v>2809</v>
      </c>
      <c r="C696" s="1947" t="s">
        <v>2563</v>
      </c>
      <c r="D696" s="1947">
        <v>8.68</v>
      </c>
      <c r="E696" s="1947">
        <v>0</v>
      </c>
      <c r="F696" s="1947">
        <v>8.68</v>
      </c>
      <c r="G696" s="1947"/>
      <c r="H696" s="1949" t="str">
        <f>IFERROR(IF(F696&gt;=VLOOKUP(A696,[1]Materiality!$I$6:$J$12,2,TRUE),IFERROR(IF(VLOOKUP("*CR",F696,1,FALSE)&gt;=0,"",VLOOKUP("*CR",F696,1,FALSE)),F696),""),"")</f>
        <v/>
      </c>
    </row>
    <row r="697" spans="1:8" x14ac:dyDescent="0.25">
      <c r="A697" s="1947" t="s">
        <v>3347</v>
      </c>
      <c r="B697" s="1947" t="s">
        <v>2810</v>
      </c>
      <c r="C697" s="1947" t="s">
        <v>2564</v>
      </c>
      <c r="D697" s="1947">
        <v>624.41</v>
      </c>
      <c r="E697" s="1947">
        <v>0</v>
      </c>
      <c r="F697" s="1947">
        <v>624.41</v>
      </c>
      <c r="G697" s="1947"/>
      <c r="H697" s="1949" t="str">
        <f>IFERROR(IF(F697&gt;=VLOOKUP(A697,[1]Materiality!$I$6:$J$12,2,TRUE),IFERROR(IF(VLOOKUP("*CR",F697,1,FALSE)&gt;=0,"",VLOOKUP("*CR",F697,1,FALSE)),F697),""),"")</f>
        <v/>
      </c>
    </row>
    <row r="698" spans="1:8" x14ac:dyDescent="0.25">
      <c r="A698" s="1947" t="s">
        <v>3348</v>
      </c>
      <c r="B698" s="1947" t="s">
        <v>2824</v>
      </c>
      <c r="C698" s="1947" t="s">
        <v>2578</v>
      </c>
      <c r="D698" s="1948">
        <v>3256.79</v>
      </c>
      <c r="E698" s="1947">
        <v>0</v>
      </c>
      <c r="F698" s="1948">
        <v>3256.79</v>
      </c>
      <c r="G698" s="1947"/>
      <c r="H698" s="1949" t="str">
        <f>IFERROR(IF(F698&gt;=VLOOKUP(A698,[1]Materiality!$I$6:$J$12,2,TRUE),IFERROR(IF(VLOOKUP("*CR",F698,1,FALSE)&gt;=0,"",VLOOKUP("*CR",F698,1,FALSE)),F698),""),"")</f>
        <v/>
      </c>
    </row>
    <row r="699" spans="1:8" x14ac:dyDescent="0.25">
      <c r="A699" s="1947" t="s">
        <v>3348</v>
      </c>
      <c r="B699" s="1947" t="s">
        <v>2809</v>
      </c>
      <c r="C699" s="1947" t="s">
        <v>2563</v>
      </c>
      <c r="D699" s="1948">
        <v>1501.49</v>
      </c>
      <c r="E699" s="1947">
        <v>0</v>
      </c>
      <c r="F699" s="1948">
        <v>1501.49</v>
      </c>
      <c r="G699" s="1947"/>
      <c r="H699" s="1949" t="str">
        <f>IFERROR(IF(F699&gt;=VLOOKUP(A699,[1]Materiality!$I$6:$J$12,2,TRUE),IFERROR(IF(VLOOKUP("*CR",F699,1,FALSE)&gt;=0,"",VLOOKUP("*CR",F699,1,FALSE)),F699),""),"")</f>
        <v/>
      </c>
    </row>
    <row r="700" spans="1:8" x14ac:dyDescent="0.25">
      <c r="A700" s="1947" t="s">
        <v>3348</v>
      </c>
      <c r="B700" s="1947" t="s">
        <v>2810</v>
      </c>
      <c r="C700" s="1947" t="s">
        <v>2564</v>
      </c>
      <c r="D700" s="1948">
        <v>1002.12</v>
      </c>
      <c r="E700" s="1947">
        <v>0</v>
      </c>
      <c r="F700" s="1948">
        <v>1002.12</v>
      </c>
      <c r="G700" s="1947"/>
      <c r="H700" s="1949" t="str">
        <f>IFERROR(IF(F700&gt;=VLOOKUP(A700,[1]Materiality!$I$6:$J$12,2,TRUE),IFERROR(IF(VLOOKUP("*CR",F700,1,FALSE)&gt;=0,"",VLOOKUP("*CR",F700,1,FALSE)),F700),""),"")</f>
        <v/>
      </c>
    </row>
    <row r="701" spans="1:8" x14ac:dyDescent="0.25">
      <c r="A701" s="1947" t="s">
        <v>3349</v>
      </c>
      <c r="B701" s="1947" t="s">
        <v>2810</v>
      </c>
      <c r="C701" s="1947" t="s">
        <v>2564</v>
      </c>
      <c r="D701" s="1947">
        <v>651.02</v>
      </c>
      <c r="E701" s="1947">
        <v>0</v>
      </c>
      <c r="F701" s="1947">
        <v>651.02</v>
      </c>
      <c r="G701" s="1947"/>
      <c r="H701" s="1949" t="str">
        <f>IFERROR(IF(F701&gt;=VLOOKUP(A701,[1]Materiality!$I$6:$J$12,2,TRUE),IFERROR(IF(VLOOKUP("*CR",F701,1,FALSE)&gt;=0,"",VLOOKUP("*CR",F701,1,FALSE)),F701),""),"")</f>
        <v/>
      </c>
    </row>
    <row r="702" spans="1:8" x14ac:dyDescent="0.25">
      <c r="A702" s="1947" t="s">
        <v>3350</v>
      </c>
      <c r="B702" s="1947" t="s">
        <v>2825</v>
      </c>
      <c r="C702" s="1947" t="s">
        <v>2579</v>
      </c>
      <c r="D702" s="1948">
        <v>3910.16</v>
      </c>
      <c r="E702" s="1947">
        <v>45.63</v>
      </c>
      <c r="F702" s="1948">
        <v>3864.53</v>
      </c>
      <c r="G702" s="1947"/>
      <c r="H702" s="1949" t="str">
        <f>IFERROR(IF(F702&gt;=VLOOKUP(A702,[1]Materiality!$I$6:$J$12,2,TRUE),IFERROR(IF(VLOOKUP("*CR",F702,1,FALSE)&gt;=0,"",VLOOKUP("*CR",F702,1,FALSE)),F702),""),"")</f>
        <v/>
      </c>
    </row>
    <row r="703" spans="1:8" x14ac:dyDescent="0.25">
      <c r="A703" s="1947" t="s">
        <v>3350</v>
      </c>
      <c r="B703" s="1947" t="s">
        <v>2809</v>
      </c>
      <c r="C703" s="1947" t="s">
        <v>2563</v>
      </c>
      <c r="D703" s="1948">
        <v>1846.28</v>
      </c>
      <c r="E703" s="1947">
        <v>22.11</v>
      </c>
      <c r="F703" s="1948">
        <v>1824.17</v>
      </c>
      <c r="G703" s="1947"/>
      <c r="H703" s="1949" t="str">
        <f>IFERROR(IF(F703&gt;=VLOOKUP(A703,[1]Materiality!$I$6:$J$12,2,TRUE),IFERROR(IF(VLOOKUP("*CR",F703,1,FALSE)&gt;=0,"",VLOOKUP("*CR",F703,1,FALSE)),F703),""),"")</f>
        <v/>
      </c>
    </row>
    <row r="704" spans="1:8" x14ac:dyDescent="0.25">
      <c r="A704" s="1947" t="s">
        <v>3350</v>
      </c>
      <c r="B704" s="1947" t="s">
        <v>2810</v>
      </c>
      <c r="C704" s="1947" t="s">
        <v>2564</v>
      </c>
      <c r="D704" s="1948">
        <v>1614.26</v>
      </c>
      <c r="E704" s="1947">
        <v>5.16</v>
      </c>
      <c r="F704" s="1948">
        <v>1609.1</v>
      </c>
      <c r="G704" s="1947"/>
      <c r="H704" s="1949" t="str">
        <f>IFERROR(IF(F704&gt;=VLOOKUP(A704,[1]Materiality!$I$6:$J$12,2,TRUE),IFERROR(IF(VLOOKUP("*CR",F704,1,FALSE)&gt;=0,"",VLOOKUP("*CR",F704,1,FALSE)),F704),""),"")</f>
        <v/>
      </c>
    </row>
    <row r="705" spans="1:8" x14ac:dyDescent="0.25">
      <c r="A705" s="1947" t="s">
        <v>3351</v>
      </c>
      <c r="B705" s="1947" t="s">
        <v>2814</v>
      </c>
      <c r="C705" s="1947" t="s">
        <v>2568</v>
      </c>
      <c r="D705" s="1947">
        <v>89.73</v>
      </c>
      <c r="E705" s="1947">
        <v>0</v>
      </c>
      <c r="F705" s="1947">
        <v>89.73</v>
      </c>
      <c r="G705" s="1947"/>
      <c r="H705" s="1949" t="str">
        <f>IFERROR(IF(F705&gt;=VLOOKUP(A705,[1]Materiality!$I$6:$J$12,2,TRUE),IFERROR(IF(VLOOKUP("*CR",F705,1,FALSE)&gt;=0,"",VLOOKUP("*CR",F705,1,FALSE)),F705),""),"")</f>
        <v/>
      </c>
    </row>
    <row r="706" spans="1:8" x14ac:dyDescent="0.25">
      <c r="A706" s="1947" t="s">
        <v>3352</v>
      </c>
      <c r="B706" s="1947" t="s">
        <v>2810</v>
      </c>
      <c r="C706" s="1947" t="s">
        <v>2564</v>
      </c>
      <c r="D706" s="1947">
        <v>575.12</v>
      </c>
      <c r="E706" s="1947">
        <v>0</v>
      </c>
      <c r="F706" s="1947">
        <v>575.12</v>
      </c>
      <c r="G706" s="1947"/>
      <c r="H706" s="1949" t="str">
        <f>IFERROR(IF(F706&gt;=VLOOKUP(A706,[1]Materiality!$I$6:$J$12,2,TRUE),IFERROR(IF(VLOOKUP("*CR",F706,1,FALSE)&gt;=0,"",VLOOKUP("*CR",F706,1,FALSE)),F706),""),"")</f>
        <v/>
      </c>
    </row>
    <row r="707" spans="1:8" x14ac:dyDescent="0.25">
      <c r="A707" s="1947" t="s">
        <v>3353</v>
      </c>
      <c r="B707" s="1947" t="s">
        <v>2826</v>
      </c>
      <c r="C707" s="1947" t="s">
        <v>2580</v>
      </c>
      <c r="D707" s="1948">
        <v>5397.23</v>
      </c>
      <c r="E707" s="1947">
        <v>0</v>
      </c>
      <c r="F707" s="1948">
        <v>5397.23</v>
      </c>
      <c r="G707" s="1947"/>
      <c r="H707" s="1949" t="str">
        <f>IFERROR(IF(F707&gt;=VLOOKUP(A707,[1]Materiality!$I$6:$J$12,2,TRUE),IFERROR(IF(VLOOKUP("*CR",F707,1,FALSE)&gt;=0,"",VLOOKUP("*CR",F707,1,FALSE)),F707),""),"")</f>
        <v/>
      </c>
    </row>
    <row r="708" spans="1:8" x14ac:dyDescent="0.25">
      <c r="A708" s="1947" t="s">
        <v>3353</v>
      </c>
      <c r="B708" s="1947" t="s">
        <v>2809</v>
      </c>
      <c r="C708" s="1947" t="s">
        <v>2563</v>
      </c>
      <c r="D708" s="1948">
        <v>2592.4899999999998</v>
      </c>
      <c r="E708" s="1947">
        <v>0</v>
      </c>
      <c r="F708" s="1948">
        <v>2592.4899999999998</v>
      </c>
      <c r="G708" s="1947"/>
      <c r="H708" s="1949" t="str">
        <f>IFERROR(IF(F708&gt;=VLOOKUP(A708,[1]Materiality!$I$6:$J$12,2,TRUE),IFERROR(IF(VLOOKUP("*CR",F708,1,FALSE)&gt;=0,"",VLOOKUP("*CR",F708,1,FALSE)),F708),""),"")</f>
        <v/>
      </c>
    </row>
    <row r="709" spans="1:8" x14ac:dyDescent="0.25">
      <c r="A709" s="1947" t="s">
        <v>3353</v>
      </c>
      <c r="B709" s="1947" t="s">
        <v>2810</v>
      </c>
      <c r="C709" s="1947" t="s">
        <v>2564</v>
      </c>
      <c r="D709" s="1948">
        <v>2477.35</v>
      </c>
      <c r="E709" s="1947">
        <v>0</v>
      </c>
      <c r="F709" s="1948">
        <v>2477.35</v>
      </c>
      <c r="G709" s="1947"/>
      <c r="H709" s="1949" t="str">
        <f>IFERROR(IF(F709&gt;=VLOOKUP(A709,[1]Materiality!$I$6:$J$12,2,TRUE),IFERROR(IF(VLOOKUP("*CR",F709,1,FALSE)&gt;=0,"",VLOOKUP("*CR",F709,1,FALSE)),F709),""),"")</f>
        <v/>
      </c>
    </row>
    <row r="710" spans="1:8" x14ac:dyDescent="0.25">
      <c r="A710" s="1947" t="s">
        <v>3354</v>
      </c>
      <c r="B710" s="1947" t="s">
        <v>2822</v>
      </c>
      <c r="C710" s="1947" t="s">
        <v>2576</v>
      </c>
      <c r="D710" s="1948">
        <v>8100.13</v>
      </c>
      <c r="E710" s="1947">
        <v>0</v>
      </c>
      <c r="F710" s="1948">
        <v>8100.13</v>
      </c>
      <c r="G710" s="1947"/>
      <c r="H710" s="1949" t="str">
        <f>IFERROR(IF(F710&gt;=VLOOKUP(A710,[1]Materiality!$I$6:$J$12,2,TRUE),IFERROR(IF(VLOOKUP("*CR",F710,1,FALSE)&gt;=0,"",VLOOKUP("*CR",F710,1,FALSE)),F710),""),"")</f>
        <v/>
      </c>
    </row>
    <row r="711" spans="1:8" x14ac:dyDescent="0.25">
      <c r="A711" s="1947" t="s">
        <v>3354</v>
      </c>
      <c r="B711" s="1947" t="s">
        <v>2809</v>
      </c>
      <c r="C711" s="1947" t="s">
        <v>2563</v>
      </c>
      <c r="D711" s="1948">
        <v>3532.16</v>
      </c>
      <c r="E711" s="1947">
        <v>0</v>
      </c>
      <c r="F711" s="1948">
        <v>3532.16</v>
      </c>
      <c r="G711" s="1947"/>
      <c r="H711" s="1949" t="str">
        <f>IFERROR(IF(F711&gt;=VLOOKUP(A711,[1]Materiality!$I$6:$J$12,2,TRUE),IFERROR(IF(VLOOKUP("*CR",F711,1,FALSE)&gt;=0,"",VLOOKUP("*CR",F711,1,FALSE)),F711),""),"")</f>
        <v/>
      </c>
    </row>
    <row r="712" spans="1:8" x14ac:dyDescent="0.25">
      <c r="A712" s="1947" t="s">
        <v>3354</v>
      </c>
      <c r="B712" s="1947" t="s">
        <v>2810</v>
      </c>
      <c r="C712" s="1947" t="s">
        <v>2564</v>
      </c>
      <c r="D712" s="1948">
        <v>3622.55</v>
      </c>
      <c r="E712" s="1947">
        <v>0</v>
      </c>
      <c r="F712" s="1948">
        <v>3622.55</v>
      </c>
      <c r="G712" s="1947"/>
      <c r="H712" s="1949" t="str">
        <f>IFERROR(IF(F712&gt;=VLOOKUP(A712,[1]Materiality!$I$6:$J$12,2,TRUE),IFERROR(IF(VLOOKUP("*CR",F712,1,FALSE)&gt;=0,"",VLOOKUP("*CR",F712,1,FALSE)),F712),""),"")</f>
        <v/>
      </c>
    </row>
    <row r="713" spans="1:8" x14ac:dyDescent="0.25">
      <c r="A713" s="1947" t="s">
        <v>3355</v>
      </c>
      <c r="B713" s="1947" t="s">
        <v>2827</v>
      </c>
      <c r="C713" s="1947" t="s">
        <v>2581</v>
      </c>
      <c r="D713" s="1948">
        <v>18458.080000000002</v>
      </c>
      <c r="E713" s="1947">
        <v>0</v>
      </c>
      <c r="F713" s="1948">
        <v>18458.080000000002</v>
      </c>
      <c r="G713" s="1947"/>
      <c r="H713" s="1949" t="str">
        <f>IFERROR(IF(F713&gt;=VLOOKUP(A713,[1]Materiality!$I$6:$J$12,2,TRUE),IFERROR(IF(VLOOKUP("*CR",F713,1,FALSE)&gt;=0,"",VLOOKUP("*CR",F713,1,FALSE)),F713),""),"")</f>
        <v/>
      </c>
    </row>
    <row r="714" spans="1:8" x14ac:dyDescent="0.25">
      <c r="A714" s="1947" t="s">
        <v>3355</v>
      </c>
      <c r="B714" s="1947" t="s">
        <v>2809</v>
      </c>
      <c r="C714" s="1947" t="s">
        <v>2563</v>
      </c>
      <c r="D714" s="1948">
        <v>7663.26</v>
      </c>
      <c r="E714" s="1947">
        <v>0</v>
      </c>
      <c r="F714" s="1948">
        <v>7663.26</v>
      </c>
      <c r="G714" s="1947"/>
      <c r="H714" s="1949" t="str">
        <f>IFERROR(IF(F714&gt;=VLOOKUP(A714,[1]Materiality!$I$6:$J$12,2,TRUE),IFERROR(IF(VLOOKUP("*CR",F714,1,FALSE)&gt;=0,"",VLOOKUP("*CR",F714,1,FALSE)),F714),""),"")</f>
        <v/>
      </c>
    </row>
    <row r="715" spans="1:8" x14ac:dyDescent="0.25">
      <c r="A715" s="1947" t="s">
        <v>3355</v>
      </c>
      <c r="B715" s="1947" t="s">
        <v>2810</v>
      </c>
      <c r="C715" s="1947" t="s">
        <v>2564</v>
      </c>
      <c r="D715" s="1948">
        <v>1792.27</v>
      </c>
      <c r="E715" s="1947">
        <v>0</v>
      </c>
      <c r="F715" s="1948">
        <v>1792.27</v>
      </c>
      <c r="G715" s="1947"/>
      <c r="H715" s="1949" t="str">
        <f>IFERROR(IF(F715&gt;=VLOOKUP(A715,[1]Materiality!$I$6:$J$12,2,TRUE),IFERROR(IF(VLOOKUP("*CR",F715,1,FALSE)&gt;=0,"",VLOOKUP("*CR",F715,1,FALSE)),F715),""),"")</f>
        <v/>
      </c>
    </row>
    <row r="716" spans="1:8" x14ac:dyDescent="0.25">
      <c r="A716" s="1947" t="s">
        <v>3356</v>
      </c>
      <c r="B716" s="1947" t="s">
        <v>2828</v>
      </c>
      <c r="C716" s="1947" t="s">
        <v>2582</v>
      </c>
      <c r="D716" s="1948">
        <v>17427.25</v>
      </c>
      <c r="E716" s="1947">
        <v>0</v>
      </c>
      <c r="F716" s="1948">
        <v>17427.25</v>
      </c>
      <c r="G716" s="1947"/>
      <c r="H716" s="1949" t="str">
        <f>IFERROR(IF(F716&gt;=VLOOKUP(A716,[1]Materiality!$I$6:$J$12,2,TRUE),IFERROR(IF(VLOOKUP("*CR",F716,1,FALSE)&gt;=0,"",VLOOKUP("*CR",F716,1,FALSE)),F716),""),"")</f>
        <v/>
      </c>
    </row>
    <row r="717" spans="1:8" x14ac:dyDescent="0.25">
      <c r="A717" s="1947" t="s">
        <v>3356</v>
      </c>
      <c r="B717" s="1947" t="s">
        <v>2809</v>
      </c>
      <c r="C717" s="1947" t="s">
        <v>2563</v>
      </c>
      <c r="D717" s="1948">
        <v>7656.69</v>
      </c>
      <c r="E717" s="1947">
        <v>0</v>
      </c>
      <c r="F717" s="1948">
        <v>7656.69</v>
      </c>
      <c r="G717" s="1947"/>
      <c r="H717" s="1949" t="str">
        <f>IFERROR(IF(F717&gt;=VLOOKUP(A717,[1]Materiality!$I$6:$J$12,2,TRUE),IFERROR(IF(VLOOKUP("*CR",F717,1,FALSE)&gt;=0,"",VLOOKUP("*CR",F717,1,FALSE)),F717),""),"")</f>
        <v/>
      </c>
    </row>
    <row r="718" spans="1:8" x14ac:dyDescent="0.25">
      <c r="A718" s="1947" t="s">
        <v>3356</v>
      </c>
      <c r="B718" s="1947" t="s">
        <v>2810</v>
      </c>
      <c r="C718" s="1947" t="s">
        <v>2564</v>
      </c>
      <c r="D718" s="1948">
        <v>1790.76</v>
      </c>
      <c r="E718" s="1947">
        <v>0</v>
      </c>
      <c r="F718" s="1948">
        <v>1790.76</v>
      </c>
      <c r="G718" s="1947"/>
      <c r="H718" s="1949" t="str">
        <f>IFERROR(IF(F718&gt;=VLOOKUP(A718,[1]Materiality!$I$6:$J$12,2,TRUE),IFERROR(IF(VLOOKUP("*CR",F718,1,FALSE)&gt;=0,"",VLOOKUP("*CR",F718,1,FALSE)),F718),""),"")</f>
        <v/>
      </c>
    </row>
    <row r="719" spans="1:8" x14ac:dyDescent="0.25">
      <c r="A719" s="1947" t="s">
        <v>3398</v>
      </c>
      <c r="B719" s="1947" t="s">
        <v>2814</v>
      </c>
      <c r="C719" s="1947" t="s">
        <v>2568</v>
      </c>
      <c r="D719" s="1947">
        <v>62.09</v>
      </c>
      <c r="E719" s="1947">
        <v>0</v>
      </c>
      <c r="F719" s="1947">
        <v>62.09</v>
      </c>
      <c r="G719" s="1947"/>
      <c r="H719" s="1949" t="str">
        <f>IFERROR(IF(F719&gt;=VLOOKUP(A719,[1]Materiality!$I$6:$J$12,2,TRUE),IFERROR(IF(VLOOKUP("*CR",F719,1,FALSE)&gt;=0,"",VLOOKUP("*CR",F719,1,FALSE)),F719),""),"")</f>
        <v/>
      </c>
    </row>
    <row r="720" spans="1:8" x14ac:dyDescent="0.25">
      <c r="A720" s="1947" t="s">
        <v>1038</v>
      </c>
      <c r="B720" s="1947"/>
      <c r="C720" s="1947"/>
      <c r="D720" s="1947"/>
      <c r="E720" s="1947"/>
      <c r="F720" s="1947"/>
      <c r="G720" s="1947"/>
      <c r="H720" s="1949" t="str">
        <f>IFERROR(IF(F720&gt;=VLOOKUP(A720,[1]Materiality!$I$6:$J$12,2,TRUE),IFERROR(IF(VLOOKUP("*CR",F720,1,FALSE)&gt;=0,"",VLOOKUP("*CR",F720,1,FALSE)),F720),""),"")</f>
        <v/>
      </c>
    </row>
    <row r="721" spans="1:8" x14ac:dyDescent="0.25">
      <c r="A721" s="1952" t="s">
        <v>2852</v>
      </c>
      <c r="B721" s="1952" t="s">
        <v>2829</v>
      </c>
      <c r="C721" s="1947" t="s">
        <v>2583</v>
      </c>
      <c r="D721" s="1948">
        <v>442381.8</v>
      </c>
      <c r="E721" s="1948">
        <v>1235.32</v>
      </c>
      <c r="F721" s="1948">
        <v>441146.48</v>
      </c>
      <c r="G721" s="1947"/>
      <c r="H721" s="1949" t="str">
        <f>IFERROR(IF(F721&gt;=VLOOKUP(A721,[1]Materiality!$I$6:$J$12,2,TRUE),IFERROR(IF(VLOOKUP("*CR",F721,1,FALSE)&gt;=0,"",VLOOKUP("*CR",F721,1,FALSE)),F721),""),"")</f>
        <v/>
      </c>
    </row>
    <row r="722" spans="1:8" x14ac:dyDescent="0.25">
      <c r="A722" s="1947" t="s">
        <v>1038</v>
      </c>
      <c r="B722" s="1947"/>
      <c r="C722" s="1947"/>
      <c r="D722" s="1947"/>
      <c r="E722" s="1947"/>
      <c r="F722" s="1947"/>
      <c r="G722" s="1947"/>
      <c r="H722" s="1949" t="str">
        <f>IFERROR(IF(F722&gt;=VLOOKUP(A722,[1]Materiality!$I$6:$J$12,2,TRUE),IFERROR(IF(VLOOKUP("*CR",F722,1,FALSE)&gt;=0,"",VLOOKUP("*CR",F722,1,FALSE)),F722),""),"")</f>
        <v/>
      </c>
    </row>
    <row r="723" spans="1:8" x14ac:dyDescent="0.25">
      <c r="A723" s="1952" t="s">
        <v>2852</v>
      </c>
      <c r="B723" s="1952" t="s">
        <v>2830</v>
      </c>
      <c r="C723" s="1947" t="s">
        <v>2584</v>
      </c>
      <c r="D723" s="1948">
        <v>442381.8</v>
      </c>
      <c r="E723" s="1948">
        <v>615191.38</v>
      </c>
      <c r="F723" s="1948">
        <v>172809.58</v>
      </c>
      <c r="G723" s="1947"/>
      <c r="H723" s="1949" t="str">
        <f>IFERROR(IF(F723&gt;=VLOOKUP(A723,[1]Materiality!$I$6:$J$12,2,TRUE),IFERROR(IF(VLOOKUP("*CR",F723,1,FALSE)&gt;=0,"",VLOOKUP("*CR",F723,1,FALSE)),F723),""),"")</f>
        <v/>
      </c>
    </row>
    <row r="724" spans="1:8" x14ac:dyDescent="0.25">
      <c r="A724" s="1947" t="s">
        <v>1038</v>
      </c>
      <c r="B724" s="1947"/>
      <c r="C724" s="1947"/>
      <c r="D724" s="1947"/>
      <c r="E724" s="1947"/>
      <c r="F724" s="1947"/>
      <c r="G724" s="1947"/>
      <c r="H724" s="1949" t="str">
        <f>IFERROR(IF(F724&gt;=VLOOKUP(A724,[1]Materiality!$I$6:$J$12,2,TRUE),IFERROR(IF(VLOOKUP("*CR",F724,1,FALSE)&gt;=0,"",VLOOKUP("*CR",F724,1,FALSE)),F724),""),"")</f>
        <v/>
      </c>
    </row>
    <row r="725" spans="1:8" x14ac:dyDescent="0.25">
      <c r="A725" s="1947" t="s">
        <v>1038</v>
      </c>
      <c r="B725" s="1947"/>
      <c r="C725" s="1947"/>
      <c r="D725" s="1947"/>
      <c r="E725" s="1947"/>
      <c r="F725" s="1947"/>
      <c r="G725" s="1947"/>
      <c r="H725" s="1949" t="str">
        <f>IFERROR(IF(F725&gt;=VLOOKUP(A725,[1]Materiality!$I$6:$J$12,2,TRUE),IFERROR(IF(VLOOKUP("*CR",F725,1,FALSE)&gt;=0,"",VLOOKUP("*CR",F725,1,FALSE)),F725),""),"")</f>
        <v/>
      </c>
    </row>
    <row r="726" spans="1:8" x14ac:dyDescent="0.25">
      <c r="A726" s="1952" t="s">
        <v>2853</v>
      </c>
      <c r="B726" s="1952" t="s">
        <v>2783</v>
      </c>
      <c r="C726" s="1947" t="s">
        <v>2544</v>
      </c>
      <c r="D726" s="1948">
        <v>2180812.92</v>
      </c>
      <c r="E726" s="1948">
        <v>2180812.92</v>
      </c>
      <c r="F726" s="1947">
        <v>0</v>
      </c>
      <c r="G726" s="1947">
        <v>0</v>
      </c>
      <c r="H726" s="1949" t="str">
        <f>IFERROR(IF(F726&gt;=VLOOKUP(A726,[1]Materiality!$I$6:$J$12,2,TRUE),IFERROR(IF(VLOOKUP("*CR",F726,1,FALSE)&gt;=0,"",VLOOKUP("*CR",F726,1,FALSE)),F726),""),"")</f>
        <v/>
      </c>
    </row>
    <row r="727" spans="1:8" x14ac:dyDescent="0.25">
      <c r="A727" s="1952" t="s">
        <v>2853</v>
      </c>
      <c r="B727" s="1952" t="s">
        <v>2784</v>
      </c>
      <c r="C727" s="1947" t="s">
        <v>2584</v>
      </c>
      <c r="D727" s="1948">
        <v>442381.8</v>
      </c>
      <c r="E727" s="1948">
        <v>615191.38</v>
      </c>
      <c r="F727" s="1948">
        <v>172809.58</v>
      </c>
      <c r="G727" s="1947"/>
      <c r="H727" s="1949" t="str">
        <f>IFERROR(IF(F727&gt;=VLOOKUP(A727,[1]Materiality!$I$6:$J$12,2,TRUE),IFERROR(IF(VLOOKUP("*CR",F727,1,FALSE)&gt;=0,"",VLOOKUP("*CR",F727,1,FALSE)),F727),""),"")</f>
        <v/>
      </c>
    </row>
    <row r="728" spans="1:8" x14ac:dyDescent="0.25">
      <c r="A728" s="1951" t="s">
        <v>1038</v>
      </c>
      <c r="H728" s="1949" t="str">
        <f>IFERROR(IF(F728&gt;=VLOOKUP(A728,[1]Materiality!$I$6:$J$12,2,TRUE),IFERROR(IF(VLOOKUP("*CR",F728,1,FALSE)&gt;=0,"",VLOOKUP("*CR",F728,1,FALSE)),F728),""),"")</f>
        <v/>
      </c>
    </row>
    <row r="729" spans="1:8" x14ac:dyDescent="0.25">
      <c r="A729" s="1947" t="s">
        <v>3272</v>
      </c>
      <c r="B729" s="1947" t="s">
        <v>2698</v>
      </c>
      <c r="C729" s="1947" t="s">
        <v>2585</v>
      </c>
      <c r="D729" s="1948">
        <v>623599.55000000005</v>
      </c>
      <c r="E729" s="1948">
        <v>898906.37</v>
      </c>
      <c r="F729" s="1948">
        <v>275306.82</v>
      </c>
      <c r="G729" s="1948">
        <v>725631.87</v>
      </c>
      <c r="H729" s="1949">
        <f>IFERROR(IF(F729&gt;=VLOOKUP(A729,[1]Materiality!$I$6:$J$12,2,TRUE),IFERROR(IF(VLOOKUP("*CR",F729,1,FALSE)&gt;=0,"",VLOOKUP("*CR",F729,1,FALSE)),F729),""),"")</f>
        <v>275306.82</v>
      </c>
    </row>
    <row r="730" spans="1:8" x14ac:dyDescent="0.25">
      <c r="A730" s="1947" t="s">
        <v>3273</v>
      </c>
      <c r="B730" s="1947" t="s">
        <v>2698</v>
      </c>
      <c r="C730" s="1947" t="s">
        <v>2586</v>
      </c>
      <c r="D730" s="1947">
        <v>0</v>
      </c>
      <c r="E730" s="1947">
        <v>0</v>
      </c>
      <c r="F730" s="1947">
        <v>0</v>
      </c>
      <c r="G730" s="1948">
        <v>150000</v>
      </c>
      <c r="H730" s="1949" t="str">
        <f>IFERROR(IF(F730&gt;=VLOOKUP(A730,[1]Materiality!$I$6:$J$12,2,TRUE),IFERROR(IF(VLOOKUP("*CR",F730,1,FALSE)&gt;=0,"",VLOOKUP("*CR",F730,1,FALSE)),F730),""),"")</f>
        <v/>
      </c>
    </row>
    <row r="731" spans="1:8" x14ac:dyDescent="0.25">
      <c r="A731" s="1947" t="s">
        <v>3274</v>
      </c>
      <c r="B731" s="1947" t="s">
        <v>2698</v>
      </c>
      <c r="C731" s="1947" t="s">
        <v>2587</v>
      </c>
      <c r="D731" s="1948">
        <v>782778.66</v>
      </c>
      <c r="E731" s="1947">
        <v>0</v>
      </c>
      <c r="F731" s="1948">
        <v>782778.66</v>
      </c>
      <c r="G731" s="1948">
        <v>2504051.79</v>
      </c>
      <c r="H731" s="1949">
        <f>IFERROR(IF(F731&gt;=VLOOKUP(A731,[1]Materiality!$I$6:$J$12,2,TRUE),IFERROR(IF(VLOOKUP("*CR",F731,1,FALSE)&gt;=0,"",VLOOKUP("*CR",F731,1,FALSE)),F731),""),"")</f>
        <v>782778.66</v>
      </c>
    </row>
    <row r="732" spans="1:8" x14ac:dyDescent="0.25">
      <c r="A732" s="1947" t="s">
        <v>3275</v>
      </c>
      <c r="B732" s="1947" t="s">
        <v>2698</v>
      </c>
      <c r="C732" s="1947" t="s">
        <v>2588</v>
      </c>
      <c r="D732" s="1948">
        <v>115572.71</v>
      </c>
      <c r="E732" s="1948">
        <v>115572.71</v>
      </c>
      <c r="F732" s="1947">
        <v>0</v>
      </c>
      <c r="G732" s="1947">
        <v>0</v>
      </c>
      <c r="H732" s="1949" t="str">
        <f>IFERROR(IF(F732&gt;=VLOOKUP(A732,[1]Materiality!$I$6:$J$12,2,TRUE),IFERROR(IF(VLOOKUP("*CR",F732,1,FALSE)&gt;=0,"",VLOOKUP("*CR",F732,1,FALSE)),F732),""),"")</f>
        <v/>
      </c>
    </row>
    <row r="733" spans="1:8" x14ac:dyDescent="0.25">
      <c r="A733" s="1947" t="s">
        <v>2859</v>
      </c>
      <c r="B733" s="1947" t="s">
        <v>2699</v>
      </c>
      <c r="C733" s="1947" t="s">
        <v>2589</v>
      </c>
      <c r="D733" s="1948">
        <v>90291.1</v>
      </c>
      <c r="E733" s="1948">
        <v>90291.1</v>
      </c>
      <c r="F733" s="1947">
        <v>0</v>
      </c>
      <c r="G733" s="1947">
        <v>0</v>
      </c>
      <c r="H733" s="1949" t="str">
        <f>IFERROR(IF(F733&gt;=VLOOKUP(A733,[1]Materiality!$I$6:$J$12,2,TRUE),IFERROR(IF(VLOOKUP("*CR",F733,1,FALSE)&gt;=0,"",VLOOKUP("*CR",F733,1,FALSE)),F733),""),"")</f>
        <v/>
      </c>
    </row>
    <row r="734" spans="1:8" x14ac:dyDescent="0.25">
      <c r="A734" s="1947" t="s">
        <v>2860</v>
      </c>
      <c r="B734" s="1947" t="s">
        <v>2699</v>
      </c>
      <c r="C734" s="1947" t="s">
        <v>2590</v>
      </c>
      <c r="D734" s="1948">
        <v>242197.47</v>
      </c>
      <c r="E734" s="1948">
        <v>749669.31</v>
      </c>
      <c r="F734" s="1948">
        <v>507471.84</v>
      </c>
      <c r="G734" s="1947" t="s">
        <v>2591</v>
      </c>
      <c r="H734" s="1949">
        <f>IFERROR(IF(F734&gt;=VLOOKUP(A734,[1]Materiality!$I$6:$J$12,2,TRUE),IFERROR(IF(VLOOKUP("*CR",F734,1,FALSE)&gt;=0,"",VLOOKUP("*CR",F734,1,FALSE)),F734),""),"")</f>
        <v>507471.84</v>
      </c>
    </row>
    <row r="735" spans="1:8" x14ac:dyDescent="0.25">
      <c r="A735" s="1947" t="s">
        <v>1038</v>
      </c>
      <c r="B735" s="1947"/>
      <c r="C735" s="1947"/>
      <c r="D735" s="1947"/>
      <c r="E735" s="1947"/>
      <c r="F735" s="1947"/>
      <c r="G735" s="1947"/>
      <c r="H735" s="1949" t="str">
        <f>IFERROR(IF(F735&gt;=VLOOKUP(A735,[1]Materiality!$I$6:$J$12,2,TRUE),IFERROR(IF(VLOOKUP("*CR",F735,1,FALSE)&gt;=0,"",VLOOKUP("*CR",F735,1,FALSE)),F735),""),"")</f>
        <v/>
      </c>
    </row>
    <row r="736" spans="1:8" x14ac:dyDescent="0.25">
      <c r="A736" s="1952" t="s">
        <v>2852</v>
      </c>
      <c r="B736" s="1952" t="s">
        <v>2831</v>
      </c>
      <c r="C736" s="1947" t="s">
        <v>2592</v>
      </c>
      <c r="D736" s="1948">
        <v>1854439.49</v>
      </c>
      <c r="E736" s="1948">
        <v>1854439.49</v>
      </c>
      <c r="F736" s="1947">
        <v>0</v>
      </c>
      <c r="G736" s="1947">
        <v>0</v>
      </c>
      <c r="H736" s="1949" t="str">
        <f>IFERROR(IF(F736&gt;=VLOOKUP(A736,[1]Materiality!$I$6:$J$12,2,TRUE),IFERROR(IF(VLOOKUP("*CR",F736,1,FALSE)&gt;=0,"",VLOOKUP("*CR",F736,1,FALSE)),F736),""),"")</f>
        <v/>
      </c>
    </row>
    <row r="737" spans="1:8" x14ac:dyDescent="0.25">
      <c r="A737" s="1947" t="s">
        <v>1038</v>
      </c>
      <c r="B737" s="1947"/>
      <c r="C737" s="1947"/>
      <c r="D737" s="1947"/>
      <c r="E737" s="1947"/>
      <c r="F737" s="1947"/>
      <c r="G737" s="1947"/>
      <c r="H737" s="1949" t="str">
        <f>IFERROR(IF(F737&gt;=VLOOKUP(A737,[1]Materiality!$I$6:$J$12,2,TRUE),IFERROR(IF(VLOOKUP("*CR",F737,1,FALSE)&gt;=0,"",VLOOKUP("*CR",F737,1,FALSE)),F737),""),"")</f>
        <v/>
      </c>
    </row>
    <row r="738" spans="1:8" x14ac:dyDescent="0.25">
      <c r="A738" s="1947" t="s">
        <v>3276</v>
      </c>
      <c r="B738" s="1947" t="s">
        <v>2698</v>
      </c>
      <c r="C738" s="1947" t="s">
        <v>2593</v>
      </c>
      <c r="D738" s="1947">
        <v>0.02</v>
      </c>
      <c r="E738" s="1948">
        <v>38586.53</v>
      </c>
      <c r="F738" s="1948">
        <f>38586.51-1</f>
        <v>38585.51</v>
      </c>
      <c r="G738" s="1947"/>
      <c r="H738" s="1949">
        <f>IFERROR(IF(F738&gt;=VLOOKUP(A738,[1]Materiality!$I$6:$J$12,2,TRUE),IFERROR(IF(VLOOKUP("*CR",F738,1,FALSE)&gt;=0,"",VLOOKUP("*CR",F738,1,FALSE)),F738),""),"")</f>
        <v>38585.51</v>
      </c>
    </row>
    <row r="739" spans="1:8" x14ac:dyDescent="0.25">
      <c r="A739" s="1947" t="s">
        <v>3277</v>
      </c>
      <c r="B739" s="1947" t="s">
        <v>2698</v>
      </c>
      <c r="C739" s="1947" t="s">
        <v>2593</v>
      </c>
      <c r="D739" s="1948">
        <v>36333.64</v>
      </c>
      <c r="E739" s="1948">
        <v>620791.68000000005</v>
      </c>
      <c r="F739" s="1948">
        <v>584458.04</v>
      </c>
      <c r="G739" s="1947"/>
      <c r="H739" s="1949">
        <f>IFERROR(IF(F739&gt;=VLOOKUP(A739,[1]Materiality!$I$6:$J$12,2,TRUE),IFERROR(IF(VLOOKUP("*CR",F739,1,FALSE)&gt;=0,"",VLOOKUP("*CR",F739,1,FALSE)),F739),""),"")</f>
        <v>584458.04</v>
      </c>
    </row>
    <row r="740" spans="1:8" x14ac:dyDescent="0.25">
      <c r="A740" s="1947" t="s">
        <v>1038</v>
      </c>
      <c r="B740" s="1947"/>
      <c r="C740" s="1947"/>
      <c r="D740" s="1947"/>
      <c r="E740" s="1947"/>
      <c r="F740" s="1947"/>
      <c r="G740" s="1947"/>
      <c r="H740" s="1949" t="str">
        <f>IFERROR(IF(F740&gt;=VLOOKUP(A740,[1]Materiality!$I$6:$J$12,2,TRUE),IFERROR(IF(VLOOKUP("*CR",F740,1,FALSE)&gt;=0,"",VLOOKUP("*CR",F740,1,FALSE)),F740),""),"")</f>
        <v/>
      </c>
    </row>
    <row r="741" spans="1:8" x14ac:dyDescent="0.25">
      <c r="A741" s="1952" t="s">
        <v>2852</v>
      </c>
      <c r="B741" s="1952" t="s">
        <v>2832</v>
      </c>
      <c r="C741" s="1947" t="s">
        <v>2594</v>
      </c>
      <c r="D741" s="1948">
        <v>36333.660000000003</v>
      </c>
      <c r="E741" s="1948">
        <v>659378.21</v>
      </c>
      <c r="F741" s="1948">
        <v>623044.55000000005</v>
      </c>
      <c r="G741" s="1947"/>
      <c r="H741" s="1949" t="str">
        <f>IFERROR(IF(F741&gt;=VLOOKUP(A741,[1]Materiality!$I$6:$J$12,2,TRUE),IFERROR(IF(VLOOKUP("*CR",F741,1,FALSE)&gt;=0,"",VLOOKUP("*CR",F741,1,FALSE)),F741),""),"")</f>
        <v/>
      </c>
    </row>
    <row r="742" spans="1:8" x14ac:dyDescent="0.25">
      <c r="A742" s="1947" t="s">
        <v>1038</v>
      </c>
      <c r="B742" s="1947"/>
      <c r="C742" s="1947"/>
      <c r="D742" s="1947"/>
      <c r="E742" s="1947"/>
      <c r="F742" s="1947"/>
      <c r="G742" s="1947"/>
      <c r="H742" s="1949" t="str">
        <f>IFERROR(IF(F742&gt;=VLOOKUP(A742,[1]Materiality!$I$6:$J$12,2,TRUE),IFERROR(IF(VLOOKUP("*CR",F742,1,FALSE)&gt;=0,"",VLOOKUP("*CR",F742,1,FALSE)),F742),""),"")</f>
        <v/>
      </c>
    </row>
    <row r="743" spans="1:8" x14ac:dyDescent="0.25">
      <c r="A743" s="1947" t="s">
        <v>3278</v>
      </c>
      <c r="B743" s="1947" t="s">
        <v>2833</v>
      </c>
      <c r="C743" s="1947" t="s">
        <v>2595</v>
      </c>
      <c r="D743" s="1948">
        <v>24118.43</v>
      </c>
      <c r="E743" s="1947">
        <v>0</v>
      </c>
      <c r="F743" s="1948">
        <v>24118.43</v>
      </c>
      <c r="G743" s="1947"/>
      <c r="H743" s="1949">
        <f>IFERROR(IF(F743&gt;=VLOOKUP(A743,[1]Materiality!$I$6:$J$12,2,TRUE),IFERROR(IF(VLOOKUP("*CR",F743,1,FALSE)&gt;=0,"",VLOOKUP("*CR",F743,1,FALSE)),F743),""),"")</f>
        <v>24118.43</v>
      </c>
    </row>
    <row r="744" spans="1:8" x14ac:dyDescent="0.25">
      <c r="A744" s="1947" t="s">
        <v>3279</v>
      </c>
      <c r="B744" s="1947" t="s">
        <v>2698</v>
      </c>
      <c r="C744" s="1947" t="s">
        <v>2596</v>
      </c>
      <c r="D744" s="1948">
        <v>91454.28</v>
      </c>
      <c r="E744" s="1947">
        <v>0</v>
      </c>
      <c r="F744" s="1948">
        <v>91454.28</v>
      </c>
      <c r="G744" s="1947"/>
      <c r="H744" s="1949">
        <f>IFERROR(IF(F744&gt;=VLOOKUP(A744,[1]Materiality!$I$6:$J$12,2,TRUE),IFERROR(IF(VLOOKUP("*CR",F744,1,FALSE)&gt;=0,"",VLOOKUP("*CR",F744,1,FALSE)),F744),""),"")</f>
        <v>91454.28</v>
      </c>
    </row>
    <row r="745" spans="1:8" x14ac:dyDescent="0.25">
      <c r="A745" s="1947" t="s">
        <v>1038</v>
      </c>
      <c r="B745" s="1947"/>
      <c r="C745" s="1947"/>
      <c r="D745" s="1947"/>
      <c r="E745" s="1947"/>
      <c r="F745" s="1947"/>
      <c r="G745" s="1947"/>
      <c r="H745" s="1949" t="str">
        <f>IFERROR(IF(F745&gt;=VLOOKUP(A745,[1]Materiality!$I$6:$J$12,2,TRUE),IFERROR(IF(VLOOKUP("*CR",F745,1,FALSE)&gt;=0,"",VLOOKUP("*CR",F745,1,FALSE)),F745),""),"")</f>
        <v/>
      </c>
    </row>
    <row r="746" spans="1:8" x14ac:dyDescent="0.25">
      <c r="A746" s="1952" t="s">
        <v>2852</v>
      </c>
      <c r="B746" s="1952" t="s">
        <v>2834</v>
      </c>
      <c r="C746" s="1947" t="s">
        <v>2594</v>
      </c>
      <c r="D746" s="1948">
        <v>115572.71</v>
      </c>
      <c r="E746" s="1947">
        <v>0</v>
      </c>
      <c r="F746" s="1948">
        <v>115572.71</v>
      </c>
      <c r="G746" s="1947"/>
      <c r="H746" s="1949" t="str">
        <f>IFERROR(IF(F746&gt;=VLOOKUP(A746,[1]Materiality!$I$6:$J$12,2,TRUE),IFERROR(IF(VLOOKUP("*CR",F746,1,FALSE)&gt;=0,"",VLOOKUP("*CR",F746,1,FALSE)),F746),""),"")</f>
        <v/>
      </c>
    </row>
    <row r="747" spans="1:8" x14ac:dyDescent="0.25">
      <c r="A747" s="1947" t="s">
        <v>1038</v>
      </c>
      <c r="B747" s="1947"/>
      <c r="C747" s="1947"/>
      <c r="D747" s="1947"/>
      <c r="E747" s="1947"/>
      <c r="F747" s="1947"/>
      <c r="G747" s="1947"/>
      <c r="H747" s="1949" t="str">
        <f>IFERROR(IF(F747&gt;=VLOOKUP(A747,[1]Materiality!$I$6:$J$12,2,TRUE),IFERROR(IF(VLOOKUP("*CR",F747,1,FALSE)&gt;=0,"",VLOOKUP("*CR",F747,1,FALSE)),F747),""),"")</f>
        <v/>
      </c>
    </row>
    <row r="748" spans="1:8" x14ac:dyDescent="0.25">
      <c r="A748" s="1952" t="s">
        <v>2852</v>
      </c>
      <c r="B748" s="1952" t="s">
        <v>2835</v>
      </c>
      <c r="C748" s="1947" t="s">
        <v>2489</v>
      </c>
      <c r="D748" s="1948">
        <v>151906.37</v>
      </c>
      <c r="E748" s="1948">
        <v>659378.21</v>
      </c>
      <c r="F748" s="1948">
        <v>507471.84</v>
      </c>
      <c r="G748" s="1947"/>
      <c r="H748" s="1949" t="str">
        <f>IFERROR(IF(F748&gt;=VLOOKUP(A748,[1]Materiality!$I$6:$J$12,2,TRUE),IFERROR(IF(VLOOKUP("*CR",F748,1,FALSE)&gt;=0,"",VLOOKUP("*CR",F748,1,FALSE)),F748),""),"")</f>
        <v/>
      </c>
    </row>
    <row r="749" spans="1:8" x14ac:dyDescent="0.25">
      <c r="A749" s="1947" t="s">
        <v>1038</v>
      </c>
      <c r="B749" s="1947"/>
      <c r="C749" s="1947"/>
      <c r="D749" s="1947"/>
      <c r="E749" s="1947"/>
      <c r="F749" s="1947"/>
      <c r="G749" s="1947"/>
      <c r="H749" s="1949" t="str">
        <f>IFERROR(IF(F749&gt;=VLOOKUP(A749,[1]Materiality!$I$6:$J$12,2,TRUE),IFERROR(IF(VLOOKUP("*CR",F749,1,FALSE)&gt;=0,"",VLOOKUP("*CR",F749,1,FALSE)),F749),""),"")</f>
        <v/>
      </c>
    </row>
    <row r="750" spans="1:8" x14ac:dyDescent="0.25">
      <c r="A750" s="1947" t="s">
        <v>1038</v>
      </c>
      <c r="B750" s="1947"/>
      <c r="C750" s="1947"/>
      <c r="D750" s="1947"/>
      <c r="E750" s="1947"/>
      <c r="F750" s="1947"/>
      <c r="G750" s="1947"/>
      <c r="H750" s="1949" t="str">
        <f>IFERROR(IF(F750&gt;=VLOOKUP(A750,[1]Materiality!$I$6:$J$12,2,TRUE),IFERROR(IF(VLOOKUP("*CR",F750,1,FALSE)&gt;=0,"",VLOOKUP("*CR",F750,1,FALSE)),F750),""),"")</f>
        <v/>
      </c>
    </row>
    <row r="751" spans="1:8" x14ac:dyDescent="0.25">
      <c r="A751" s="1952" t="s">
        <v>2853</v>
      </c>
      <c r="B751" s="1952" t="s">
        <v>2783</v>
      </c>
      <c r="C751" s="1947" t="s">
        <v>2592</v>
      </c>
      <c r="D751" s="1948">
        <v>1854439.49</v>
      </c>
      <c r="E751" s="1948">
        <v>1854439.49</v>
      </c>
      <c r="F751" s="1947">
        <v>0</v>
      </c>
      <c r="G751" s="1947">
        <v>0</v>
      </c>
      <c r="H751" s="1949" t="str">
        <f>IFERROR(IF(F751&gt;=VLOOKUP(A751,[1]Materiality!$I$6:$J$12,2,TRUE),IFERROR(IF(VLOOKUP("*CR",F751,1,FALSE)&gt;=0,"",VLOOKUP("*CR",F751,1,FALSE)),F751),""),"")</f>
        <v/>
      </c>
    </row>
    <row r="752" spans="1:8" x14ac:dyDescent="0.25">
      <c r="A752" s="1952" t="s">
        <v>2853</v>
      </c>
      <c r="B752" s="1952" t="s">
        <v>2784</v>
      </c>
      <c r="C752" s="1947" t="s">
        <v>2489</v>
      </c>
      <c r="D752" s="1948">
        <v>151906.37</v>
      </c>
      <c r="E752" s="1948">
        <v>659378.21</v>
      </c>
      <c r="F752" s="1948">
        <v>507471.84</v>
      </c>
      <c r="G752" s="1947"/>
      <c r="H752" s="1949" t="str">
        <f>IFERROR(IF(F752&gt;=VLOOKUP(A752,[1]Materiality!$I$6:$J$12,2,TRUE),IFERROR(IF(VLOOKUP("*CR",F752,1,FALSE)&gt;=0,"",VLOOKUP("*CR",F752,1,FALSE)),F752),""),"")</f>
        <v/>
      </c>
    </row>
    <row r="753" spans="1:8" x14ac:dyDescent="0.25">
      <c r="A753" s="1951" t="s">
        <v>1038</v>
      </c>
      <c r="H753" s="1949" t="str">
        <f>IFERROR(IF(F753&gt;=VLOOKUP(A753,[1]Materiality!$I$6:$J$12,2,TRUE),IFERROR(IF(VLOOKUP("*CR",F753,1,FALSE)&gt;=0,"",VLOOKUP("*CR",F753,1,FALSE)),F753),""),"")</f>
        <v/>
      </c>
    </row>
    <row r="754" spans="1:8" x14ac:dyDescent="0.25">
      <c r="A754" s="1947" t="s">
        <v>3280</v>
      </c>
      <c r="B754" s="1947" t="s">
        <v>2698</v>
      </c>
      <c r="C754" s="1947" t="s">
        <v>2597</v>
      </c>
      <c r="D754" s="1948">
        <v>279549.74</v>
      </c>
      <c r="E754" s="1948">
        <v>249000</v>
      </c>
      <c r="F754" s="1948">
        <v>30549.74</v>
      </c>
      <c r="G754" s="1948">
        <v>319779.67</v>
      </c>
      <c r="H754" s="1949" t="str">
        <f>IFERROR(IF(F754&gt;=VLOOKUP(A754,[1]Materiality!$I$6:$J$12,2,TRUE),IFERROR(IF(VLOOKUP("*CR",F754,1,FALSE)&gt;=0,"",VLOOKUP("*CR",F754,1,FALSE)),F754),""),"")</f>
        <v/>
      </c>
    </row>
    <row r="755" spans="1:8" x14ac:dyDescent="0.25">
      <c r="A755" s="1947" t="s">
        <v>3281</v>
      </c>
      <c r="B755" s="1947" t="s">
        <v>2698</v>
      </c>
      <c r="C755" s="1947" t="s">
        <v>2598</v>
      </c>
      <c r="D755" s="1948">
        <v>255711.55</v>
      </c>
      <c r="E755" s="1948">
        <v>250000</v>
      </c>
      <c r="F755" s="1948">
        <v>5711.55</v>
      </c>
      <c r="G755" s="1948">
        <v>452532.75</v>
      </c>
      <c r="H755" s="1949" t="str">
        <f>IFERROR(IF(F755&gt;=VLOOKUP(A755,[1]Materiality!$I$6:$J$12,2,TRUE),IFERROR(IF(VLOOKUP("*CR",F755,1,FALSE)&gt;=0,"",VLOOKUP("*CR",F755,1,FALSE)),F755),""),"")</f>
        <v/>
      </c>
    </row>
    <row r="756" spans="1:8" x14ac:dyDescent="0.25">
      <c r="A756" s="1947" t="s">
        <v>3282</v>
      </c>
      <c r="B756" s="1947" t="s">
        <v>2698</v>
      </c>
      <c r="C756" s="1947" t="s">
        <v>2599</v>
      </c>
      <c r="D756" s="1948">
        <v>39997.35</v>
      </c>
      <c r="E756" s="1948">
        <v>1250000</v>
      </c>
      <c r="F756" s="1948">
        <v>1210002.6499999999</v>
      </c>
      <c r="G756" s="1948">
        <v>2203170.0699999998</v>
      </c>
      <c r="H756" s="1949">
        <f>IFERROR(IF(F756&gt;=VLOOKUP(A756,[1]Materiality!$I$6:$J$12,2,TRUE),IFERROR(IF(VLOOKUP("*CR",F756,1,FALSE)&gt;=0,"",VLOOKUP("*CR",F756,1,FALSE)),F756),""),"")</f>
        <v>1210002.6499999999</v>
      </c>
    </row>
    <row r="757" spans="1:8" x14ac:dyDescent="0.25">
      <c r="A757" s="1947" t="s">
        <v>2861</v>
      </c>
      <c r="B757" s="1947" t="s">
        <v>2699</v>
      </c>
      <c r="C757" s="1947" t="s">
        <v>2600</v>
      </c>
      <c r="D757" s="1948">
        <v>1500000</v>
      </c>
      <c r="E757" s="1948">
        <v>326258.64</v>
      </c>
      <c r="F757" s="1948">
        <v>1173741.3600000001</v>
      </c>
      <c r="G757" s="1947" t="s">
        <v>2601</v>
      </c>
      <c r="H757" s="1949">
        <f>IFERROR(IF(F757&gt;=VLOOKUP(A757,[1]Materiality!$I$6:$J$12,2,TRUE),IFERROR(IF(VLOOKUP("*CR",F757,1,FALSE)&gt;=0,"",VLOOKUP("*CR",F757,1,FALSE)),F757),""),"")</f>
        <v>1173741.3600000001</v>
      </c>
    </row>
    <row r="758" spans="1:8" x14ac:dyDescent="0.25">
      <c r="A758" s="1947" t="s">
        <v>1038</v>
      </c>
      <c r="B758" s="1947"/>
      <c r="C758" s="1947"/>
      <c r="D758" s="1947"/>
      <c r="E758" s="1947"/>
      <c r="F758" s="1947"/>
      <c r="G758" s="1947"/>
      <c r="H758" s="1949" t="str">
        <f>IFERROR(IF(F758&gt;=VLOOKUP(A758,[1]Materiality!$I$6:$J$12,2,TRUE),IFERROR(IF(VLOOKUP("*CR",F758,1,FALSE)&gt;=0,"",VLOOKUP("*CR",F758,1,FALSE)),F758),""),"")</f>
        <v/>
      </c>
    </row>
    <row r="759" spans="1:8" x14ac:dyDescent="0.25">
      <c r="A759" s="1952" t="s">
        <v>2852</v>
      </c>
      <c r="B759" s="1952" t="s">
        <v>2836</v>
      </c>
      <c r="C759" s="1947" t="s">
        <v>2489</v>
      </c>
      <c r="D759" s="1948">
        <v>2075258.64</v>
      </c>
      <c r="E759" s="1948">
        <v>2075258.64</v>
      </c>
      <c r="F759" s="1947">
        <v>0</v>
      </c>
      <c r="G759" s="1947">
        <v>0</v>
      </c>
      <c r="H759" s="1949" t="str">
        <f>IFERROR(IF(F759&gt;=VLOOKUP(A759,[1]Materiality!$I$6:$J$12,2,TRUE),IFERROR(IF(VLOOKUP("*CR",F759,1,FALSE)&gt;=0,"",VLOOKUP("*CR",F759,1,FALSE)),F759),""),"")</f>
        <v/>
      </c>
    </row>
    <row r="760" spans="1:8" x14ac:dyDescent="0.25">
      <c r="A760" s="1947" t="s">
        <v>1038</v>
      </c>
      <c r="B760" s="1947"/>
      <c r="C760" s="1947"/>
      <c r="D760" s="1947"/>
      <c r="E760" s="1947"/>
      <c r="F760" s="1947"/>
      <c r="G760" s="1947"/>
      <c r="H760" s="1949" t="str">
        <f>IFERROR(IF(F760&gt;=VLOOKUP(A760,[1]Materiality!$I$6:$J$12,2,TRUE),IFERROR(IF(VLOOKUP("*CR",F760,1,FALSE)&gt;=0,"",VLOOKUP("*CR",F760,1,FALSE)),F760),""),"")</f>
        <v/>
      </c>
    </row>
    <row r="761" spans="1:8" x14ac:dyDescent="0.25">
      <c r="A761" s="1947" t="s">
        <v>3283</v>
      </c>
      <c r="B761" s="1947" t="s">
        <v>2698</v>
      </c>
      <c r="C761" s="1947" t="s">
        <v>2602</v>
      </c>
      <c r="D761" s="1947">
        <v>0</v>
      </c>
      <c r="E761" s="1948">
        <v>278858.8</v>
      </c>
      <c r="F761" s="1948">
        <v>278858.8</v>
      </c>
      <c r="G761" s="1947"/>
      <c r="H761" s="1949">
        <f>IFERROR(IF(F761&gt;=VLOOKUP(A761,[1]Materiality!$I$6:$J$12,2,TRUE),IFERROR(IF(VLOOKUP("*CR",F761,1,FALSE)&gt;=0,"",VLOOKUP("*CR",F761,1,FALSE)),F761),""),"")</f>
        <v>278858.8</v>
      </c>
    </row>
    <row r="762" spans="1:8" x14ac:dyDescent="0.25">
      <c r="A762" s="1947" t="s">
        <v>3284</v>
      </c>
      <c r="B762" s="1947" t="s">
        <v>2698</v>
      </c>
      <c r="C762" s="1947" t="s">
        <v>2602</v>
      </c>
      <c r="D762" s="1947">
        <v>0</v>
      </c>
      <c r="E762" s="1948">
        <v>47399.839999999997</v>
      </c>
      <c r="F762" s="1948">
        <f>47399.84-1</f>
        <v>47398.84</v>
      </c>
      <c r="G762" s="1947"/>
      <c r="H762" s="1949">
        <f>IFERROR(IF(F762&gt;=VLOOKUP(A762,[1]Materiality!$I$6:$J$12,2,TRUE),IFERROR(IF(VLOOKUP("*CR",F762,1,FALSE)&gt;=0,"",VLOOKUP("*CR",F762,1,FALSE)),F762),""),"")</f>
        <v>47398.84</v>
      </c>
    </row>
    <row r="763" spans="1:8" x14ac:dyDescent="0.25">
      <c r="A763" s="1947" t="s">
        <v>1038</v>
      </c>
      <c r="B763" s="1947"/>
      <c r="C763" s="1947"/>
      <c r="D763" s="1947"/>
      <c r="E763" s="1947"/>
      <c r="F763" s="1947"/>
      <c r="G763" s="1947"/>
      <c r="H763" s="1949" t="str">
        <f>IFERROR(IF(F763&gt;=VLOOKUP(A763,[1]Materiality!$I$6:$J$12,2,TRUE),IFERROR(IF(VLOOKUP("*CR",F763,1,FALSE)&gt;=0,"",VLOOKUP("*CR",F763,1,FALSE)),F763),""),"")</f>
        <v/>
      </c>
    </row>
    <row r="764" spans="1:8" x14ac:dyDescent="0.25">
      <c r="A764" s="1952" t="s">
        <v>2852</v>
      </c>
      <c r="B764" s="1952" t="s">
        <v>2837</v>
      </c>
      <c r="C764" s="1947" t="s">
        <v>2594</v>
      </c>
      <c r="D764" s="1947">
        <v>0</v>
      </c>
      <c r="E764" s="1948">
        <v>326258.64</v>
      </c>
      <c r="F764" s="1948">
        <v>326258.64</v>
      </c>
      <c r="G764" s="1947"/>
      <c r="H764" s="1949" t="str">
        <f>IFERROR(IF(F764&gt;=VLOOKUP(A764,[1]Materiality!$I$6:$J$12,2,TRUE),IFERROR(IF(VLOOKUP("*CR",F764,1,FALSE)&gt;=0,"",VLOOKUP("*CR",F764,1,FALSE)),F764),""),"")</f>
        <v/>
      </c>
    </row>
    <row r="765" spans="1:8" x14ac:dyDescent="0.25">
      <c r="A765" s="1947" t="s">
        <v>1038</v>
      </c>
      <c r="B765" s="1947"/>
      <c r="C765" s="1947"/>
      <c r="D765" s="1947"/>
      <c r="E765" s="1947"/>
      <c r="F765" s="1947"/>
      <c r="G765" s="1947"/>
      <c r="H765" s="1949" t="str">
        <f>IFERROR(IF(F765&gt;=VLOOKUP(A765,[1]Materiality!$I$6:$J$12,2,TRUE),IFERROR(IF(VLOOKUP("*CR",F765,1,FALSE)&gt;=0,"",VLOOKUP("*CR",F765,1,FALSE)),F765),""),"")</f>
        <v/>
      </c>
    </row>
    <row r="766" spans="1:8" x14ac:dyDescent="0.25">
      <c r="A766" s="1947" t="s">
        <v>3285</v>
      </c>
      <c r="B766" s="1947" t="s">
        <v>2698</v>
      </c>
      <c r="C766" s="1947" t="s">
        <v>2602</v>
      </c>
      <c r="D766" s="1948">
        <v>1500000</v>
      </c>
      <c r="E766" s="1947">
        <v>0</v>
      </c>
      <c r="F766" s="1948">
        <v>1500000</v>
      </c>
      <c r="G766" s="1947"/>
      <c r="H766" s="1949">
        <f>IFERROR(IF(F766&gt;=VLOOKUP(A766,[1]Materiality!$I$6:$J$12,2,TRUE),IFERROR(IF(VLOOKUP("*CR",F766,1,FALSE)&gt;=0,"",VLOOKUP("*CR",F766,1,FALSE)),F766),""),"")</f>
        <v>1500000</v>
      </c>
    </row>
    <row r="767" spans="1:8" x14ac:dyDescent="0.25">
      <c r="A767" s="1947" t="s">
        <v>1038</v>
      </c>
      <c r="B767" s="1947"/>
      <c r="C767" s="1947"/>
      <c r="D767" s="1947"/>
      <c r="E767" s="1947"/>
      <c r="F767" s="1947"/>
      <c r="G767" s="1947"/>
      <c r="H767" s="1949" t="str">
        <f>IFERROR(IF(F767&gt;=VLOOKUP(A767,[1]Materiality!$I$6:$J$12,2,TRUE),IFERROR(IF(VLOOKUP("*CR",F767,1,FALSE)&gt;=0,"",VLOOKUP("*CR",F767,1,FALSE)),F767),""),"")</f>
        <v/>
      </c>
    </row>
    <row r="768" spans="1:8" x14ac:dyDescent="0.25">
      <c r="A768" s="1952" t="s">
        <v>2852</v>
      </c>
      <c r="B768" s="1952" t="s">
        <v>2838</v>
      </c>
      <c r="C768" s="1947" t="s">
        <v>2603</v>
      </c>
      <c r="D768" s="1948">
        <v>1500000</v>
      </c>
      <c r="E768" s="1947">
        <v>0</v>
      </c>
      <c r="F768" s="1948">
        <v>1500000</v>
      </c>
      <c r="G768" s="1947"/>
      <c r="H768" s="1949" t="str">
        <f>IFERROR(IF(F768&gt;=VLOOKUP(A768,[1]Materiality!$I$6:$J$12,2,TRUE),IFERROR(IF(VLOOKUP("*CR",F768,1,FALSE)&gt;=0,"",VLOOKUP("*CR",F768,1,FALSE)),F768),""),"")</f>
        <v/>
      </c>
    </row>
    <row r="769" spans="1:8" x14ac:dyDescent="0.25">
      <c r="A769" s="1947" t="s">
        <v>1038</v>
      </c>
      <c r="B769" s="1947"/>
      <c r="C769" s="1947"/>
      <c r="D769" s="1947"/>
      <c r="E769" s="1947"/>
      <c r="F769" s="1947"/>
      <c r="G769" s="1947"/>
      <c r="H769" s="1949" t="str">
        <f>IFERROR(IF(F769&gt;=VLOOKUP(A769,[1]Materiality!$I$6:$J$12,2,TRUE),IFERROR(IF(VLOOKUP("*CR",F769,1,FALSE)&gt;=0,"",VLOOKUP("*CR",F769,1,FALSE)),F769),""),"")</f>
        <v/>
      </c>
    </row>
    <row r="770" spans="1:8" x14ac:dyDescent="0.25">
      <c r="A770" s="1952" t="s">
        <v>2852</v>
      </c>
      <c r="B770" s="1952" t="s">
        <v>2839</v>
      </c>
      <c r="C770" s="1947" t="s">
        <v>2604</v>
      </c>
      <c r="D770" s="1948">
        <v>1500000</v>
      </c>
      <c r="E770" s="1948">
        <v>326258.64</v>
      </c>
      <c r="F770" s="1948">
        <v>1173741.3600000001</v>
      </c>
      <c r="G770" s="1947"/>
      <c r="H770" s="1949" t="str">
        <f>IFERROR(IF(F770&gt;=VLOOKUP(A770,[1]Materiality!$I$6:$J$12,2,TRUE),IFERROR(IF(VLOOKUP("*CR",F770,1,FALSE)&gt;=0,"",VLOOKUP("*CR",F770,1,FALSE)),F770),""),"")</f>
        <v/>
      </c>
    </row>
    <row r="771" spans="1:8" x14ac:dyDescent="0.25">
      <c r="A771" s="1947" t="s">
        <v>1038</v>
      </c>
      <c r="B771" s="1947"/>
      <c r="C771" s="1947"/>
      <c r="D771" s="1947"/>
      <c r="E771" s="1947"/>
      <c r="F771" s="1947"/>
      <c r="G771" s="1947"/>
      <c r="H771" s="1949" t="str">
        <f>IFERROR(IF(F771&gt;=VLOOKUP(A771,[1]Materiality!$I$6:$J$12,2,TRUE),IFERROR(IF(VLOOKUP("*CR",F771,1,FALSE)&gt;=0,"",VLOOKUP("*CR",F771,1,FALSE)),F771),""),"")</f>
        <v/>
      </c>
    </row>
    <row r="772" spans="1:8" x14ac:dyDescent="0.25">
      <c r="A772" s="1947" t="s">
        <v>1038</v>
      </c>
      <c r="B772" s="1947"/>
      <c r="C772" s="1947"/>
      <c r="D772" s="1947"/>
      <c r="E772" s="1947"/>
      <c r="F772" s="1947"/>
      <c r="G772" s="1947"/>
      <c r="H772" s="1949" t="str">
        <f>IFERROR(IF(F772&gt;=VLOOKUP(A772,[1]Materiality!$I$6:$J$12,2,TRUE),IFERROR(IF(VLOOKUP("*CR",F772,1,FALSE)&gt;=0,"",VLOOKUP("*CR",F772,1,FALSE)),F772),""),"")</f>
        <v/>
      </c>
    </row>
    <row r="773" spans="1:8" x14ac:dyDescent="0.25">
      <c r="A773" s="1952" t="s">
        <v>2853</v>
      </c>
      <c r="B773" s="1952" t="s">
        <v>2783</v>
      </c>
      <c r="C773" s="1947" t="s">
        <v>2489</v>
      </c>
      <c r="D773" s="1948">
        <v>2075258.64</v>
      </c>
      <c r="E773" s="1948">
        <v>2075258.64</v>
      </c>
      <c r="F773" s="1947">
        <v>0</v>
      </c>
      <c r="G773" s="1947">
        <v>0</v>
      </c>
      <c r="H773" s="1949" t="str">
        <f>IFERROR(IF(F773&gt;=VLOOKUP(A773,[1]Materiality!$I$6:$J$12,2,TRUE),IFERROR(IF(VLOOKUP("*CR",F773,1,FALSE)&gt;=0,"",VLOOKUP("*CR",F773,1,FALSE)),F773),""),"")</f>
        <v/>
      </c>
    </row>
    <row r="774" spans="1:8" x14ac:dyDescent="0.25">
      <c r="A774" s="1952" t="s">
        <v>2853</v>
      </c>
      <c r="B774" s="1952" t="s">
        <v>2784</v>
      </c>
      <c r="C774" s="1947" t="s">
        <v>2604</v>
      </c>
      <c r="D774" s="1948">
        <v>1500000</v>
      </c>
      <c r="E774" s="1948">
        <v>326258.64</v>
      </c>
      <c r="F774" s="1948">
        <v>1173741.3600000001</v>
      </c>
      <c r="G774" s="1947"/>
      <c r="H774" s="1949" t="str">
        <f>IFERROR(IF(F774&gt;=VLOOKUP(A774,[1]Materiality!$I$6:$J$12,2,TRUE),IFERROR(IF(VLOOKUP("*CR",F774,1,FALSE)&gt;=0,"",VLOOKUP("*CR",F774,1,FALSE)),F774),""),"")</f>
        <v/>
      </c>
    </row>
    <row r="775" spans="1:8" x14ac:dyDescent="0.25">
      <c r="A775" s="1947" t="s">
        <v>1038</v>
      </c>
      <c r="B775" s="1952"/>
      <c r="C775" s="1947"/>
      <c r="D775" s="1948"/>
      <c r="E775" s="1948"/>
      <c r="F775" s="1948"/>
      <c r="G775" s="1947"/>
      <c r="H775" s="1949" t="str">
        <f>IFERROR(IF(F775&gt;=VLOOKUP(A775,[1]Materiality!$I$6:$J$12,2,TRUE),IFERROR(IF(VLOOKUP("*CR",F775,1,FALSE)&gt;=0,"",VLOOKUP("*CR",F775,1,FALSE)),F775),""),"")</f>
        <v/>
      </c>
    </row>
    <row r="776" spans="1:8" x14ac:dyDescent="0.25">
      <c r="A776" s="1947" t="s">
        <v>3286</v>
      </c>
      <c r="B776" s="1947" t="s">
        <v>2698</v>
      </c>
      <c r="C776" s="1947" t="s">
        <v>2605</v>
      </c>
      <c r="D776" s="1948">
        <v>1381761.34</v>
      </c>
      <c r="E776" s="1948">
        <v>1301123.18</v>
      </c>
      <c r="F776" s="1948">
        <v>80638.16</v>
      </c>
      <c r="G776" s="1948">
        <v>450189.04</v>
      </c>
      <c r="H776" s="1949">
        <f>IFERROR(IF(F776&gt;=VLOOKUP(A776,[1]Materiality!$I$6:$J$12,2,TRUE),IFERROR(IF(VLOOKUP("*CR",F776,1,FALSE)&gt;=0,"",VLOOKUP("*CR",F776,1,FALSE)),F776),""),"")</f>
        <v>80638.16</v>
      </c>
    </row>
    <row r="777" spans="1:8" x14ac:dyDescent="0.25">
      <c r="A777" s="1947" t="s">
        <v>3287</v>
      </c>
      <c r="B777" s="1947" t="s">
        <v>2698</v>
      </c>
      <c r="C777" s="1947" t="s">
        <v>2606</v>
      </c>
      <c r="D777" s="1947">
        <v>0</v>
      </c>
      <c r="E777" s="1947">
        <v>0</v>
      </c>
      <c r="F777" s="1947">
        <v>0</v>
      </c>
      <c r="G777" s="1948">
        <v>100000</v>
      </c>
      <c r="H777" s="1949" t="str">
        <f>IFERROR(IF(F777&gt;=VLOOKUP(A777,[1]Materiality!$I$6:$J$12,2,TRUE),IFERROR(IF(VLOOKUP("*CR",F777,1,FALSE)&gt;=0,"",VLOOKUP("*CR",F777,1,FALSE)),F777),""),"")</f>
        <v/>
      </c>
    </row>
    <row r="778" spans="1:8" x14ac:dyDescent="0.25">
      <c r="A778" s="1947" t="s">
        <v>3288</v>
      </c>
      <c r="B778" s="1947" t="s">
        <v>2698</v>
      </c>
      <c r="C778" s="1947" t="s">
        <v>2607</v>
      </c>
      <c r="D778" s="1948">
        <v>608678.81999999995</v>
      </c>
      <c r="E778" s="1948">
        <v>600000</v>
      </c>
      <c r="F778" s="1948">
        <v>8678.82</v>
      </c>
      <c r="G778" s="1948">
        <v>723827.37</v>
      </c>
      <c r="H778" s="1949" t="str">
        <f>IFERROR(IF(F778&gt;=VLOOKUP(A778,[1]Materiality!$I$6:$J$12,2,TRUE),IFERROR(IF(VLOOKUP("*CR",F778,1,FALSE)&gt;=0,"",VLOOKUP("*CR",F778,1,FALSE)),F778),""),"")</f>
        <v/>
      </c>
    </row>
    <row r="779" spans="1:8" x14ac:dyDescent="0.25">
      <c r="A779" s="1947" t="s">
        <v>3289</v>
      </c>
      <c r="B779" s="1947" t="s">
        <v>2698</v>
      </c>
      <c r="C779" s="1947" t="s">
        <v>2608</v>
      </c>
      <c r="D779" s="1948">
        <v>337370.5</v>
      </c>
      <c r="E779" s="1948">
        <v>337370.5</v>
      </c>
      <c r="F779" s="1947">
        <v>0</v>
      </c>
      <c r="G779" s="1947">
        <v>0</v>
      </c>
      <c r="H779" s="1949" t="str">
        <f>IFERROR(IF(F779&gt;=VLOOKUP(A779,[1]Materiality!$I$6:$J$12,2,TRUE),IFERROR(IF(VLOOKUP("*CR",F779,1,FALSE)&gt;=0,"",VLOOKUP("*CR",F779,1,FALSE)),F779),""),"")</f>
        <v/>
      </c>
    </row>
    <row r="780" spans="1:8" x14ac:dyDescent="0.25">
      <c r="A780" s="1947" t="s">
        <v>3290</v>
      </c>
      <c r="B780" s="1947" t="s">
        <v>2698</v>
      </c>
      <c r="C780" s="1947" t="s">
        <v>2609</v>
      </c>
      <c r="D780" s="1948">
        <v>24768.19</v>
      </c>
      <c r="E780" s="1948">
        <v>24768.19</v>
      </c>
      <c r="F780" s="1947">
        <v>0</v>
      </c>
      <c r="G780" s="1947">
        <v>0</v>
      </c>
      <c r="H780" s="1949" t="str">
        <f>IFERROR(IF(F780&gt;=VLOOKUP(A780,[1]Materiality!$I$6:$J$12,2,TRUE),IFERROR(IF(VLOOKUP("*CR",F780,1,FALSE)&gt;=0,"",VLOOKUP("*CR",F780,1,FALSE)),F780),""),"")</f>
        <v/>
      </c>
    </row>
    <row r="781" spans="1:8" x14ac:dyDescent="0.25">
      <c r="A781" s="1947" t="s">
        <v>3291</v>
      </c>
      <c r="B781" s="1947" t="s">
        <v>2698</v>
      </c>
      <c r="C781" s="1947" t="s">
        <v>2610</v>
      </c>
      <c r="D781" s="1948">
        <v>25377.8</v>
      </c>
      <c r="E781" s="1948">
        <v>25377.8</v>
      </c>
      <c r="F781" s="1947">
        <v>0</v>
      </c>
      <c r="G781" s="1947">
        <v>0</v>
      </c>
      <c r="H781" s="1949" t="str">
        <f>IFERROR(IF(F781&gt;=VLOOKUP(A781,[1]Materiality!$I$6:$J$12,2,TRUE),IFERROR(IF(VLOOKUP("*CR",F781,1,FALSE)&gt;=0,"",VLOOKUP("*CR",F781,1,FALSE)),F781),""),"")</f>
        <v/>
      </c>
    </row>
    <row r="782" spans="1:8" x14ac:dyDescent="0.25">
      <c r="A782" s="1947" t="s">
        <v>3292</v>
      </c>
      <c r="B782" s="1947" t="s">
        <v>2698</v>
      </c>
      <c r="C782" s="1947" t="s">
        <v>2611</v>
      </c>
      <c r="D782" s="1948">
        <v>11819.57</v>
      </c>
      <c r="E782" s="1948">
        <v>11819.57</v>
      </c>
      <c r="F782" s="1947">
        <v>0</v>
      </c>
      <c r="G782" s="1947">
        <v>0</v>
      </c>
      <c r="H782" s="1949" t="str">
        <f>IFERROR(IF(F782&gt;=VLOOKUP(A782,[1]Materiality!$I$6:$J$12,2,TRUE),IFERROR(IF(VLOOKUP("*CR",F782,1,FALSE)&gt;=0,"",VLOOKUP("*CR",F782,1,FALSE)),F782),""),"")</f>
        <v/>
      </c>
    </row>
    <row r="783" spans="1:8" x14ac:dyDescent="0.25">
      <c r="A783" s="1947" t="s">
        <v>3293</v>
      </c>
      <c r="B783" s="1947" t="s">
        <v>2698</v>
      </c>
      <c r="C783" s="1947" t="s">
        <v>2612</v>
      </c>
      <c r="D783" s="1948">
        <v>4239.04</v>
      </c>
      <c r="E783" s="1948">
        <v>4239.04</v>
      </c>
      <c r="F783" s="1947">
        <v>0</v>
      </c>
      <c r="G783" s="1947">
        <v>0</v>
      </c>
      <c r="H783" s="1949" t="str">
        <f>IFERROR(IF(F783&gt;=VLOOKUP(A783,[1]Materiality!$I$6:$J$12,2,TRUE),IFERROR(IF(VLOOKUP("*CR",F783,1,FALSE)&gt;=0,"",VLOOKUP("*CR",F783,1,FALSE)),F783),""),"")</f>
        <v/>
      </c>
    </row>
    <row r="784" spans="1:8" x14ac:dyDescent="0.25">
      <c r="A784" s="1947" t="s">
        <v>3294</v>
      </c>
      <c r="B784" s="1947" t="s">
        <v>2698</v>
      </c>
      <c r="C784" s="1947" t="s">
        <v>2613</v>
      </c>
      <c r="D784" s="1948">
        <v>5028.82</v>
      </c>
      <c r="E784" s="1948">
        <v>5028.82</v>
      </c>
      <c r="F784" s="1947">
        <v>0</v>
      </c>
      <c r="G784" s="1947">
        <v>0</v>
      </c>
      <c r="H784" s="1949" t="str">
        <f>IFERROR(IF(F784&gt;=VLOOKUP(A784,[1]Materiality!$I$6:$J$12,2,TRUE),IFERROR(IF(VLOOKUP("*CR",F784,1,FALSE)&gt;=0,"",VLOOKUP("*CR",F784,1,FALSE)),F784),""),"")</f>
        <v/>
      </c>
    </row>
    <row r="785" spans="1:8" x14ac:dyDescent="0.25">
      <c r="A785" s="1947" t="s">
        <v>3295</v>
      </c>
      <c r="B785" s="1947" t="s">
        <v>2698</v>
      </c>
      <c r="C785" s="1947" t="s">
        <v>2614</v>
      </c>
      <c r="D785" s="1947">
        <v>804.67</v>
      </c>
      <c r="E785" s="1947">
        <v>804.67</v>
      </c>
      <c r="F785" s="1947">
        <v>0</v>
      </c>
      <c r="G785" s="1947">
        <v>0</v>
      </c>
      <c r="H785" s="1949" t="str">
        <f>IFERROR(IF(F785&gt;=VLOOKUP(A785,[1]Materiality!$I$6:$J$12,2,TRUE),IFERROR(IF(VLOOKUP("*CR",F785,1,FALSE)&gt;=0,"",VLOOKUP("*CR",F785,1,FALSE)),F785),""),"")</f>
        <v/>
      </c>
    </row>
    <row r="786" spans="1:8" x14ac:dyDescent="0.25">
      <c r="A786" s="1947" t="s">
        <v>3296</v>
      </c>
      <c r="B786" s="1947" t="s">
        <v>2698</v>
      </c>
      <c r="C786" s="1947" t="s">
        <v>2615</v>
      </c>
      <c r="D786" s="1948">
        <v>5493.62</v>
      </c>
      <c r="E786" s="1948">
        <v>5493.62</v>
      </c>
      <c r="F786" s="1947">
        <v>0</v>
      </c>
      <c r="G786" s="1947">
        <v>0</v>
      </c>
      <c r="H786" s="1949" t="str">
        <f>IFERROR(IF(F786&gt;=VLOOKUP(A786,[1]Materiality!$I$6:$J$12,2,TRUE),IFERROR(IF(VLOOKUP("*CR",F786,1,FALSE)&gt;=0,"",VLOOKUP("*CR",F786,1,FALSE)),F786),""),"")</f>
        <v/>
      </c>
    </row>
    <row r="787" spans="1:8" x14ac:dyDescent="0.25">
      <c r="A787" s="1947" t="s">
        <v>3297</v>
      </c>
      <c r="B787" s="1947" t="s">
        <v>2698</v>
      </c>
      <c r="C787" s="1947" t="s">
        <v>2616</v>
      </c>
      <c r="D787" s="1948">
        <v>3658.59</v>
      </c>
      <c r="E787" s="1948">
        <v>3658.59</v>
      </c>
      <c r="F787" s="1947">
        <v>0</v>
      </c>
      <c r="G787" s="1947">
        <v>0</v>
      </c>
      <c r="H787" s="1949" t="str">
        <f>IFERROR(IF(F787&gt;=VLOOKUP(A787,[1]Materiality!$I$6:$J$12,2,TRUE),IFERROR(IF(VLOOKUP("*CR",F787,1,FALSE)&gt;=0,"",VLOOKUP("*CR",F787,1,FALSE)),F787),""),"")</f>
        <v/>
      </c>
    </row>
    <row r="788" spans="1:8" x14ac:dyDescent="0.25">
      <c r="A788" s="1947" t="s">
        <v>3298</v>
      </c>
      <c r="B788" s="1947" t="s">
        <v>2698</v>
      </c>
      <c r="C788" s="1947" t="s">
        <v>2617</v>
      </c>
      <c r="D788" s="1948">
        <v>292706.06</v>
      </c>
      <c r="E788" s="1948">
        <v>292706.06</v>
      </c>
      <c r="F788" s="1947">
        <v>0</v>
      </c>
      <c r="G788" s="1947">
        <v>0</v>
      </c>
      <c r="H788" s="1949" t="str">
        <f>IFERROR(IF(F788&gt;=VLOOKUP(A788,[1]Materiality!$I$6:$J$12,2,TRUE),IFERROR(IF(VLOOKUP("*CR",F788,1,FALSE)&gt;=0,"",VLOOKUP("*CR",F788,1,FALSE)),F788),""),"")</f>
        <v/>
      </c>
    </row>
    <row r="789" spans="1:8" x14ac:dyDescent="0.25">
      <c r="A789" s="1947" t="s">
        <v>3299</v>
      </c>
      <c r="B789" s="1947" t="s">
        <v>2698</v>
      </c>
      <c r="C789" s="1947" t="s">
        <v>2618</v>
      </c>
      <c r="D789" s="1948">
        <v>1908.28</v>
      </c>
      <c r="E789" s="1948">
        <v>1908.28</v>
      </c>
      <c r="F789" s="1947">
        <v>0</v>
      </c>
      <c r="G789" s="1947">
        <v>0</v>
      </c>
      <c r="H789" s="1949" t="str">
        <f>IFERROR(IF(F789&gt;=VLOOKUP(A789,[1]Materiality!$I$6:$J$12,2,TRUE),IFERROR(IF(VLOOKUP("*CR",F789,1,FALSE)&gt;=0,"",VLOOKUP("*CR",F789,1,FALSE)),F789),""),"")</f>
        <v/>
      </c>
    </row>
    <row r="790" spans="1:8" x14ac:dyDescent="0.25">
      <c r="A790" s="1947" t="s">
        <v>3300</v>
      </c>
      <c r="B790" s="1947" t="s">
        <v>2698</v>
      </c>
      <c r="C790" s="1947" t="s">
        <v>2619</v>
      </c>
      <c r="D790" s="1948">
        <v>1074.17</v>
      </c>
      <c r="E790" s="1948">
        <v>1074.17</v>
      </c>
      <c r="F790" s="1947">
        <v>0</v>
      </c>
      <c r="G790" s="1947">
        <v>0</v>
      </c>
      <c r="H790" s="1949" t="str">
        <f>IFERROR(IF(F790&gt;=VLOOKUP(A790,[1]Materiality!$I$6:$J$12,2,TRUE),IFERROR(IF(VLOOKUP("*CR",F790,1,FALSE)&gt;=0,"",VLOOKUP("*CR",F790,1,FALSE)),F790),""),"")</f>
        <v/>
      </c>
    </row>
    <row r="791" spans="1:8" x14ac:dyDescent="0.25">
      <c r="A791" s="1947" t="s">
        <v>3301</v>
      </c>
      <c r="B791" s="1947" t="s">
        <v>2698</v>
      </c>
      <c r="C791" s="1947" t="s">
        <v>2620</v>
      </c>
      <c r="D791" s="1947">
        <v>217.68</v>
      </c>
      <c r="E791" s="1947">
        <v>217.68</v>
      </c>
      <c r="F791" s="1947">
        <v>0</v>
      </c>
      <c r="G791" s="1947">
        <v>0</v>
      </c>
      <c r="H791" s="1949" t="str">
        <f>IFERROR(IF(F791&gt;=VLOOKUP(A791,[1]Materiality!$I$6:$J$12,2,TRUE),IFERROR(IF(VLOOKUP("*CR",F791,1,FALSE)&gt;=0,"",VLOOKUP("*CR",F791,1,FALSE)),F791),""),"")</f>
        <v/>
      </c>
    </row>
    <row r="792" spans="1:8" x14ac:dyDescent="0.25">
      <c r="A792" s="1947" t="s">
        <v>3302</v>
      </c>
      <c r="B792" s="1947" t="s">
        <v>2698</v>
      </c>
      <c r="C792" s="1947" t="s">
        <v>2621</v>
      </c>
      <c r="D792" s="1948">
        <v>13725.71</v>
      </c>
      <c r="E792" s="1948">
        <v>13725.71</v>
      </c>
      <c r="F792" s="1947">
        <v>0</v>
      </c>
      <c r="G792" s="1947">
        <v>0</v>
      </c>
      <c r="H792" s="1949" t="str">
        <f>IFERROR(IF(F792&gt;=VLOOKUP(A792,[1]Materiality!$I$6:$J$12,2,TRUE),IFERROR(IF(VLOOKUP("*CR",F792,1,FALSE)&gt;=0,"",VLOOKUP("*CR",F792,1,FALSE)),F792),""),"")</f>
        <v/>
      </c>
    </row>
    <row r="793" spans="1:8" x14ac:dyDescent="0.25">
      <c r="A793" s="1947" t="s">
        <v>3303</v>
      </c>
      <c r="B793" s="1947" t="s">
        <v>2698</v>
      </c>
      <c r="C793" s="1947" t="s">
        <v>2622</v>
      </c>
      <c r="D793" s="1948">
        <v>3029.52</v>
      </c>
      <c r="E793" s="1948">
        <v>3029.52</v>
      </c>
      <c r="F793" s="1947">
        <v>0</v>
      </c>
      <c r="G793" s="1947">
        <v>0</v>
      </c>
      <c r="H793" s="1949" t="str">
        <f>IFERROR(IF(F793&gt;=VLOOKUP(A793,[1]Materiality!$I$6:$J$12,2,TRUE),IFERROR(IF(VLOOKUP("*CR",F793,1,FALSE)&gt;=0,"",VLOOKUP("*CR",F793,1,FALSE)),F793),""),"")</f>
        <v/>
      </c>
    </row>
    <row r="794" spans="1:8" x14ac:dyDescent="0.25">
      <c r="A794" s="1947" t="s">
        <v>2862</v>
      </c>
      <c r="B794" s="1947" t="s">
        <v>2699</v>
      </c>
      <c r="C794" s="1947" t="s">
        <v>2623</v>
      </c>
      <c r="D794" s="1948">
        <v>64154.559999999998</v>
      </c>
      <c r="E794" s="1948">
        <v>64154.559999999998</v>
      </c>
      <c r="F794" s="1947">
        <v>0</v>
      </c>
      <c r="G794" s="1947">
        <v>0</v>
      </c>
      <c r="H794" s="1949" t="str">
        <f>IFERROR(IF(F794&gt;=VLOOKUP(A794,[1]Materiality!$I$6:$J$12,2,TRUE),IFERROR(IF(VLOOKUP("*CR",F794,1,FALSE)&gt;=0,"",VLOOKUP("*CR",F794,1,FALSE)),F794),""),"")</f>
        <v/>
      </c>
    </row>
    <row r="795" spans="1:8" x14ac:dyDescent="0.25">
      <c r="A795" s="1947" t="s">
        <v>2863</v>
      </c>
      <c r="B795" s="1947" t="s">
        <v>2699</v>
      </c>
      <c r="C795" s="1947" t="s">
        <v>2624</v>
      </c>
      <c r="D795" s="1948">
        <v>690322.22</v>
      </c>
      <c r="E795" s="1948">
        <v>779639.2</v>
      </c>
      <c r="F795" s="1948">
        <v>89316.98</v>
      </c>
      <c r="G795" s="1947" t="s">
        <v>2625</v>
      </c>
      <c r="H795" s="1949">
        <f>IFERROR(IF(F795&gt;=VLOOKUP(A795,[1]Materiality!$I$6:$J$12,2,TRUE),IFERROR(IF(VLOOKUP("*CR",F795,1,FALSE)&gt;=0,"",VLOOKUP("*CR",F795,1,FALSE)),F795),""),"")</f>
        <v>89316.98</v>
      </c>
    </row>
    <row r="796" spans="1:8" x14ac:dyDescent="0.25">
      <c r="A796" s="1947" t="s">
        <v>1038</v>
      </c>
      <c r="B796" s="1947"/>
      <c r="C796" s="1947"/>
      <c r="D796" s="1947"/>
      <c r="E796" s="1947"/>
      <c r="F796" s="1947"/>
      <c r="G796" s="1947"/>
      <c r="H796" s="1949" t="str">
        <f>IFERROR(IF(F796&gt;=VLOOKUP(A796,[1]Materiality!$I$6:$J$12,2,TRUE),IFERROR(IF(VLOOKUP("*CR",F796,1,FALSE)&gt;=0,"",VLOOKUP("*CR",F796,1,FALSE)),F796),""),"")</f>
        <v/>
      </c>
    </row>
    <row r="797" spans="1:8" x14ac:dyDescent="0.25">
      <c r="A797" s="1952" t="s">
        <v>2852</v>
      </c>
      <c r="B797" s="1952" t="s">
        <v>2840</v>
      </c>
      <c r="C797" s="1947" t="s">
        <v>2462</v>
      </c>
      <c r="D797" s="1948">
        <v>3476139.16</v>
      </c>
      <c r="E797" s="1948">
        <v>3476139.16</v>
      </c>
      <c r="F797" s="1947">
        <v>0</v>
      </c>
      <c r="G797" s="1947">
        <v>0</v>
      </c>
      <c r="H797" s="1949" t="str">
        <f>IFERROR(IF(F797&gt;=VLOOKUP(A797,[1]Materiality!$I$6:$J$12,2,TRUE),IFERROR(IF(VLOOKUP("*CR",F797,1,FALSE)&gt;=0,"",VLOOKUP("*CR",F797,1,FALSE)),F797),""),"")</f>
        <v/>
      </c>
    </row>
    <row r="798" spans="1:8" x14ac:dyDescent="0.25">
      <c r="A798" s="1947" t="s">
        <v>1038</v>
      </c>
      <c r="B798" s="1947"/>
      <c r="C798" s="1947"/>
      <c r="D798" s="1947"/>
      <c r="E798" s="1947"/>
      <c r="F798" s="1947"/>
      <c r="G798" s="1947"/>
      <c r="H798" s="1949" t="str">
        <f>IFERROR(IF(F798&gt;=VLOOKUP(A798,[1]Materiality!$I$6:$J$12,2,TRUE),IFERROR(IF(VLOOKUP("*CR",F798,1,FALSE)&gt;=0,"",VLOOKUP("*CR",F798,1,FALSE)),F798),""),"")</f>
        <v/>
      </c>
    </row>
    <row r="799" spans="1:8" x14ac:dyDescent="0.25">
      <c r="A799" s="1947" t="s">
        <v>3304</v>
      </c>
      <c r="B799" s="1947" t="s">
        <v>2698</v>
      </c>
      <c r="C799" s="1947" t="s">
        <v>2626</v>
      </c>
      <c r="D799" s="1947">
        <v>0</v>
      </c>
      <c r="E799" s="1948">
        <v>624315.59</v>
      </c>
      <c r="F799" s="1948">
        <v>624315.59</v>
      </c>
      <c r="G799" s="1947"/>
      <c r="H799" s="1949">
        <f>IFERROR(IF(F799&gt;=VLOOKUP(A799,[1]Materiality!$I$6:$J$12,2,TRUE),IFERROR(IF(VLOOKUP("*CR",F799,1,FALSE)&gt;=0,"",VLOOKUP("*CR",F799,1,FALSE)),F799),""),"")</f>
        <v>624315.59</v>
      </c>
    </row>
    <row r="800" spans="1:8" x14ac:dyDescent="0.25">
      <c r="A800" s="1947" t="s">
        <v>3305</v>
      </c>
      <c r="B800" s="1947" t="s">
        <v>2698</v>
      </c>
      <c r="C800" s="1947" t="s">
        <v>2626</v>
      </c>
      <c r="D800" s="1947">
        <v>0</v>
      </c>
      <c r="E800" s="1948">
        <v>13595.62</v>
      </c>
      <c r="F800" s="1948">
        <f>13595.62-1</f>
        <v>13594.62</v>
      </c>
      <c r="G800" s="1947"/>
      <c r="H800" s="1949" t="str">
        <f>IFERROR(IF(F800&gt;=VLOOKUP(A800,[1]Materiality!$I$6:$J$12,2,TRUE),IFERROR(IF(VLOOKUP("*CR",F800,1,FALSE)&gt;=0,"",VLOOKUP("*CR",F800,1,FALSE)),F800),""),"")</f>
        <v/>
      </c>
    </row>
    <row r="801" spans="1:8" x14ac:dyDescent="0.25">
      <c r="A801" s="1947" t="s">
        <v>3306</v>
      </c>
      <c r="B801" s="1947" t="s">
        <v>2698</v>
      </c>
      <c r="C801" s="1947" t="s">
        <v>2626</v>
      </c>
      <c r="D801" s="1947">
        <v>0</v>
      </c>
      <c r="E801" s="1948">
        <v>23631.3</v>
      </c>
      <c r="F801" s="1948">
        <v>23631.3</v>
      </c>
      <c r="G801" s="1947"/>
      <c r="H801" s="1949" t="str">
        <f>IFERROR(IF(F801&gt;=VLOOKUP(A801,[1]Materiality!$I$6:$J$12,2,TRUE),IFERROR(IF(VLOOKUP("*CR",F801,1,FALSE)&gt;=0,"",VLOOKUP("*CR",F801,1,FALSE)),F801),""),"")</f>
        <v/>
      </c>
    </row>
    <row r="802" spans="1:8" x14ac:dyDescent="0.25">
      <c r="A802" s="1947" t="s">
        <v>1038</v>
      </c>
      <c r="B802" s="1947"/>
      <c r="C802" s="1947"/>
      <c r="D802" s="1947"/>
      <c r="E802" s="1947"/>
      <c r="F802" s="1947"/>
      <c r="G802" s="1947"/>
      <c r="H802" s="1949" t="str">
        <f>IFERROR(IF(F802&gt;=VLOOKUP(A802,[1]Materiality!$I$6:$J$12,2,TRUE),IFERROR(IF(VLOOKUP("*CR",F802,1,FALSE)&gt;=0,"",VLOOKUP("*CR",F802,1,FALSE)),F802),""),"")</f>
        <v/>
      </c>
    </row>
    <row r="803" spans="1:8" x14ac:dyDescent="0.25">
      <c r="A803" s="1952" t="s">
        <v>2852</v>
      </c>
      <c r="B803" s="1952" t="s">
        <v>2841</v>
      </c>
      <c r="C803" s="1947" t="s">
        <v>2604</v>
      </c>
      <c r="D803" s="1947">
        <v>0</v>
      </c>
      <c r="E803" s="1948">
        <v>661542.51</v>
      </c>
      <c r="F803" s="1948">
        <v>661542.51</v>
      </c>
      <c r="G803" s="1947"/>
      <c r="H803" s="1949" t="str">
        <f>IFERROR(IF(F803&gt;=VLOOKUP(A803,[1]Materiality!$I$6:$J$12,2,TRUE),IFERROR(IF(VLOOKUP("*CR",F803,1,FALSE)&gt;=0,"",VLOOKUP("*CR",F803,1,FALSE)),F803),""),"")</f>
        <v/>
      </c>
    </row>
    <row r="804" spans="1:8" x14ac:dyDescent="0.25">
      <c r="A804" s="1947" t="s">
        <v>1038</v>
      </c>
      <c r="B804" s="1947"/>
      <c r="C804" s="1947"/>
      <c r="D804" s="1947"/>
      <c r="E804" s="1947"/>
      <c r="F804" s="1947"/>
      <c r="G804" s="1947"/>
      <c r="H804" s="1949" t="str">
        <f>IFERROR(IF(F804&gt;=VLOOKUP(A804,[1]Materiality!$I$6:$J$12,2,TRUE),IFERROR(IF(VLOOKUP("*CR",F804,1,FALSE)&gt;=0,"",VLOOKUP("*CR",F804,1,FALSE)),F804),""),"")</f>
        <v/>
      </c>
    </row>
    <row r="805" spans="1:8" x14ac:dyDescent="0.25">
      <c r="A805" s="1947" t="s">
        <v>3307</v>
      </c>
      <c r="B805" s="1947" t="s">
        <v>2842</v>
      </c>
      <c r="C805" s="1947" t="s">
        <v>2627</v>
      </c>
      <c r="D805" s="1948">
        <v>78205</v>
      </c>
      <c r="E805" s="1947">
        <v>0</v>
      </c>
      <c r="F805" s="1948">
        <v>78205</v>
      </c>
      <c r="G805" s="1947"/>
      <c r="H805" s="1949">
        <f>IFERROR(IF(F805&gt;=VLOOKUP(A805,[1]Materiality!$I$6:$J$12,2,TRUE),IFERROR(IF(VLOOKUP("*CR",F805,1,FALSE)&gt;=0,"",VLOOKUP("*CR",F805,1,FALSE)),F805),""),"")</f>
        <v>78205</v>
      </c>
    </row>
    <row r="806" spans="1:8" x14ac:dyDescent="0.25">
      <c r="A806" s="1947" t="s">
        <v>3308</v>
      </c>
      <c r="B806" s="1947" t="s">
        <v>2842</v>
      </c>
      <c r="C806" s="1947" t="s">
        <v>2627</v>
      </c>
      <c r="D806" s="1947">
        <v>423</v>
      </c>
      <c r="E806" s="1947">
        <v>0</v>
      </c>
      <c r="F806" s="1947">
        <v>423</v>
      </c>
      <c r="G806" s="1947"/>
      <c r="H806" s="1949" t="str">
        <f>IFERROR(IF(F806&gt;=VLOOKUP(A806,[1]Materiality!$I$6:$J$12,2,TRUE),IFERROR(IF(VLOOKUP("*CR",F806,1,FALSE)&gt;=0,"",VLOOKUP("*CR",F806,1,FALSE)),F806),""),"")</f>
        <v/>
      </c>
    </row>
    <row r="807" spans="1:8" x14ac:dyDescent="0.25">
      <c r="A807" s="1947" t="s">
        <v>3309</v>
      </c>
      <c r="B807" s="1947" t="s">
        <v>2842</v>
      </c>
      <c r="C807" s="1947" t="s">
        <v>2627</v>
      </c>
      <c r="D807" s="1948">
        <v>87650</v>
      </c>
      <c r="E807" s="1948">
        <v>53942.13</v>
      </c>
      <c r="F807" s="1948">
        <v>33707.870000000003</v>
      </c>
      <c r="G807" s="1947"/>
      <c r="H807" s="1949" t="str">
        <f>IFERROR(IF(F807&gt;=VLOOKUP(A807,[1]Materiality!$I$6:$J$12,2,TRUE),IFERROR(IF(VLOOKUP("*CR",F807,1,FALSE)&gt;=0,"",VLOOKUP("*CR",F807,1,FALSE)),F807),""),"")</f>
        <v/>
      </c>
    </row>
    <row r="808" spans="1:8" x14ac:dyDescent="0.25">
      <c r="A808" s="1947" t="s">
        <v>3310</v>
      </c>
      <c r="B808" s="1947" t="s">
        <v>2842</v>
      </c>
      <c r="C808" s="1947" t="s">
        <v>2628</v>
      </c>
      <c r="D808" s="1948">
        <v>5650.82</v>
      </c>
      <c r="E808" s="1947">
        <v>0</v>
      </c>
      <c r="F808" s="1948">
        <v>5650.82</v>
      </c>
      <c r="G808" s="1947"/>
      <c r="H808" s="1949" t="str">
        <f>IFERROR(IF(F808&gt;=VLOOKUP(A808,[1]Materiality!$I$6:$J$12,2,TRUE),IFERROR(IF(VLOOKUP("*CR",F808,1,FALSE)&gt;=0,"",VLOOKUP("*CR",F808,1,FALSE)),F808),""),"")</f>
        <v/>
      </c>
    </row>
    <row r="809" spans="1:8" x14ac:dyDescent="0.25">
      <c r="A809" s="1947" t="s">
        <v>3311</v>
      </c>
      <c r="B809" s="1947" t="s">
        <v>2711</v>
      </c>
      <c r="C809" s="1947" t="s">
        <v>2629</v>
      </c>
      <c r="D809" s="1948">
        <v>24882</v>
      </c>
      <c r="E809" s="1947">
        <v>0</v>
      </c>
      <c r="F809" s="1948">
        <v>24882</v>
      </c>
      <c r="G809" s="1947"/>
      <c r="H809" s="1949" t="str">
        <f>IFERROR(IF(F809&gt;=VLOOKUP(A809,[1]Materiality!$I$6:$J$12,2,TRUE),IFERROR(IF(VLOOKUP("*CR",F809,1,FALSE)&gt;=0,"",VLOOKUP("*CR",F809,1,FALSE)),F809),""),"")</f>
        <v/>
      </c>
    </row>
    <row r="810" spans="1:8" x14ac:dyDescent="0.25">
      <c r="A810" s="1947" t="s">
        <v>3311</v>
      </c>
      <c r="B810" s="1947" t="s">
        <v>2724</v>
      </c>
      <c r="C810" s="1947" t="s">
        <v>2630</v>
      </c>
      <c r="D810" s="1948">
        <v>15072.36</v>
      </c>
      <c r="E810" s="1947">
        <v>0</v>
      </c>
      <c r="F810" s="1948">
        <v>15072.36</v>
      </c>
      <c r="G810" s="1947"/>
      <c r="H810" s="1949" t="str">
        <f>IFERROR(IF(F810&gt;=VLOOKUP(A810,[1]Materiality!$I$6:$J$12,2,TRUE),IFERROR(IF(VLOOKUP("*CR",F810,1,FALSE)&gt;=0,"",VLOOKUP("*CR",F810,1,FALSE)),F810),""),"")</f>
        <v/>
      </c>
    </row>
    <row r="811" spans="1:8" x14ac:dyDescent="0.25">
      <c r="A811" s="1947" t="s">
        <v>3311</v>
      </c>
      <c r="B811" s="1947" t="s">
        <v>2717</v>
      </c>
      <c r="C811" s="1947" t="s">
        <v>2631</v>
      </c>
      <c r="D811" s="1948">
        <v>20842.080000000002</v>
      </c>
      <c r="E811" s="1947">
        <v>0</v>
      </c>
      <c r="F811" s="1948">
        <v>20842.080000000002</v>
      </c>
      <c r="G811" s="1947"/>
      <c r="H811" s="1949" t="str">
        <f>IFERROR(IF(F811&gt;=VLOOKUP(A811,[1]Materiality!$I$6:$J$12,2,TRUE),IFERROR(IF(VLOOKUP("*CR",F811,1,FALSE)&gt;=0,"",VLOOKUP("*CR",F811,1,FALSE)),F811),""),"")</f>
        <v/>
      </c>
    </row>
    <row r="812" spans="1:8" x14ac:dyDescent="0.25">
      <c r="A812" s="1947" t="s">
        <v>3311</v>
      </c>
      <c r="B812" s="1947" t="s">
        <v>2721</v>
      </c>
      <c r="C812" s="1947" t="s">
        <v>2632</v>
      </c>
      <c r="D812" s="1948">
        <v>52188.93</v>
      </c>
      <c r="E812" s="1947">
        <v>0</v>
      </c>
      <c r="F812" s="1948">
        <v>52188.93</v>
      </c>
      <c r="G812" s="1947"/>
      <c r="H812" s="1949">
        <f>IFERROR(IF(F812&gt;=VLOOKUP(A812,[1]Materiality!$I$6:$J$12,2,TRUE),IFERROR(IF(VLOOKUP("*CR",F812,1,FALSE)&gt;=0,"",VLOOKUP("*CR",F812,1,FALSE)),F812),""),"")</f>
        <v>52188.93</v>
      </c>
    </row>
    <row r="813" spans="1:8" x14ac:dyDescent="0.25">
      <c r="A813" s="1947" t="s">
        <v>3311</v>
      </c>
      <c r="B813" s="1947" t="s">
        <v>2843</v>
      </c>
      <c r="C813" s="1947" t="s">
        <v>2633</v>
      </c>
      <c r="D813" s="1948">
        <v>10599.12</v>
      </c>
      <c r="E813" s="1947">
        <v>0</v>
      </c>
      <c r="F813" s="1948">
        <v>10599.12</v>
      </c>
      <c r="G813" s="1947"/>
      <c r="H813" s="1949" t="str">
        <f>IFERROR(IF(F813&gt;=VLOOKUP(A813,[1]Materiality!$I$6:$J$12,2,TRUE),IFERROR(IF(VLOOKUP("*CR",F813,1,FALSE)&gt;=0,"",VLOOKUP("*CR",F813,1,FALSE)),F813),""),"")</f>
        <v/>
      </c>
    </row>
    <row r="814" spans="1:8" x14ac:dyDescent="0.25">
      <c r="A814" s="1947" t="s">
        <v>3311</v>
      </c>
      <c r="B814" s="1947" t="s">
        <v>2760</v>
      </c>
      <c r="C814" s="1947" t="s">
        <v>2634</v>
      </c>
      <c r="D814" s="1948">
        <v>7218.89</v>
      </c>
      <c r="E814" s="1947">
        <v>0</v>
      </c>
      <c r="F814" s="1948">
        <v>7218.89</v>
      </c>
      <c r="G814" s="1947"/>
      <c r="H814" s="1949" t="str">
        <f>IFERROR(IF(F814&gt;=VLOOKUP(A814,[1]Materiality!$I$6:$J$12,2,TRUE),IFERROR(IF(VLOOKUP("*CR",F814,1,FALSE)&gt;=0,"",VLOOKUP("*CR",F814,1,FALSE)),F814),""),"")</f>
        <v/>
      </c>
    </row>
    <row r="815" spans="1:8" x14ac:dyDescent="0.25">
      <c r="A815" s="1947" t="s">
        <v>3311</v>
      </c>
      <c r="B815" s="1947" t="s">
        <v>2763</v>
      </c>
      <c r="C815" s="1947" t="s">
        <v>2635</v>
      </c>
      <c r="D815" s="1948">
        <v>1143.23</v>
      </c>
      <c r="E815" s="1947">
        <v>0</v>
      </c>
      <c r="F815" s="1948">
        <v>1143.23</v>
      </c>
      <c r="G815" s="1947"/>
      <c r="H815" s="1949" t="str">
        <f>IFERROR(IF(F815&gt;=VLOOKUP(A815,[1]Materiality!$I$6:$J$12,2,TRUE),IFERROR(IF(VLOOKUP("*CR",F815,1,FALSE)&gt;=0,"",VLOOKUP("*CR",F815,1,FALSE)),F815),""),"")</f>
        <v/>
      </c>
    </row>
    <row r="816" spans="1:8" x14ac:dyDescent="0.25">
      <c r="A816" s="1947" t="s">
        <v>3311</v>
      </c>
      <c r="B816" s="1947" t="s">
        <v>2761</v>
      </c>
      <c r="C816" s="1947" t="s">
        <v>2636</v>
      </c>
      <c r="D816" s="1948">
        <v>1558.92</v>
      </c>
      <c r="E816" s="1947">
        <v>0</v>
      </c>
      <c r="F816" s="1948">
        <v>1558.92</v>
      </c>
      <c r="G816" s="1947"/>
      <c r="H816" s="1949" t="str">
        <f>IFERROR(IF(F816&gt;=VLOOKUP(A816,[1]Materiality!$I$6:$J$12,2,TRUE),IFERROR(IF(VLOOKUP("*CR",F816,1,FALSE)&gt;=0,"",VLOOKUP("*CR",F816,1,FALSE)),F816),""),"")</f>
        <v/>
      </c>
    </row>
    <row r="817" spans="1:8" x14ac:dyDescent="0.25">
      <c r="A817" s="1947" t="s">
        <v>3311</v>
      </c>
      <c r="B817" s="1947" t="s">
        <v>2752</v>
      </c>
      <c r="C817" s="1947" t="s">
        <v>2637</v>
      </c>
      <c r="D817" s="1948">
        <v>1202.6400000000001</v>
      </c>
      <c r="E817" s="1947">
        <v>0</v>
      </c>
      <c r="F817" s="1948">
        <v>1202.6400000000001</v>
      </c>
      <c r="G817" s="1947"/>
      <c r="H817" s="1949" t="str">
        <f>IFERROR(IF(F817&gt;=VLOOKUP(A817,[1]Materiality!$I$6:$J$12,2,TRUE),IFERROR(IF(VLOOKUP("*CR",F817,1,FALSE)&gt;=0,"",VLOOKUP("*CR",F817,1,FALSE)),F817),""),"")</f>
        <v/>
      </c>
    </row>
    <row r="818" spans="1:8" x14ac:dyDescent="0.25">
      <c r="A818" s="1947" t="s">
        <v>3312</v>
      </c>
      <c r="B818" s="1947" t="s">
        <v>2731</v>
      </c>
      <c r="C818" s="1947" t="s">
        <v>2638</v>
      </c>
      <c r="D818" s="1948">
        <v>4395.79</v>
      </c>
      <c r="E818" s="1947">
        <v>0</v>
      </c>
      <c r="F818" s="1948">
        <v>4395.79</v>
      </c>
      <c r="G818" s="1947"/>
      <c r="H818" s="1949" t="str">
        <f>IFERROR(IF(F818&gt;=VLOOKUP(A818,[1]Materiality!$I$6:$J$12,2,TRUE),IFERROR(IF(VLOOKUP("*CR",F818,1,FALSE)&gt;=0,"",VLOOKUP("*CR",F818,1,FALSE)),F818),""),"")</f>
        <v/>
      </c>
    </row>
    <row r="819" spans="1:8" x14ac:dyDescent="0.25">
      <c r="A819" s="1947" t="s">
        <v>3313</v>
      </c>
      <c r="B819" s="1947" t="s">
        <v>2709</v>
      </c>
      <c r="C819" s="1947" t="s">
        <v>2639</v>
      </c>
      <c r="D819" s="1948">
        <v>1795.43</v>
      </c>
      <c r="E819" s="1947">
        <v>0</v>
      </c>
      <c r="F819" s="1948">
        <v>1795.43</v>
      </c>
      <c r="G819" s="1947"/>
      <c r="H819" s="1949" t="str">
        <f>IFERROR(IF(F819&gt;=VLOOKUP(A819,[1]Materiality!$I$6:$J$12,2,TRUE),IFERROR(IF(VLOOKUP("*CR",F819,1,FALSE)&gt;=0,"",VLOOKUP("*CR",F819,1,FALSE)),F819),""),"")</f>
        <v/>
      </c>
    </row>
    <row r="820" spans="1:8" x14ac:dyDescent="0.25">
      <c r="A820" s="1947" t="s">
        <v>3313</v>
      </c>
      <c r="B820" s="1947" t="s">
        <v>2772</v>
      </c>
      <c r="C820" s="1947" t="s">
        <v>2640</v>
      </c>
      <c r="D820" s="1948">
        <v>5004.42</v>
      </c>
      <c r="E820" s="1947">
        <v>0</v>
      </c>
      <c r="F820" s="1948">
        <v>5004.42</v>
      </c>
      <c r="G820" s="1947"/>
      <c r="H820" s="1949" t="str">
        <f>IFERROR(IF(F820&gt;=VLOOKUP(A820,[1]Materiality!$I$6:$J$12,2,TRUE),IFERROR(IF(VLOOKUP("*CR",F820,1,FALSE)&gt;=0,"",VLOOKUP("*CR",F820,1,FALSE)),F820),""),"")</f>
        <v/>
      </c>
    </row>
    <row r="821" spans="1:8" x14ac:dyDescent="0.25">
      <c r="A821" s="1947" t="s">
        <v>3313</v>
      </c>
      <c r="B821" s="1947" t="s">
        <v>2771</v>
      </c>
      <c r="C821" s="1947" t="s">
        <v>2641</v>
      </c>
      <c r="D821" s="1948">
        <v>3375</v>
      </c>
      <c r="E821" s="1947">
        <v>0</v>
      </c>
      <c r="F821" s="1948">
        <v>3375</v>
      </c>
      <c r="G821" s="1947"/>
      <c r="H821" s="1949" t="str">
        <f>IFERROR(IF(F821&gt;=VLOOKUP(A821,[1]Materiality!$I$6:$J$12,2,TRUE),IFERROR(IF(VLOOKUP("*CR",F821,1,FALSE)&gt;=0,"",VLOOKUP("*CR",F821,1,FALSE)),F821),""),"")</f>
        <v/>
      </c>
    </row>
    <row r="822" spans="1:8" x14ac:dyDescent="0.25">
      <c r="A822" s="1947" t="s">
        <v>3313</v>
      </c>
      <c r="B822" s="1947" t="s">
        <v>2773</v>
      </c>
      <c r="C822" s="1947" t="s">
        <v>2642</v>
      </c>
      <c r="D822" s="1948">
        <v>1657.92</v>
      </c>
      <c r="E822" s="1947">
        <v>0</v>
      </c>
      <c r="F822" s="1948">
        <v>1657.92</v>
      </c>
      <c r="G822" s="1947"/>
      <c r="H822" s="1949" t="str">
        <f>IFERROR(IF(F822&gt;=VLOOKUP(A822,[1]Materiality!$I$6:$J$12,2,TRUE),IFERROR(IF(VLOOKUP("*CR",F822,1,FALSE)&gt;=0,"",VLOOKUP("*CR",F822,1,FALSE)),F822),""),"")</f>
        <v/>
      </c>
    </row>
    <row r="823" spans="1:8" x14ac:dyDescent="0.25">
      <c r="A823" s="1947" t="s">
        <v>3314</v>
      </c>
      <c r="B823" s="1947" t="s">
        <v>2771</v>
      </c>
      <c r="C823" s="1947" t="s">
        <v>2643</v>
      </c>
      <c r="D823" s="1948">
        <v>1028.8800000000001</v>
      </c>
      <c r="E823" s="1947">
        <v>0</v>
      </c>
      <c r="F823" s="1948">
        <v>1028.8800000000001</v>
      </c>
      <c r="G823" s="1947"/>
      <c r="H823" s="1949" t="str">
        <f>IFERROR(IF(F823&gt;=VLOOKUP(A823,[1]Materiality!$I$6:$J$12,2,TRUE),IFERROR(IF(VLOOKUP("*CR",F823,1,FALSE)&gt;=0,"",VLOOKUP("*CR",F823,1,FALSE)),F823),""),"")</f>
        <v/>
      </c>
    </row>
    <row r="824" spans="1:8" x14ac:dyDescent="0.25">
      <c r="A824" s="1947" t="s">
        <v>3315</v>
      </c>
      <c r="B824" s="1947" t="s">
        <v>2772</v>
      </c>
      <c r="C824" s="1947" t="s">
        <v>2644</v>
      </c>
      <c r="D824" s="1948">
        <v>7231.09</v>
      </c>
      <c r="E824" s="1947">
        <v>0</v>
      </c>
      <c r="F824" s="1948">
        <v>7231.09</v>
      </c>
      <c r="G824" s="1947"/>
      <c r="H824" s="1949" t="str">
        <f>IFERROR(IF(F824&gt;=VLOOKUP(A824,[1]Materiality!$I$6:$J$12,2,TRUE),IFERROR(IF(VLOOKUP("*CR",F824,1,FALSE)&gt;=0,"",VLOOKUP("*CR",F824,1,FALSE)),F824),""),"")</f>
        <v/>
      </c>
    </row>
    <row r="825" spans="1:8" x14ac:dyDescent="0.25">
      <c r="A825" s="1947" t="s">
        <v>3316</v>
      </c>
      <c r="B825" s="1947" t="s">
        <v>2721</v>
      </c>
      <c r="C825" s="1947" t="s">
        <v>2645</v>
      </c>
      <c r="D825" s="1948">
        <v>9872.3700000000008</v>
      </c>
      <c r="E825" s="1947">
        <v>0</v>
      </c>
      <c r="F825" s="1948">
        <v>9872.3700000000008</v>
      </c>
      <c r="G825" s="1947"/>
      <c r="H825" s="1949" t="str">
        <f>IFERROR(IF(F825&gt;=VLOOKUP(A825,[1]Materiality!$I$6:$J$12,2,TRUE),IFERROR(IF(VLOOKUP("*CR",F825,1,FALSE)&gt;=0,"",VLOOKUP("*CR",F825,1,FALSE)),F825),""),"")</f>
        <v/>
      </c>
    </row>
    <row r="826" spans="1:8" x14ac:dyDescent="0.25">
      <c r="A826" s="1947" t="s">
        <v>3317</v>
      </c>
      <c r="B826" s="1947" t="s">
        <v>2787</v>
      </c>
      <c r="C826" s="1947" t="s">
        <v>2646</v>
      </c>
      <c r="D826" s="1948">
        <v>56890.89</v>
      </c>
      <c r="E826" s="1947">
        <v>0</v>
      </c>
      <c r="F826" s="1948">
        <v>56890.89</v>
      </c>
      <c r="G826" s="1947"/>
      <c r="H826" s="1949">
        <f>IFERROR(IF(F826&gt;=VLOOKUP(A826,[1]Materiality!$I$6:$J$12,2,TRUE),IFERROR(IF(VLOOKUP("*CR",F826,1,FALSE)&gt;=0,"",VLOOKUP("*CR",F826,1,FALSE)),F826),""),"")</f>
        <v>56890.89</v>
      </c>
    </row>
    <row r="827" spans="1:8" x14ac:dyDescent="0.25">
      <c r="A827" s="1947" t="s">
        <v>3318</v>
      </c>
      <c r="B827" s="1947" t="s">
        <v>2731</v>
      </c>
      <c r="C827" s="1947" t="s">
        <v>2647</v>
      </c>
      <c r="D827" s="1948">
        <v>14923.46</v>
      </c>
      <c r="E827" s="1947">
        <v>0</v>
      </c>
      <c r="F827" s="1948">
        <v>14923.46</v>
      </c>
      <c r="G827" s="1947"/>
      <c r="H827" s="1949" t="str">
        <f>IFERROR(IF(F827&gt;=VLOOKUP(A827,[1]Materiality!$I$6:$J$12,2,TRUE),IFERROR(IF(VLOOKUP("*CR",F827,1,FALSE)&gt;=0,"",VLOOKUP("*CR",F827,1,FALSE)),F827),""),"")</f>
        <v/>
      </c>
    </row>
    <row r="828" spans="1:8" x14ac:dyDescent="0.25">
      <c r="A828" s="1947" t="s">
        <v>3319</v>
      </c>
      <c r="B828" s="1947" t="s">
        <v>2730</v>
      </c>
      <c r="C828" s="1947" t="s">
        <v>2648</v>
      </c>
      <c r="D828" s="1948">
        <v>4596</v>
      </c>
      <c r="E828" s="1947">
        <v>0</v>
      </c>
      <c r="F828" s="1948">
        <v>4596</v>
      </c>
      <c r="G828" s="1947"/>
      <c r="H828" s="1949" t="str">
        <f>IFERROR(IF(F828&gt;=VLOOKUP(A828,[1]Materiality!$I$6:$J$12,2,TRUE),IFERROR(IF(VLOOKUP("*CR",F828,1,FALSE)&gt;=0,"",VLOOKUP("*CR",F828,1,FALSE)),F828),""),"")</f>
        <v/>
      </c>
    </row>
    <row r="829" spans="1:8" x14ac:dyDescent="0.25">
      <c r="A829" s="1947" t="s">
        <v>3320</v>
      </c>
      <c r="B829" s="1947" t="s">
        <v>2762</v>
      </c>
      <c r="C829" s="1947" t="s">
        <v>2649</v>
      </c>
      <c r="D829" s="1948">
        <v>15000</v>
      </c>
      <c r="E829" s="1947">
        <v>0</v>
      </c>
      <c r="F829" s="1948">
        <v>15000</v>
      </c>
      <c r="G829" s="1947"/>
      <c r="H829" s="1949" t="str">
        <f>IFERROR(IF(F829&gt;=VLOOKUP(A829,[1]Materiality!$I$6:$J$12,2,TRUE),IFERROR(IF(VLOOKUP("*CR",F829,1,FALSE)&gt;=0,"",VLOOKUP("*CR",F829,1,FALSE)),F829),""),"")</f>
        <v/>
      </c>
    </row>
    <row r="830" spans="1:8" x14ac:dyDescent="0.25">
      <c r="A830" s="1947" t="s">
        <v>3320</v>
      </c>
      <c r="B830" s="1947" t="s">
        <v>2765</v>
      </c>
      <c r="C830" s="1947" t="s">
        <v>2650</v>
      </c>
      <c r="D830" s="1948">
        <v>4090.92</v>
      </c>
      <c r="E830" s="1947">
        <v>0</v>
      </c>
      <c r="F830" s="1948">
        <v>4090.92</v>
      </c>
      <c r="G830" s="1947"/>
      <c r="H830" s="1949" t="str">
        <f>IFERROR(IF(F830&gt;=VLOOKUP(A830,[1]Materiality!$I$6:$J$12,2,TRUE),IFERROR(IF(VLOOKUP("*CR",F830,1,FALSE)&gt;=0,"",VLOOKUP("*CR",F830,1,FALSE)),F830),""),"")</f>
        <v/>
      </c>
    </row>
    <row r="831" spans="1:8" x14ac:dyDescent="0.25">
      <c r="A831" s="1947" t="s">
        <v>3320</v>
      </c>
      <c r="B831" s="1947" t="s">
        <v>2774</v>
      </c>
      <c r="C831" s="1947" t="s">
        <v>2651</v>
      </c>
      <c r="D831" s="1948">
        <v>3945.58</v>
      </c>
      <c r="E831" s="1947">
        <v>0</v>
      </c>
      <c r="F831" s="1948">
        <v>3945.58</v>
      </c>
      <c r="G831" s="1947"/>
      <c r="H831" s="1949" t="str">
        <f>IFERROR(IF(F831&gt;=VLOOKUP(A831,[1]Materiality!$I$6:$J$12,2,TRUE),IFERROR(IF(VLOOKUP("*CR",F831,1,FALSE)&gt;=0,"",VLOOKUP("*CR",F831,1,FALSE)),F831),""),"")</f>
        <v/>
      </c>
    </row>
    <row r="832" spans="1:8" x14ac:dyDescent="0.25">
      <c r="A832" s="1947" t="s">
        <v>3321</v>
      </c>
      <c r="B832" s="1947" t="s">
        <v>2711</v>
      </c>
      <c r="C832" s="1947" t="s">
        <v>2652</v>
      </c>
      <c r="D832" s="1948">
        <v>2814.12</v>
      </c>
      <c r="E832" s="1947">
        <v>0</v>
      </c>
      <c r="F832" s="1948">
        <v>2814.12</v>
      </c>
      <c r="G832" s="1947"/>
      <c r="H832" s="1949" t="str">
        <f>IFERROR(IF(F832&gt;=VLOOKUP(A832,[1]Materiality!$I$6:$J$12,2,TRUE),IFERROR(IF(VLOOKUP("*CR",F832,1,FALSE)&gt;=0,"",VLOOKUP("*CR",F832,1,FALSE)),F832),""),"")</f>
        <v/>
      </c>
    </row>
    <row r="833" spans="1:8" x14ac:dyDescent="0.25">
      <c r="A833" s="1947" t="s">
        <v>3321</v>
      </c>
      <c r="B833" s="1947" t="s">
        <v>2724</v>
      </c>
      <c r="C833" s="1947" t="s">
        <v>2653</v>
      </c>
      <c r="D833" s="1948">
        <v>1704.6</v>
      </c>
      <c r="E833" s="1947">
        <v>0</v>
      </c>
      <c r="F833" s="1948">
        <v>1704.6</v>
      </c>
      <c r="G833" s="1947"/>
      <c r="H833" s="1949" t="str">
        <f>IFERROR(IF(F833&gt;=VLOOKUP(A833,[1]Materiality!$I$6:$J$12,2,TRUE),IFERROR(IF(VLOOKUP("*CR",F833,1,FALSE)&gt;=0,"",VLOOKUP("*CR",F833,1,FALSE)),F833),""),"")</f>
        <v/>
      </c>
    </row>
    <row r="834" spans="1:8" x14ac:dyDescent="0.25">
      <c r="A834" s="1947" t="s">
        <v>3321</v>
      </c>
      <c r="B834" s="1947" t="s">
        <v>2717</v>
      </c>
      <c r="C834" s="1947" t="s">
        <v>2654</v>
      </c>
      <c r="D834" s="1948">
        <v>2357.16</v>
      </c>
      <c r="E834" s="1947">
        <v>0</v>
      </c>
      <c r="F834" s="1948">
        <v>2357.16</v>
      </c>
      <c r="G834" s="1947"/>
      <c r="H834" s="1949" t="str">
        <f>IFERROR(IF(F834&gt;=VLOOKUP(A834,[1]Materiality!$I$6:$J$12,2,TRUE),IFERROR(IF(VLOOKUP("*CR",F834,1,FALSE)&gt;=0,"",VLOOKUP("*CR",F834,1,FALSE)),F834),""),"")</f>
        <v/>
      </c>
    </row>
    <row r="835" spans="1:8" x14ac:dyDescent="0.25">
      <c r="A835" s="1947" t="s">
        <v>3321</v>
      </c>
      <c r="B835" s="1947" t="s">
        <v>2721</v>
      </c>
      <c r="C835" s="1947" t="s">
        <v>2655</v>
      </c>
      <c r="D835" s="1948">
        <v>5902.69</v>
      </c>
      <c r="E835" s="1947">
        <v>0</v>
      </c>
      <c r="F835" s="1948">
        <v>5902.69</v>
      </c>
      <c r="G835" s="1947"/>
      <c r="H835" s="1949" t="str">
        <f>IFERROR(IF(F835&gt;=VLOOKUP(A835,[1]Materiality!$I$6:$J$12,2,TRUE),IFERROR(IF(VLOOKUP("*CR",F835,1,FALSE)&gt;=0,"",VLOOKUP("*CR",F835,1,FALSE)),F835),""),"")</f>
        <v/>
      </c>
    </row>
    <row r="836" spans="1:8" x14ac:dyDescent="0.25">
      <c r="A836" s="1947" t="s">
        <v>3321</v>
      </c>
      <c r="B836" s="1947" t="s">
        <v>2843</v>
      </c>
      <c r="C836" s="1947" t="s">
        <v>2656</v>
      </c>
      <c r="D836" s="1948">
        <v>1198.68</v>
      </c>
      <c r="E836" s="1947">
        <v>0</v>
      </c>
      <c r="F836" s="1948">
        <v>1198.68</v>
      </c>
      <c r="G836" s="1947"/>
      <c r="H836" s="1949" t="str">
        <f>IFERROR(IF(F836&gt;=VLOOKUP(A836,[1]Materiality!$I$6:$J$12,2,TRUE),IFERROR(IF(VLOOKUP("*CR",F836,1,FALSE)&gt;=0,"",VLOOKUP("*CR",F836,1,FALSE)),F836),""),"")</f>
        <v/>
      </c>
    </row>
    <row r="837" spans="1:8" x14ac:dyDescent="0.25">
      <c r="A837" s="1947" t="s">
        <v>3321</v>
      </c>
      <c r="B837" s="1947" t="s">
        <v>2730</v>
      </c>
      <c r="C837" s="1947" t="s">
        <v>2657</v>
      </c>
      <c r="D837" s="1947">
        <v>519.72</v>
      </c>
      <c r="E837" s="1947">
        <v>0</v>
      </c>
      <c r="F837" s="1947">
        <v>519.72</v>
      </c>
      <c r="G837" s="1947"/>
      <c r="H837" s="1949" t="str">
        <f>IFERROR(IF(F837&gt;=VLOOKUP(A837,[1]Materiality!$I$6:$J$12,2,TRUE),IFERROR(IF(VLOOKUP("*CR",F837,1,FALSE)&gt;=0,"",VLOOKUP("*CR",F837,1,FALSE)),F837),""),"")</f>
        <v/>
      </c>
    </row>
    <row r="838" spans="1:8" x14ac:dyDescent="0.25">
      <c r="A838" s="1947" t="s">
        <v>3321</v>
      </c>
      <c r="B838" s="1947" t="s">
        <v>2731</v>
      </c>
      <c r="C838" s="1947" t="s">
        <v>2658</v>
      </c>
      <c r="D838" s="1947">
        <v>434.76</v>
      </c>
      <c r="E838" s="1947">
        <v>0</v>
      </c>
      <c r="F838" s="1947">
        <v>434.76</v>
      </c>
      <c r="G838" s="1947"/>
      <c r="H838" s="1949" t="str">
        <f>IFERROR(IF(F838&gt;=VLOOKUP(A838,[1]Materiality!$I$6:$J$12,2,TRUE),IFERROR(IF(VLOOKUP("*CR",F838,1,FALSE)&gt;=0,"",VLOOKUP("*CR",F838,1,FALSE)),F838),""),"")</f>
        <v/>
      </c>
    </row>
    <row r="839" spans="1:8" x14ac:dyDescent="0.25">
      <c r="A839" s="1947" t="s">
        <v>3321</v>
      </c>
      <c r="B839" s="1947" t="s">
        <v>2760</v>
      </c>
      <c r="C839" s="1947" t="s">
        <v>2659</v>
      </c>
      <c r="D839" s="1947">
        <v>816.26</v>
      </c>
      <c r="E839" s="1947">
        <v>0</v>
      </c>
      <c r="F839" s="1947">
        <v>816.26</v>
      </c>
      <c r="G839" s="1947"/>
      <c r="H839" s="1949" t="str">
        <f>IFERROR(IF(F839&gt;=VLOOKUP(A839,[1]Materiality!$I$6:$J$12,2,TRUE),IFERROR(IF(VLOOKUP("*CR",F839,1,FALSE)&gt;=0,"",VLOOKUP("*CR",F839,1,FALSE)),F839),""),"")</f>
        <v/>
      </c>
    </row>
    <row r="840" spans="1:8" x14ac:dyDescent="0.25">
      <c r="A840" s="1947" t="s">
        <v>3321</v>
      </c>
      <c r="B840" s="1947" t="s">
        <v>2763</v>
      </c>
      <c r="C840" s="1947" t="s">
        <v>2660</v>
      </c>
      <c r="D840" s="1947">
        <v>129.25</v>
      </c>
      <c r="E840" s="1947">
        <v>0</v>
      </c>
      <c r="F840" s="1947">
        <v>129.25</v>
      </c>
      <c r="G840" s="1947"/>
      <c r="H840" s="1949" t="str">
        <f>IFERROR(IF(F840&gt;=VLOOKUP(A840,[1]Materiality!$I$6:$J$12,2,TRUE),IFERROR(IF(VLOOKUP("*CR",F840,1,FALSE)&gt;=0,"",VLOOKUP("*CR",F840,1,FALSE)),F840),""),"")</f>
        <v/>
      </c>
    </row>
    <row r="841" spans="1:8" x14ac:dyDescent="0.25">
      <c r="A841" s="1947" t="s">
        <v>3321</v>
      </c>
      <c r="B841" s="1947" t="s">
        <v>2761</v>
      </c>
      <c r="C841" s="1947" t="s">
        <v>2661</v>
      </c>
      <c r="D841" s="1947">
        <v>176.28</v>
      </c>
      <c r="E841" s="1947">
        <v>0</v>
      </c>
      <c r="F841" s="1947">
        <v>176.28</v>
      </c>
      <c r="G841" s="1947"/>
      <c r="H841" s="1949" t="str">
        <f>IFERROR(IF(F841&gt;=VLOOKUP(A841,[1]Materiality!$I$6:$J$12,2,TRUE),IFERROR(IF(VLOOKUP("*CR",F841,1,FALSE)&gt;=0,"",VLOOKUP("*CR",F841,1,FALSE)),F841),""),"")</f>
        <v/>
      </c>
    </row>
    <row r="842" spans="1:8" x14ac:dyDescent="0.25">
      <c r="A842" s="1947" t="s">
        <v>3321</v>
      </c>
      <c r="B842" s="1947" t="s">
        <v>2762</v>
      </c>
      <c r="C842" s="1947" t="s">
        <v>2662</v>
      </c>
      <c r="D842" s="1948">
        <v>1483.44</v>
      </c>
      <c r="E842" s="1947">
        <v>0</v>
      </c>
      <c r="F842" s="1948">
        <v>1483.44</v>
      </c>
      <c r="G842" s="1947"/>
      <c r="H842" s="1949" t="str">
        <f>IFERROR(IF(F842&gt;=VLOOKUP(A842,[1]Materiality!$I$6:$J$12,2,TRUE),IFERROR(IF(VLOOKUP("*CR",F842,1,FALSE)&gt;=0,"",VLOOKUP("*CR",F842,1,FALSE)),F842),""),"")</f>
        <v/>
      </c>
    </row>
    <row r="843" spans="1:8" x14ac:dyDescent="0.25">
      <c r="A843" s="1947" t="s">
        <v>3321</v>
      </c>
      <c r="B843" s="1947" t="s">
        <v>2772</v>
      </c>
      <c r="C843" s="1947" t="s">
        <v>2663</v>
      </c>
      <c r="D843" s="1948">
        <v>1210.03</v>
      </c>
      <c r="E843" s="1947">
        <v>0</v>
      </c>
      <c r="F843" s="1948">
        <v>1210.03</v>
      </c>
      <c r="G843" s="1947"/>
      <c r="H843" s="1949" t="str">
        <f>IFERROR(IF(F843&gt;=VLOOKUP(A843,[1]Materiality!$I$6:$J$12,2,TRUE),IFERROR(IF(VLOOKUP("*CR",F843,1,FALSE)&gt;=0,"",VLOOKUP("*CR",F843,1,FALSE)),F843),""),"")</f>
        <v/>
      </c>
    </row>
    <row r="844" spans="1:8" x14ac:dyDescent="0.25">
      <c r="A844" s="1947" t="s">
        <v>3321</v>
      </c>
      <c r="B844" s="1947" t="s">
        <v>2771</v>
      </c>
      <c r="C844" s="1947" t="s">
        <v>2664</v>
      </c>
      <c r="D844" s="1947">
        <v>333.78</v>
      </c>
      <c r="E844" s="1947">
        <v>0</v>
      </c>
      <c r="F844" s="1947">
        <v>333.78</v>
      </c>
      <c r="G844" s="1947"/>
      <c r="H844" s="1949" t="str">
        <f>IFERROR(IF(F844&gt;=VLOOKUP(A844,[1]Materiality!$I$6:$J$12,2,TRUE),IFERROR(IF(VLOOKUP("*CR",F844,1,FALSE)&gt;=0,"",VLOOKUP("*CR",F844,1,FALSE)),F844),""),"")</f>
        <v/>
      </c>
    </row>
    <row r="845" spans="1:8" x14ac:dyDescent="0.25">
      <c r="A845" s="1947" t="s">
        <v>3321</v>
      </c>
      <c r="B845" s="1947" t="s">
        <v>2752</v>
      </c>
      <c r="C845" s="1947" t="s">
        <v>2665</v>
      </c>
      <c r="D845" s="1947">
        <v>135.96</v>
      </c>
      <c r="E845" s="1947">
        <v>0</v>
      </c>
      <c r="F845" s="1947">
        <v>135.96</v>
      </c>
      <c r="G845" s="1947"/>
      <c r="H845" s="1949" t="str">
        <f>IFERROR(IF(F845&gt;=VLOOKUP(A845,[1]Materiality!$I$6:$J$12,2,TRUE),IFERROR(IF(VLOOKUP("*CR",F845,1,FALSE)&gt;=0,"",VLOOKUP("*CR",F845,1,FALSE)),F845),""),"")</f>
        <v/>
      </c>
    </row>
    <row r="846" spans="1:8" x14ac:dyDescent="0.25">
      <c r="A846" s="1947" t="s">
        <v>3322</v>
      </c>
      <c r="B846" s="1947" t="s">
        <v>2711</v>
      </c>
      <c r="C846" s="1947" t="s">
        <v>2652</v>
      </c>
      <c r="D846" s="1947">
        <v>181.44</v>
      </c>
      <c r="E846" s="1947">
        <v>0</v>
      </c>
      <c r="F846" s="1947">
        <v>181.44</v>
      </c>
      <c r="G846" s="1947"/>
      <c r="H846" s="1949" t="str">
        <f>IFERROR(IF(F846&gt;=VLOOKUP(A846,[1]Materiality!$I$6:$J$12,2,TRUE),IFERROR(IF(VLOOKUP("*CR",F846,1,FALSE)&gt;=0,"",VLOOKUP("*CR",F846,1,FALSE)),F846),""),"")</f>
        <v/>
      </c>
    </row>
    <row r="847" spans="1:8" x14ac:dyDescent="0.25">
      <c r="A847" s="1947" t="s">
        <v>3322</v>
      </c>
      <c r="B847" s="1947" t="s">
        <v>2724</v>
      </c>
      <c r="C847" s="1947" t="s">
        <v>2653</v>
      </c>
      <c r="D847" s="1947">
        <v>109.8</v>
      </c>
      <c r="E847" s="1947">
        <v>0</v>
      </c>
      <c r="F847" s="1947">
        <v>109.8</v>
      </c>
      <c r="G847" s="1947"/>
      <c r="H847" s="1949" t="str">
        <f>IFERROR(IF(F847&gt;=VLOOKUP(A847,[1]Materiality!$I$6:$J$12,2,TRUE),IFERROR(IF(VLOOKUP("*CR",F847,1,FALSE)&gt;=0,"",VLOOKUP("*CR",F847,1,FALSE)),F847),""),"")</f>
        <v/>
      </c>
    </row>
    <row r="848" spans="1:8" x14ac:dyDescent="0.25">
      <c r="A848" s="1947" t="s">
        <v>3322</v>
      </c>
      <c r="B848" s="1947" t="s">
        <v>2717</v>
      </c>
      <c r="C848" s="1947" t="s">
        <v>2654</v>
      </c>
      <c r="D848" s="1947">
        <v>151.68</v>
      </c>
      <c r="E848" s="1947">
        <v>0</v>
      </c>
      <c r="F848" s="1947">
        <v>151.68</v>
      </c>
      <c r="G848" s="1947"/>
      <c r="H848" s="1949" t="str">
        <f>IFERROR(IF(F848&gt;=VLOOKUP(A848,[1]Materiality!$I$6:$J$12,2,TRUE),IFERROR(IF(VLOOKUP("*CR",F848,1,FALSE)&gt;=0,"",VLOOKUP("*CR",F848,1,FALSE)),F848),""),"")</f>
        <v/>
      </c>
    </row>
    <row r="849" spans="1:8" x14ac:dyDescent="0.25">
      <c r="A849" s="1947" t="s">
        <v>3322</v>
      </c>
      <c r="B849" s="1947" t="s">
        <v>2721</v>
      </c>
      <c r="C849" s="1947" t="s">
        <v>2655</v>
      </c>
      <c r="D849" s="1947">
        <v>380.07</v>
      </c>
      <c r="E849" s="1947">
        <v>0</v>
      </c>
      <c r="F849" s="1947">
        <v>380.07</v>
      </c>
      <c r="G849" s="1947"/>
      <c r="H849" s="1949" t="str">
        <f>IFERROR(IF(F849&gt;=VLOOKUP(A849,[1]Materiality!$I$6:$J$12,2,TRUE),IFERROR(IF(VLOOKUP("*CR",F849,1,FALSE)&gt;=0,"",VLOOKUP("*CR",F849,1,FALSE)),F849),""),"")</f>
        <v/>
      </c>
    </row>
    <row r="850" spans="1:8" x14ac:dyDescent="0.25">
      <c r="A850" s="1947" t="s">
        <v>3322</v>
      </c>
      <c r="B850" s="1947" t="s">
        <v>2843</v>
      </c>
      <c r="C850" s="1947" t="s">
        <v>2656</v>
      </c>
      <c r="D850" s="1947">
        <v>77.040000000000006</v>
      </c>
      <c r="E850" s="1947">
        <v>0</v>
      </c>
      <c r="F850" s="1947">
        <v>77.040000000000006</v>
      </c>
      <c r="G850" s="1947"/>
      <c r="H850" s="1949" t="str">
        <f>IFERROR(IF(F850&gt;=VLOOKUP(A850,[1]Materiality!$I$6:$J$12,2,TRUE),IFERROR(IF(VLOOKUP("*CR",F850,1,FALSE)&gt;=0,"",VLOOKUP("*CR",F850,1,FALSE)),F850),""),"")</f>
        <v/>
      </c>
    </row>
    <row r="851" spans="1:8" x14ac:dyDescent="0.25">
      <c r="A851" s="1947" t="s">
        <v>3322</v>
      </c>
      <c r="B851" s="1947" t="s">
        <v>2730</v>
      </c>
      <c r="C851" s="1947" t="s">
        <v>2657</v>
      </c>
      <c r="D851" s="1947">
        <v>33.479999999999997</v>
      </c>
      <c r="E851" s="1947">
        <v>0</v>
      </c>
      <c r="F851" s="1947">
        <v>33.479999999999997</v>
      </c>
      <c r="G851" s="1947"/>
      <c r="H851" s="1949" t="str">
        <f>IFERROR(IF(F851&gt;=VLOOKUP(A851,[1]Materiality!$I$6:$J$12,2,TRUE),IFERROR(IF(VLOOKUP("*CR",F851,1,FALSE)&gt;=0,"",VLOOKUP("*CR",F851,1,FALSE)),F851),""),"")</f>
        <v/>
      </c>
    </row>
    <row r="852" spans="1:8" x14ac:dyDescent="0.25">
      <c r="A852" s="1947" t="s">
        <v>3322</v>
      </c>
      <c r="B852" s="1947" t="s">
        <v>2731</v>
      </c>
      <c r="C852" s="1947" t="s">
        <v>2658</v>
      </c>
      <c r="D852" s="1947">
        <v>25.5</v>
      </c>
      <c r="E852" s="1947">
        <v>0</v>
      </c>
      <c r="F852" s="1947">
        <v>25.5</v>
      </c>
      <c r="G852" s="1947"/>
      <c r="H852" s="1949" t="str">
        <f>IFERROR(IF(F852&gt;=VLOOKUP(A852,[1]Materiality!$I$6:$J$12,2,TRUE),IFERROR(IF(VLOOKUP("*CR",F852,1,FALSE)&gt;=0,"",VLOOKUP("*CR",F852,1,FALSE)),F852),""),"")</f>
        <v/>
      </c>
    </row>
    <row r="853" spans="1:8" x14ac:dyDescent="0.25">
      <c r="A853" s="1947" t="s">
        <v>3322</v>
      </c>
      <c r="B853" s="1947" t="s">
        <v>2760</v>
      </c>
      <c r="C853" s="1947" t="s">
        <v>2659</v>
      </c>
      <c r="D853" s="1947">
        <v>52.59</v>
      </c>
      <c r="E853" s="1947">
        <v>0</v>
      </c>
      <c r="F853" s="1947">
        <v>52.59</v>
      </c>
      <c r="G853" s="1947"/>
      <c r="H853" s="1949" t="str">
        <f>IFERROR(IF(F853&gt;=VLOOKUP(A853,[1]Materiality!$I$6:$J$12,2,TRUE),IFERROR(IF(VLOOKUP("*CR",F853,1,FALSE)&gt;=0,"",VLOOKUP("*CR",F853,1,FALSE)),F853),""),"")</f>
        <v/>
      </c>
    </row>
    <row r="854" spans="1:8" x14ac:dyDescent="0.25">
      <c r="A854" s="1947" t="s">
        <v>3322</v>
      </c>
      <c r="B854" s="1947" t="s">
        <v>2763</v>
      </c>
      <c r="C854" s="1947" t="s">
        <v>2660</v>
      </c>
      <c r="D854" s="1947">
        <v>8.36</v>
      </c>
      <c r="E854" s="1947">
        <v>0</v>
      </c>
      <c r="F854" s="1947">
        <v>8.36</v>
      </c>
      <c r="G854" s="1947"/>
      <c r="H854" s="1949" t="str">
        <f>IFERROR(IF(F854&gt;=VLOOKUP(A854,[1]Materiality!$I$6:$J$12,2,TRUE),IFERROR(IF(VLOOKUP("*CR",F854,1,FALSE)&gt;=0,"",VLOOKUP("*CR",F854,1,FALSE)),F854),""),"")</f>
        <v/>
      </c>
    </row>
    <row r="855" spans="1:8" x14ac:dyDescent="0.25">
      <c r="A855" s="1947" t="s">
        <v>3322</v>
      </c>
      <c r="B855" s="1947" t="s">
        <v>2761</v>
      </c>
      <c r="C855" s="1947" t="s">
        <v>2661</v>
      </c>
      <c r="D855" s="1947">
        <v>11.4</v>
      </c>
      <c r="E855" s="1947">
        <v>0</v>
      </c>
      <c r="F855" s="1947">
        <v>11.4</v>
      </c>
      <c r="G855" s="1947"/>
      <c r="H855" s="1949" t="str">
        <f>IFERROR(IF(F855&gt;=VLOOKUP(A855,[1]Materiality!$I$6:$J$12,2,TRUE),IFERROR(IF(VLOOKUP("*CR",F855,1,FALSE)&gt;=0,"",VLOOKUP("*CR",F855,1,FALSE)),F855),""),"")</f>
        <v/>
      </c>
    </row>
    <row r="856" spans="1:8" x14ac:dyDescent="0.25">
      <c r="A856" s="1947" t="s">
        <v>3322</v>
      </c>
      <c r="B856" s="1947" t="s">
        <v>2762</v>
      </c>
      <c r="C856" s="1947" t="s">
        <v>2662</v>
      </c>
      <c r="D856" s="1947">
        <v>87</v>
      </c>
      <c r="E856" s="1947">
        <v>0</v>
      </c>
      <c r="F856" s="1947">
        <v>87</v>
      </c>
      <c r="G856" s="1947"/>
      <c r="H856" s="1949" t="str">
        <f>IFERROR(IF(F856&gt;=VLOOKUP(A856,[1]Materiality!$I$6:$J$12,2,TRUE),IFERROR(IF(VLOOKUP("*CR",F856,1,FALSE)&gt;=0,"",VLOOKUP("*CR",F856,1,FALSE)),F856),""),"")</f>
        <v/>
      </c>
    </row>
    <row r="857" spans="1:8" x14ac:dyDescent="0.25">
      <c r="A857" s="1947" t="s">
        <v>3322</v>
      </c>
      <c r="B857" s="1947" t="s">
        <v>2772</v>
      </c>
      <c r="C857" s="1947" t="s">
        <v>2663</v>
      </c>
      <c r="D857" s="1947">
        <v>70.98</v>
      </c>
      <c r="E857" s="1947">
        <v>0</v>
      </c>
      <c r="F857" s="1947">
        <v>70.98</v>
      </c>
      <c r="G857" s="1947"/>
      <c r="H857" s="1949" t="str">
        <f>IFERROR(IF(F857&gt;=VLOOKUP(A857,[1]Materiality!$I$6:$J$12,2,TRUE),IFERROR(IF(VLOOKUP("*CR",F857,1,FALSE)&gt;=0,"",VLOOKUP("*CR",F857,1,FALSE)),F857),""),"")</f>
        <v/>
      </c>
    </row>
    <row r="858" spans="1:8" x14ac:dyDescent="0.25">
      <c r="A858" s="1947" t="s">
        <v>3322</v>
      </c>
      <c r="B858" s="1947" t="s">
        <v>2771</v>
      </c>
      <c r="C858" s="1947" t="s">
        <v>2664</v>
      </c>
      <c r="D858" s="1947">
        <v>19.559999999999999</v>
      </c>
      <c r="E858" s="1947">
        <v>0</v>
      </c>
      <c r="F858" s="1947">
        <v>19.559999999999999</v>
      </c>
      <c r="G858" s="1947"/>
      <c r="H858" s="1949" t="str">
        <f>IFERROR(IF(F858&gt;=VLOOKUP(A858,[1]Materiality!$I$6:$J$12,2,TRUE),IFERROR(IF(VLOOKUP("*CR",F858,1,FALSE)&gt;=0,"",VLOOKUP("*CR",F858,1,FALSE)),F858),""),"")</f>
        <v/>
      </c>
    </row>
    <row r="859" spans="1:8" x14ac:dyDescent="0.25">
      <c r="A859" s="1947" t="s">
        <v>3322</v>
      </c>
      <c r="B859" s="1947" t="s">
        <v>2752</v>
      </c>
      <c r="C859" s="1947" t="s">
        <v>2665</v>
      </c>
      <c r="D859" s="1947">
        <v>8.76</v>
      </c>
      <c r="E859" s="1947">
        <v>0</v>
      </c>
      <c r="F859" s="1947">
        <v>8.76</v>
      </c>
      <c r="G859" s="1947"/>
      <c r="H859" s="1949" t="str">
        <f>IFERROR(IF(F859&gt;=VLOOKUP(A859,[1]Materiality!$I$6:$J$12,2,TRUE),IFERROR(IF(VLOOKUP("*CR",F859,1,FALSE)&gt;=0,"",VLOOKUP("*CR",F859,1,FALSE)),F859),""),"")</f>
        <v/>
      </c>
    </row>
    <row r="860" spans="1:8" x14ac:dyDescent="0.25">
      <c r="A860" s="1947" t="s">
        <v>3323</v>
      </c>
      <c r="B860" s="1947" t="s">
        <v>2711</v>
      </c>
      <c r="C860" s="1947" t="s">
        <v>2666</v>
      </c>
      <c r="D860" s="1947">
        <v>550.08000000000004</v>
      </c>
      <c r="E860" s="1947">
        <v>0</v>
      </c>
      <c r="F860" s="1947">
        <v>550.08000000000004</v>
      </c>
      <c r="G860" s="1947"/>
      <c r="H860" s="1949" t="str">
        <f>IFERROR(IF(F860&gt;=VLOOKUP(A860,[1]Materiality!$I$6:$J$12,2,TRUE),IFERROR(IF(VLOOKUP("*CR",F860,1,FALSE)&gt;=0,"",VLOOKUP("*CR",F860,1,FALSE)),F860),""),"")</f>
        <v/>
      </c>
    </row>
    <row r="861" spans="1:8" x14ac:dyDescent="0.25">
      <c r="A861" s="1947" t="s">
        <v>3323</v>
      </c>
      <c r="B861" s="1947" t="s">
        <v>2724</v>
      </c>
      <c r="C861" s="1947" t="s">
        <v>2667</v>
      </c>
      <c r="D861" s="1947">
        <v>333.12</v>
      </c>
      <c r="E861" s="1947">
        <v>0</v>
      </c>
      <c r="F861" s="1947">
        <v>333.12</v>
      </c>
      <c r="G861" s="1947"/>
      <c r="H861" s="1949" t="str">
        <f>IFERROR(IF(F861&gt;=VLOOKUP(A861,[1]Materiality!$I$6:$J$12,2,TRUE),IFERROR(IF(VLOOKUP("*CR",F861,1,FALSE)&gt;=0,"",VLOOKUP("*CR",F861,1,FALSE)),F861),""),"")</f>
        <v/>
      </c>
    </row>
    <row r="862" spans="1:8" x14ac:dyDescent="0.25">
      <c r="A862" s="1947" t="s">
        <v>3323</v>
      </c>
      <c r="B862" s="1947" t="s">
        <v>2717</v>
      </c>
      <c r="C862" s="1947" t="s">
        <v>2668</v>
      </c>
      <c r="D862" s="1947">
        <v>460.53</v>
      </c>
      <c r="E862" s="1947">
        <v>0</v>
      </c>
      <c r="F862" s="1947">
        <v>460.53</v>
      </c>
      <c r="G862" s="1947"/>
      <c r="H862" s="1949" t="str">
        <f>IFERROR(IF(F862&gt;=VLOOKUP(A862,[1]Materiality!$I$6:$J$12,2,TRUE),IFERROR(IF(VLOOKUP("*CR",F862,1,FALSE)&gt;=0,"",VLOOKUP("*CR",F862,1,FALSE)),F862),""),"")</f>
        <v/>
      </c>
    </row>
    <row r="863" spans="1:8" x14ac:dyDescent="0.25">
      <c r="A863" s="1947" t="s">
        <v>3323</v>
      </c>
      <c r="B863" s="1947" t="s">
        <v>2721</v>
      </c>
      <c r="C863" s="1947" t="s">
        <v>2669</v>
      </c>
      <c r="D863" s="1948">
        <v>1153.46</v>
      </c>
      <c r="E863" s="1947">
        <v>0</v>
      </c>
      <c r="F863" s="1948">
        <v>1153.46</v>
      </c>
      <c r="G863" s="1947"/>
      <c r="H863" s="1949" t="str">
        <f>IFERROR(IF(F863&gt;=VLOOKUP(A863,[1]Materiality!$I$6:$J$12,2,TRUE),IFERROR(IF(VLOOKUP("*CR",F863,1,FALSE)&gt;=0,"",VLOOKUP("*CR",F863,1,FALSE)),F863),""),"")</f>
        <v/>
      </c>
    </row>
    <row r="864" spans="1:8" x14ac:dyDescent="0.25">
      <c r="A864" s="1947" t="s">
        <v>3323</v>
      </c>
      <c r="B864" s="1947" t="s">
        <v>2843</v>
      </c>
      <c r="C864" s="1947" t="s">
        <v>2670</v>
      </c>
      <c r="D864" s="1947">
        <v>234.12</v>
      </c>
      <c r="E864" s="1947">
        <v>0</v>
      </c>
      <c r="F864" s="1947">
        <v>234.12</v>
      </c>
      <c r="G864" s="1947"/>
      <c r="H864" s="1949" t="str">
        <f>IFERROR(IF(F864&gt;=VLOOKUP(A864,[1]Materiality!$I$6:$J$12,2,TRUE),IFERROR(IF(VLOOKUP("*CR",F864,1,FALSE)&gt;=0,"",VLOOKUP("*CR",F864,1,FALSE)),F864),""),"")</f>
        <v/>
      </c>
    </row>
    <row r="865" spans="1:8" x14ac:dyDescent="0.25">
      <c r="A865" s="1947" t="s">
        <v>3323</v>
      </c>
      <c r="B865" s="1947" t="s">
        <v>2730</v>
      </c>
      <c r="C865" s="1947" t="s">
        <v>2671</v>
      </c>
      <c r="D865" s="1947">
        <v>101.52</v>
      </c>
      <c r="E865" s="1947">
        <v>0</v>
      </c>
      <c r="F865" s="1947">
        <v>101.52</v>
      </c>
      <c r="G865" s="1947"/>
      <c r="H865" s="1949" t="str">
        <f>IFERROR(IF(F865&gt;=VLOOKUP(A865,[1]Materiality!$I$6:$J$12,2,TRUE),IFERROR(IF(VLOOKUP("*CR",F865,1,FALSE)&gt;=0,"",VLOOKUP("*CR",F865,1,FALSE)),F865),""),"")</f>
        <v/>
      </c>
    </row>
    <row r="866" spans="1:8" x14ac:dyDescent="0.25">
      <c r="A866" s="1947" t="s">
        <v>3323</v>
      </c>
      <c r="B866" s="1947" t="s">
        <v>2731</v>
      </c>
      <c r="C866" s="1947" t="s">
        <v>2672</v>
      </c>
      <c r="D866" s="1947">
        <v>85.02</v>
      </c>
      <c r="E866" s="1947">
        <v>0</v>
      </c>
      <c r="F866" s="1947">
        <v>85.02</v>
      </c>
      <c r="G866" s="1947"/>
      <c r="H866" s="1949" t="str">
        <f>IFERROR(IF(F866&gt;=VLOOKUP(A866,[1]Materiality!$I$6:$J$12,2,TRUE),IFERROR(IF(VLOOKUP("*CR",F866,1,FALSE)&gt;=0,"",VLOOKUP("*CR",F866,1,FALSE)),F866),""),"")</f>
        <v/>
      </c>
    </row>
    <row r="867" spans="1:8" x14ac:dyDescent="0.25">
      <c r="A867" s="1947" t="s">
        <v>3323</v>
      </c>
      <c r="B867" s="1947" t="s">
        <v>2760</v>
      </c>
      <c r="C867" s="1947" t="s">
        <v>2673</v>
      </c>
      <c r="D867" s="1947">
        <v>159.62</v>
      </c>
      <c r="E867" s="1947">
        <v>0</v>
      </c>
      <c r="F867" s="1947">
        <v>159.62</v>
      </c>
      <c r="G867" s="1947"/>
      <c r="H867" s="1949" t="str">
        <f>IFERROR(IF(F867&gt;=VLOOKUP(A867,[1]Materiality!$I$6:$J$12,2,TRUE),IFERROR(IF(VLOOKUP("*CR",F867,1,FALSE)&gt;=0,"",VLOOKUP("*CR",F867,1,FALSE)),F867),""),"")</f>
        <v/>
      </c>
    </row>
    <row r="868" spans="1:8" x14ac:dyDescent="0.25">
      <c r="A868" s="1947" t="s">
        <v>3323</v>
      </c>
      <c r="B868" s="1947" t="s">
        <v>2763</v>
      </c>
      <c r="C868" s="1947" t="s">
        <v>2674</v>
      </c>
      <c r="D868" s="1947">
        <v>25.3</v>
      </c>
      <c r="E868" s="1947">
        <v>0</v>
      </c>
      <c r="F868" s="1947">
        <v>25.3</v>
      </c>
      <c r="G868" s="1947"/>
      <c r="H868" s="1949" t="str">
        <f>IFERROR(IF(F868&gt;=VLOOKUP(A868,[1]Materiality!$I$6:$J$12,2,TRUE),IFERROR(IF(VLOOKUP("*CR",F868,1,FALSE)&gt;=0,"",VLOOKUP("*CR",F868,1,FALSE)),F868),""),"")</f>
        <v/>
      </c>
    </row>
    <row r="869" spans="1:8" x14ac:dyDescent="0.25">
      <c r="A869" s="1947" t="s">
        <v>3323</v>
      </c>
      <c r="B869" s="1947" t="s">
        <v>2761</v>
      </c>
      <c r="C869" s="1947" t="s">
        <v>2675</v>
      </c>
      <c r="D869" s="1947">
        <v>34.44</v>
      </c>
      <c r="E869" s="1947">
        <v>0</v>
      </c>
      <c r="F869" s="1947">
        <v>34.44</v>
      </c>
      <c r="G869" s="1947"/>
      <c r="H869" s="1949" t="str">
        <f>IFERROR(IF(F869&gt;=VLOOKUP(A869,[1]Materiality!$I$6:$J$12,2,TRUE),IFERROR(IF(VLOOKUP("*CR",F869,1,FALSE)&gt;=0,"",VLOOKUP("*CR",F869,1,FALSE)),F869),""),"")</f>
        <v/>
      </c>
    </row>
    <row r="870" spans="1:8" x14ac:dyDescent="0.25">
      <c r="A870" s="1947" t="s">
        <v>3323</v>
      </c>
      <c r="B870" s="1947" t="s">
        <v>2762</v>
      </c>
      <c r="C870" s="1947" t="s">
        <v>2676</v>
      </c>
      <c r="D870" s="1947">
        <v>290.04000000000002</v>
      </c>
      <c r="E870" s="1947">
        <v>0</v>
      </c>
      <c r="F870" s="1947">
        <v>290.04000000000002</v>
      </c>
      <c r="G870" s="1947"/>
      <c r="H870" s="1949" t="str">
        <f>IFERROR(IF(F870&gt;=VLOOKUP(A870,[1]Materiality!$I$6:$J$12,2,TRUE),IFERROR(IF(VLOOKUP("*CR",F870,1,FALSE)&gt;=0,"",VLOOKUP("*CR",F870,1,FALSE)),F870),""),"")</f>
        <v/>
      </c>
    </row>
    <row r="871" spans="1:8" x14ac:dyDescent="0.25">
      <c r="A871" s="1947" t="s">
        <v>3323</v>
      </c>
      <c r="B871" s="1947" t="s">
        <v>2772</v>
      </c>
      <c r="C871" s="1947" t="s">
        <v>2677</v>
      </c>
      <c r="D871" s="1947">
        <v>236.64</v>
      </c>
      <c r="E871" s="1947">
        <v>0</v>
      </c>
      <c r="F871" s="1947">
        <v>236.64</v>
      </c>
      <c r="G871" s="1947"/>
      <c r="H871" s="1949" t="str">
        <f>IFERROR(IF(F871&gt;=VLOOKUP(A871,[1]Materiality!$I$6:$J$12,2,TRUE),IFERROR(IF(VLOOKUP("*CR",F871,1,FALSE)&gt;=0,"",VLOOKUP("*CR",F871,1,FALSE)),F871),""),"")</f>
        <v/>
      </c>
    </row>
    <row r="872" spans="1:8" x14ac:dyDescent="0.25">
      <c r="A872" s="1947" t="s">
        <v>3323</v>
      </c>
      <c r="B872" s="1947" t="s">
        <v>2771</v>
      </c>
      <c r="C872" s="1947" t="s">
        <v>2678</v>
      </c>
      <c r="D872" s="1947">
        <v>65.22</v>
      </c>
      <c r="E872" s="1947">
        <v>0</v>
      </c>
      <c r="F872" s="1947">
        <v>65.22</v>
      </c>
      <c r="G872" s="1947"/>
      <c r="H872" s="1949" t="str">
        <f>IFERROR(IF(F872&gt;=VLOOKUP(A872,[1]Materiality!$I$6:$J$12,2,TRUE),IFERROR(IF(VLOOKUP("*CR",F872,1,FALSE)&gt;=0,"",VLOOKUP("*CR",F872,1,FALSE)),F872),""),"")</f>
        <v/>
      </c>
    </row>
    <row r="873" spans="1:8" x14ac:dyDescent="0.25">
      <c r="A873" s="1947" t="s">
        <v>3323</v>
      </c>
      <c r="B873" s="1947" t="s">
        <v>2752</v>
      </c>
      <c r="C873" s="1947" t="s">
        <v>2679</v>
      </c>
      <c r="D873" s="1947">
        <v>26.64</v>
      </c>
      <c r="E873" s="1947">
        <v>0</v>
      </c>
      <c r="F873" s="1947">
        <v>26.64</v>
      </c>
      <c r="G873" s="1947"/>
      <c r="H873" s="1949" t="str">
        <f>IFERROR(IF(F873&gt;=VLOOKUP(A873,[1]Materiality!$I$6:$J$12,2,TRUE),IFERROR(IF(VLOOKUP("*CR",F873,1,FALSE)&gt;=0,"",VLOOKUP("*CR",F873,1,FALSE)),F873),""),"")</f>
        <v/>
      </c>
    </row>
    <row r="874" spans="1:8" x14ac:dyDescent="0.25">
      <c r="A874" s="1947" t="s">
        <v>3324</v>
      </c>
      <c r="B874" s="1947" t="s">
        <v>2842</v>
      </c>
      <c r="C874" s="1947" t="s">
        <v>2627</v>
      </c>
      <c r="D874" s="1948">
        <v>7647.25</v>
      </c>
      <c r="E874" s="1947">
        <v>0</v>
      </c>
      <c r="F874" s="1948">
        <v>7647.25</v>
      </c>
      <c r="G874" s="1947"/>
      <c r="H874" s="1949" t="str">
        <f>IFERROR(IF(F874&gt;=VLOOKUP(A874,[1]Materiality!$I$6:$J$12,2,TRUE),IFERROR(IF(VLOOKUP("*CR",F874,1,FALSE)&gt;=0,"",VLOOKUP("*CR",F874,1,FALSE)),F874),""),"")</f>
        <v/>
      </c>
    </row>
    <row r="875" spans="1:8" x14ac:dyDescent="0.25">
      <c r="A875" s="1947" t="s">
        <v>3325</v>
      </c>
      <c r="B875" s="1947" t="s">
        <v>2698</v>
      </c>
      <c r="C875" s="1947" t="s">
        <v>2680</v>
      </c>
      <c r="D875" s="1948">
        <v>42800.49</v>
      </c>
      <c r="E875" s="1947">
        <v>0</v>
      </c>
      <c r="F875" s="1948">
        <v>42800.49</v>
      </c>
      <c r="G875" s="1947"/>
      <c r="H875" s="1949">
        <f>IFERROR(IF(F875&gt;=VLOOKUP(A875,[1]Materiality!$I$6:$J$12,2,TRUE),IFERROR(IF(VLOOKUP("*CR",F875,1,FALSE)&gt;=0,"",VLOOKUP("*CR",F875,1,FALSE)),F875),""),"")</f>
        <v>42800.49</v>
      </c>
    </row>
    <row r="876" spans="1:8" x14ac:dyDescent="0.25">
      <c r="A876" s="1947" t="s">
        <v>3403</v>
      </c>
      <c r="B876" s="1947" t="s">
        <v>2842</v>
      </c>
      <c r="C876" s="1947" t="s">
        <v>2681</v>
      </c>
      <c r="D876" s="1948">
        <v>19801.45</v>
      </c>
      <c r="E876" s="1947">
        <v>0</v>
      </c>
      <c r="F876" s="1948">
        <v>19801.45</v>
      </c>
      <c r="G876" s="1947"/>
      <c r="H876" s="1949" t="str">
        <f>IFERROR(IF(F876&gt;=VLOOKUP(A876,[1]Materiality!$I$6:$J$12,2,TRUE),IFERROR(IF(VLOOKUP("*CR",F876,1,FALSE)&gt;=0,"",VLOOKUP("*CR",F876,1,FALSE)),F876),""),"")</f>
        <v/>
      </c>
    </row>
    <row r="877" spans="1:8" x14ac:dyDescent="0.25">
      <c r="A877" s="1947" t="s">
        <v>3404</v>
      </c>
      <c r="B877" s="1947" t="s">
        <v>2842</v>
      </c>
      <c r="C877" s="1947" t="s">
        <v>2682</v>
      </c>
      <c r="D877" s="1948">
        <v>16430.59</v>
      </c>
      <c r="E877" s="1947">
        <v>0</v>
      </c>
      <c r="F877" s="1948">
        <v>16430.59</v>
      </c>
      <c r="G877" s="1947"/>
      <c r="H877" s="1949" t="str">
        <f>IFERROR(IF(F877&gt;=VLOOKUP(A877,[1]Materiality!$I$6:$J$12,2,TRUE),IFERROR(IF(VLOOKUP("*CR",F877,1,FALSE)&gt;=0,"",VLOOKUP("*CR",F877,1,FALSE)),F877),""),"")</f>
        <v/>
      </c>
    </row>
    <row r="878" spans="1:8" x14ac:dyDescent="0.25">
      <c r="A878" s="1947" t="s">
        <v>3326</v>
      </c>
      <c r="B878" s="1947" t="s">
        <v>2842</v>
      </c>
      <c r="C878" s="1947" t="s">
        <v>2683</v>
      </c>
      <c r="D878" s="1948">
        <v>74853</v>
      </c>
      <c r="E878" s="1947">
        <v>0</v>
      </c>
      <c r="F878" s="1948">
        <v>74853</v>
      </c>
      <c r="G878" s="1947"/>
      <c r="H878" s="1949">
        <f>IFERROR(IF(F878&gt;=VLOOKUP(A878,[1]Materiality!$I$6:$J$12,2,TRUE),IFERROR(IF(VLOOKUP("*CR",F878,1,FALSE)&gt;=0,"",VLOOKUP("*CR",F878,1,FALSE)),F878),""),"")</f>
        <v>74853</v>
      </c>
    </row>
    <row r="879" spans="1:8" x14ac:dyDescent="0.25">
      <c r="A879" s="1947" t="s">
        <v>1038</v>
      </c>
      <c r="B879" s="1947"/>
      <c r="C879" s="1947"/>
      <c r="D879" s="1947"/>
      <c r="E879" s="1947"/>
      <c r="F879" s="1947"/>
      <c r="G879" s="1947"/>
      <c r="H879" s="1949" t="str">
        <f>IFERROR(IF(F879&gt;=VLOOKUP(A879,[1]Materiality!$I$6:$J$12,2,TRUE),IFERROR(IF(VLOOKUP("*CR",F879,1,FALSE)&gt;=0,"",VLOOKUP("*CR",F879,1,FALSE)),F879),""),"")</f>
        <v/>
      </c>
    </row>
    <row r="880" spans="1:8" x14ac:dyDescent="0.25">
      <c r="A880" s="1952" t="s">
        <v>2852</v>
      </c>
      <c r="B880" s="1952" t="s">
        <v>2844</v>
      </c>
      <c r="C880" s="1947" t="s">
        <v>2684</v>
      </c>
      <c r="D880" s="1948">
        <v>626167.66</v>
      </c>
      <c r="E880" s="1948">
        <v>53942.13</v>
      </c>
      <c r="F880" s="1948">
        <v>572225.53</v>
      </c>
      <c r="G880" s="1947"/>
      <c r="H880" s="1949" t="str">
        <f>IFERROR(IF(F880&gt;=VLOOKUP(A880,[1]Materiality!$I$6:$J$12,2,TRUE),IFERROR(IF(VLOOKUP("*CR",F880,1,FALSE)&gt;=0,"",VLOOKUP("*CR",F880,1,FALSE)),F880),""),"")</f>
        <v/>
      </c>
    </row>
    <row r="881" spans="1:8" x14ac:dyDescent="0.25">
      <c r="A881" s="1947" t="s">
        <v>1038</v>
      </c>
      <c r="B881" s="1947"/>
      <c r="C881" s="1947"/>
      <c r="D881" s="1947"/>
      <c r="E881" s="1947"/>
      <c r="F881" s="1947"/>
      <c r="G881" s="1947"/>
      <c r="H881" s="1949" t="str">
        <f>IFERROR(IF(F881&gt;=VLOOKUP(A881,[1]Materiality!$I$6:$J$12,2,TRUE),IFERROR(IF(VLOOKUP("*CR",F881,1,FALSE)&gt;=0,"",VLOOKUP("*CR",F881,1,FALSE)),F881),""),"")</f>
        <v/>
      </c>
    </row>
    <row r="882" spans="1:8" x14ac:dyDescent="0.25">
      <c r="A882" s="1952" t="s">
        <v>2852</v>
      </c>
      <c r="B882" s="1952" t="s">
        <v>2845</v>
      </c>
      <c r="C882" s="1947" t="s">
        <v>2685</v>
      </c>
      <c r="D882" s="1948">
        <v>626167.66</v>
      </c>
      <c r="E882" s="1948">
        <v>715484.64</v>
      </c>
      <c r="F882" s="1948">
        <v>89316.98</v>
      </c>
      <c r="G882" s="1947"/>
      <c r="H882" s="1949" t="str">
        <f>IFERROR(IF(F882&gt;=VLOOKUP(A882,[1]Materiality!$I$6:$J$12,2,TRUE),IFERROR(IF(VLOOKUP("*CR",F882,1,FALSE)&gt;=0,"",VLOOKUP("*CR",F882,1,FALSE)),F882),""),"")</f>
        <v/>
      </c>
    </row>
    <row r="883" spans="1:8" x14ac:dyDescent="0.25">
      <c r="A883" s="1947" t="s">
        <v>1038</v>
      </c>
      <c r="B883" s="1947"/>
      <c r="C883" s="1947"/>
      <c r="D883" s="1947"/>
      <c r="E883" s="1947"/>
      <c r="F883" s="1947"/>
      <c r="G883" s="1947"/>
      <c r="H883" s="1949" t="str">
        <f>IFERROR(IF(F883&gt;=VLOOKUP(A883,[1]Materiality!$I$6:$J$12,2,TRUE),IFERROR(IF(VLOOKUP("*CR",F883,1,FALSE)&gt;=0,"",VLOOKUP("*CR",F883,1,FALSE)),F883),""),"")</f>
        <v/>
      </c>
    </row>
    <row r="884" spans="1:8" x14ac:dyDescent="0.25">
      <c r="A884" s="1947" t="s">
        <v>1038</v>
      </c>
      <c r="B884" s="1947"/>
      <c r="C884" s="1947"/>
      <c r="D884" s="1947"/>
      <c r="E884" s="1947"/>
      <c r="F884" s="1947"/>
      <c r="G884" s="1947"/>
      <c r="H884" s="1949" t="str">
        <f>IFERROR(IF(F884&gt;=VLOOKUP(A884,[1]Materiality!$I$6:$J$12,2,TRUE),IFERROR(IF(VLOOKUP("*CR",F884,1,FALSE)&gt;=0,"",VLOOKUP("*CR",F884,1,FALSE)),F884),""),"")</f>
        <v/>
      </c>
    </row>
    <row r="885" spans="1:8" x14ac:dyDescent="0.25">
      <c r="A885" s="1952" t="s">
        <v>2853</v>
      </c>
      <c r="B885" s="1952" t="s">
        <v>2783</v>
      </c>
      <c r="C885" s="1947" t="s">
        <v>2462</v>
      </c>
      <c r="D885" s="1948">
        <v>3476139.16</v>
      </c>
      <c r="E885" s="1948">
        <v>3476139.16</v>
      </c>
      <c r="F885" s="1947">
        <v>0</v>
      </c>
      <c r="G885" s="1947">
        <v>0</v>
      </c>
      <c r="H885" s="1949" t="str">
        <f>IFERROR(IF(F885&gt;=VLOOKUP(A885,[1]Materiality!$I$6:$J$12,2,TRUE),IFERROR(IF(VLOOKUP("*CR",F885,1,FALSE)&gt;=0,"",VLOOKUP("*CR",F885,1,FALSE)),F885),""),"")</f>
        <v/>
      </c>
    </row>
    <row r="886" spans="1:8" x14ac:dyDescent="0.25">
      <c r="A886" s="1952" t="s">
        <v>2853</v>
      </c>
      <c r="B886" s="1952" t="s">
        <v>2784</v>
      </c>
      <c r="C886" s="1947" t="s">
        <v>2685</v>
      </c>
      <c r="D886" s="1948">
        <v>626167.66</v>
      </c>
      <c r="E886" s="1948">
        <v>715484.64</v>
      </c>
      <c r="F886" s="1948">
        <v>89316.98</v>
      </c>
      <c r="G886" s="1947"/>
      <c r="H886" s="1949" t="str">
        <f>IFERROR(IF(F886&gt;=VLOOKUP(A886,[1]Materiality!$I$6:$J$12,2,TRUE),IFERROR(IF(VLOOKUP("*CR",F886,1,FALSE)&gt;=0,"",VLOOKUP("*CR",F886,1,FALSE)),F886),""),"")</f>
        <v/>
      </c>
    </row>
    <row r="887" spans="1:8" x14ac:dyDescent="0.25">
      <c r="A887" s="1951" t="s">
        <v>1038</v>
      </c>
      <c r="H887" s="1949" t="str">
        <f>IFERROR(IF(F887&gt;=VLOOKUP(A887,[1]Materiality!$I$6:$J$12,2,TRUE),IFERROR(IF(VLOOKUP("*CR",F887,1,FALSE)&gt;=0,"",VLOOKUP("*CR",F887,1,FALSE)),F887),""),"")</f>
        <v/>
      </c>
    </row>
    <row r="888" spans="1:8" x14ac:dyDescent="0.25">
      <c r="A888" s="1947" t="s">
        <v>3327</v>
      </c>
      <c r="B888" s="1947" t="s">
        <v>2698</v>
      </c>
      <c r="C888" s="1947" t="s">
        <v>2686</v>
      </c>
      <c r="D888" s="1948">
        <v>2079601.64</v>
      </c>
      <c r="E888" s="1948">
        <v>306918.98</v>
      </c>
      <c r="F888" s="1948">
        <v>1772682.66</v>
      </c>
      <c r="G888" s="1948">
        <v>1796768.84</v>
      </c>
      <c r="H888" s="1949">
        <f>IFERROR(IF(F888&gt;=VLOOKUP(A888,[1]Materiality!$I$6:$J$12,2,TRUE),IFERROR(IF(VLOOKUP("*CR",F888,1,FALSE)&gt;=0,"",VLOOKUP("*CR",F888,1,FALSE)),F888),""),"")</f>
        <v>1772682.66</v>
      </c>
    </row>
    <row r="889" spans="1:8" x14ac:dyDescent="0.25">
      <c r="A889" s="1947" t="s">
        <v>3328</v>
      </c>
      <c r="B889" s="1947" t="s">
        <v>2698</v>
      </c>
      <c r="C889" s="1947" t="s">
        <v>2687</v>
      </c>
      <c r="D889" s="1948">
        <v>3137180.05</v>
      </c>
      <c r="E889" s="1948">
        <v>1800775</v>
      </c>
      <c r="F889" s="1948">
        <v>1336405.05</v>
      </c>
      <c r="G889" s="1948">
        <v>2186463.23</v>
      </c>
      <c r="H889" s="1949">
        <f>IFERROR(IF(F889&gt;=VLOOKUP(A889,[1]Materiality!$I$6:$J$12,2,TRUE),IFERROR(IF(VLOOKUP("*CR",F889,1,FALSE)&gt;=0,"",VLOOKUP("*CR",F889,1,FALSE)),F889),""),"")</f>
        <v>1336405.05</v>
      </c>
    </row>
    <row r="890" spans="1:8" x14ac:dyDescent="0.25">
      <c r="A890" s="1947" t="s">
        <v>3329</v>
      </c>
      <c r="B890" s="1947" t="s">
        <v>2698</v>
      </c>
      <c r="C890" s="1947" t="s">
        <v>2688</v>
      </c>
      <c r="D890" s="1948">
        <v>306918.98</v>
      </c>
      <c r="E890" s="1948">
        <v>306918.98</v>
      </c>
      <c r="F890" s="1947">
        <v>0</v>
      </c>
      <c r="G890" s="1947">
        <v>0</v>
      </c>
      <c r="H890" s="1949" t="str">
        <f>IFERROR(IF(F890&gt;=VLOOKUP(A890,[1]Materiality!$I$6:$J$12,2,TRUE),IFERROR(IF(VLOOKUP("*CR",F890,1,FALSE)&gt;=0,"",VLOOKUP("*CR",F890,1,FALSE)),F890),""),"")</f>
        <v/>
      </c>
    </row>
    <row r="891" spans="1:8" x14ac:dyDescent="0.25">
      <c r="A891" s="1947" t="s">
        <v>2864</v>
      </c>
      <c r="B891" s="1947" t="s">
        <v>2699</v>
      </c>
      <c r="C891" s="1947" t="s">
        <v>2689</v>
      </c>
      <c r="D891" s="1948">
        <v>5500</v>
      </c>
      <c r="E891" s="1948">
        <v>5500</v>
      </c>
      <c r="F891" s="1947">
        <v>0</v>
      </c>
      <c r="G891" s="1947">
        <v>0</v>
      </c>
      <c r="H891" s="1949" t="str">
        <f>IFERROR(IF(F891&gt;=VLOOKUP(A891,[1]Materiality!$I$6:$J$12,2,TRUE),IFERROR(IF(VLOOKUP("*CR",F891,1,FALSE)&gt;=0,"",VLOOKUP("*CR",F891,1,FALSE)),F891),""),"")</f>
        <v/>
      </c>
    </row>
    <row r="892" spans="1:8" x14ac:dyDescent="0.25">
      <c r="A892" s="1947" t="s">
        <v>2865</v>
      </c>
      <c r="B892" s="1947" t="s">
        <v>2699</v>
      </c>
      <c r="C892" s="1947" t="s">
        <v>2690</v>
      </c>
      <c r="D892" s="1948">
        <v>344693.98</v>
      </c>
      <c r="E892" s="1948">
        <v>3453781.69</v>
      </c>
      <c r="F892" s="1948">
        <v>3109087.71</v>
      </c>
      <c r="G892" s="1947" t="s">
        <v>2691</v>
      </c>
      <c r="H892" s="1949">
        <f>IFERROR(IF(F892&gt;=VLOOKUP(A892,[1]Materiality!$I$6:$J$12,2,TRUE),IFERROR(IF(VLOOKUP("*CR",F892,1,FALSE)&gt;=0,"",VLOOKUP("*CR",F892,1,FALSE)),F892),""),"")</f>
        <v>3109087.71</v>
      </c>
    </row>
    <row r="893" spans="1:8" x14ac:dyDescent="0.25">
      <c r="A893" s="1947" t="s">
        <v>1038</v>
      </c>
      <c r="B893" s="1947"/>
      <c r="C893" s="1947"/>
      <c r="D893" s="1947"/>
      <c r="E893" s="1947"/>
      <c r="F893" s="1947"/>
      <c r="G893" s="1947"/>
      <c r="H893" s="1949" t="str">
        <f>IFERROR(IF(F893&gt;=VLOOKUP(A893,[1]Materiality!$I$6:$J$12,2,TRUE),IFERROR(IF(VLOOKUP("*CR",F893,1,FALSE)&gt;=0,"",VLOOKUP("*CR",F893,1,FALSE)),F893),""),"")</f>
        <v/>
      </c>
    </row>
    <row r="894" spans="1:8" x14ac:dyDescent="0.25">
      <c r="A894" s="1952" t="s">
        <v>2852</v>
      </c>
      <c r="B894" s="1952" t="s">
        <v>2846</v>
      </c>
      <c r="C894" s="1947" t="s">
        <v>2491</v>
      </c>
      <c r="D894" s="1948">
        <v>5873894.6500000004</v>
      </c>
      <c r="E894" s="1948">
        <v>5873894.6500000004</v>
      </c>
      <c r="F894" s="1947">
        <v>0</v>
      </c>
      <c r="G894" s="1947">
        <v>0</v>
      </c>
      <c r="H894" s="1949" t="str">
        <f>IFERROR(IF(F894&gt;=VLOOKUP(A894,[1]Materiality!$I$6:$J$12,2,TRUE),IFERROR(IF(VLOOKUP("*CR",F894,1,FALSE)&gt;=0,"",VLOOKUP("*CR",F894,1,FALSE)),F894),""),"")</f>
        <v/>
      </c>
    </row>
    <row r="895" spans="1:8" x14ac:dyDescent="0.25">
      <c r="A895" s="1947" t="s">
        <v>1038</v>
      </c>
      <c r="B895" s="1947"/>
      <c r="C895" s="1947"/>
      <c r="D895" s="1947"/>
      <c r="E895" s="1947"/>
      <c r="F895" s="1947"/>
      <c r="G895" s="1947"/>
      <c r="H895" s="1949" t="str">
        <f>IFERROR(IF(F895&gt;=VLOOKUP(A895,[1]Materiality!$I$6:$J$12,2,TRUE),IFERROR(IF(VLOOKUP("*CR",F895,1,FALSE)&gt;=0,"",VLOOKUP("*CR",F895,1,FALSE)),F895),""),"")</f>
        <v/>
      </c>
    </row>
    <row r="896" spans="1:8" x14ac:dyDescent="0.25">
      <c r="A896" s="1947" t="s">
        <v>3330</v>
      </c>
      <c r="B896" s="1947" t="s">
        <v>2698</v>
      </c>
      <c r="C896" s="1947" t="s">
        <v>2692</v>
      </c>
      <c r="D896" s="1947">
        <v>0</v>
      </c>
      <c r="E896" s="1948">
        <v>278858.8</v>
      </c>
      <c r="F896" s="1948">
        <v>278858.8</v>
      </c>
      <c r="G896" s="1947"/>
      <c r="H896" s="1949">
        <f>IFERROR(IF(F896&gt;=VLOOKUP(A896,[1]Materiality!$I$6:$J$12,2,TRUE),IFERROR(IF(VLOOKUP("*CR",F896,1,FALSE)&gt;=0,"",VLOOKUP("*CR",F896,1,FALSE)),F896),""),"")</f>
        <v>278858.8</v>
      </c>
    </row>
    <row r="897" spans="1:8" x14ac:dyDescent="0.25">
      <c r="A897" s="1947" t="s">
        <v>3331</v>
      </c>
      <c r="B897" s="1947" t="s">
        <v>2698</v>
      </c>
      <c r="C897" s="1947" t="s">
        <v>2692</v>
      </c>
      <c r="D897" s="1947">
        <v>0</v>
      </c>
      <c r="E897" s="1948">
        <v>21652.639999999999</v>
      </c>
      <c r="F897" s="1948">
        <f>21652.64</f>
        <v>21652.639999999999</v>
      </c>
      <c r="G897" s="1947"/>
      <c r="H897" s="1949">
        <f>IFERROR(IF(F897&gt;=VLOOKUP(A897,[1]Materiality!$I$6:$J$12,2,TRUE),IFERROR(IF(VLOOKUP("*CR",F897,1,FALSE)&gt;=0,"",VLOOKUP("*CR",F897,1,FALSE)),F897),""),"")</f>
        <v>21652.639999999999</v>
      </c>
    </row>
    <row r="898" spans="1:8" x14ac:dyDescent="0.25">
      <c r="A898" s="1947" t="s">
        <v>3332</v>
      </c>
      <c r="B898" s="1947" t="s">
        <v>2698</v>
      </c>
      <c r="C898" s="1947" t="s">
        <v>2692</v>
      </c>
      <c r="D898" s="1947">
        <v>0</v>
      </c>
      <c r="E898" s="1948">
        <v>3100000</v>
      </c>
      <c r="F898" s="1948">
        <v>3100000</v>
      </c>
      <c r="G898" s="1947"/>
      <c r="H898" s="1949">
        <f>IFERROR(IF(F898&gt;=VLOOKUP(A898,[1]Materiality!$I$6:$J$12,2,TRUE),IFERROR(IF(VLOOKUP("*CR",F898,1,FALSE)&gt;=0,"",VLOOKUP("*CR",F898,1,FALSE)),F898),""),"")</f>
        <v>3100000</v>
      </c>
    </row>
    <row r="899" spans="1:8" x14ac:dyDescent="0.25">
      <c r="A899" s="1947" t="s">
        <v>3333</v>
      </c>
      <c r="B899" s="1947" t="s">
        <v>2698</v>
      </c>
      <c r="C899" s="1947" t="s">
        <v>2692</v>
      </c>
      <c r="D899" s="1947">
        <v>0</v>
      </c>
      <c r="E899" s="1948">
        <v>47770.25</v>
      </c>
      <c r="F899" s="1948">
        <v>47770.25</v>
      </c>
      <c r="G899" s="1947"/>
      <c r="H899" s="1949">
        <f>IFERROR(IF(F899&gt;=VLOOKUP(A899,[1]Materiality!$I$6:$J$12,2,TRUE),IFERROR(IF(VLOOKUP("*CR",F899,1,FALSE)&gt;=0,"",VLOOKUP("*CR",F899,1,FALSE)),F899),""),"")</f>
        <v>47770.25</v>
      </c>
    </row>
    <row r="900" spans="1:8" x14ac:dyDescent="0.25">
      <c r="A900" s="1947" t="s">
        <v>1038</v>
      </c>
      <c r="B900" s="1947"/>
      <c r="C900" s="1947"/>
      <c r="D900" s="1947"/>
      <c r="E900" s="1947"/>
      <c r="F900" s="1947"/>
      <c r="G900" s="1947"/>
      <c r="H900" s="1949" t="str">
        <f>IFERROR(IF(F900&gt;=VLOOKUP(A900,[1]Materiality!$I$6:$J$12,2,TRUE),IFERROR(IF(VLOOKUP("*CR",F900,1,FALSE)&gt;=0,"",VLOOKUP("*CR",F900,1,FALSE)),F900),""),"")</f>
        <v/>
      </c>
    </row>
    <row r="901" spans="1:8" x14ac:dyDescent="0.25">
      <c r="A901" s="1952" t="s">
        <v>2852</v>
      </c>
      <c r="B901" s="1952" t="s">
        <v>2847</v>
      </c>
      <c r="C901" s="1947" t="s">
        <v>2489</v>
      </c>
      <c r="D901" s="1947">
        <v>0</v>
      </c>
      <c r="E901" s="1948">
        <v>3448281.69</v>
      </c>
      <c r="F901" s="1948">
        <v>3448281.69</v>
      </c>
      <c r="G901" s="1947"/>
      <c r="H901" s="1949" t="str">
        <f>IFERROR(IF(F901&gt;=VLOOKUP(A901,[1]Materiality!$I$6:$J$12,2,TRUE),IFERROR(IF(VLOOKUP("*CR",F901,1,FALSE)&gt;=0,"",VLOOKUP("*CR",F901,1,FALSE)),F901),""),"")</f>
        <v/>
      </c>
    </row>
    <row r="902" spans="1:8" x14ac:dyDescent="0.25">
      <c r="A902" s="1947" t="s">
        <v>1038</v>
      </c>
      <c r="B902" s="1947"/>
      <c r="C902" s="1947"/>
      <c r="D902" s="1947"/>
      <c r="E902" s="1947"/>
      <c r="F902" s="1947"/>
      <c r="G902" s="1947"/>
      <c r="H902" s="1949" t="str">
        <f>IFERROR(IF(F902&gt;=VLOOKUP(A902,[1]Materiality!$I$6:$J$12,2,TRUE),IFERROR(IF(VLOOKUP("*CR",F902,1,FALSE)&gt;=0,"",VLOOKUP("*CR",F902,1,FALSE)),F902),""),"")</f>
        <v/>
      </c>
    </row>
    <row r="903" spans="1:8" x14ac:dyDescent="0.25">
      <c r="A903" s="1947" t="s">
        <v>3334</v>
      </c>
      <c r="B903" s="1947" t="s">
        <v>2698</v>
      </c>
      <c r="C903" s="1947" t="s">
        <v>2693</v>
      </c>
      <c r="D903" s="1948">
        <v>166046.29999999999</v>
      </c>
      <c r="E903" s="1947">
        <v>0</v>
      </c>
      <c r="F903" s="1948">
        <v>166046.29999999999</v>
      </c>
      <c r="G903" s="1947"/>
      <c r="H903" s="1949">
        <f>IFERROR(IF(F903&gt;=VLOOKUP(A903,[1]Materiality!$I$6:$J$12,2,TRUE),IFERROR(IF(VLOOKUP("*CR",F903,1,FALSE)&gt;=0,"",VLOOKUP("*CR",F903,1,FALSE)),F903),""),"")</f>
        <v>166046.29999999999</v>
      </c>
    </row>
    <row r="904" spans="1:8" x14ac:dyDescent="0.25">
      <c r="A904" s="1947" t="s">
        <v>3335</v>
      </c>
      <c r="B904" s="1947" t="s">
        <v>2698</v>
      </c>
      <c r="C904" s="1947" t="s">
        <v>2694</v>
      </c>
      <c r="D904" s="1948">
        <v>133774.78</v>
      </c>
      <c r="E904" s="1947">
        <v>0</v>
      </c>
      <c r="F904" s="1948">
        <v>133774.78</v>
      </c>
      <c r="G904" s="1947"/>
      <c r="H904" s="1949">
        <f>IFERROR(IF(F904&gt;=VLOOKUP(A904,[1]Materiality!$I$6:$J$12,2,TRUE),IFERROR(IF(VLOOKUP("*CR",F904,1,FALSE)&gt;=0,"",VLOOKUP("*CR",F904,1,FALSE)),F904),""),"")</f>
        <v>133774.78</v>
      </c>
    </row>
    <row r="905" spans="1:8" x14ac:dyDescent="0.25">
      <c r="A905" s="1947" t="s">
        <v>3336</v>
      </c>
      <c r="B905" s="1947" t="s">
        <v>2698</v>
      </c>
      <c r="C905" s="1947" t="s">
        <v>2695</v>
      </c>
      <c r="D905" s="1948">
        <v>7097.9</v>
      </c>
      <c r="E905" s="1947">
        <v>0</v>
      </c>
      <c r="F905" s="1948">
        <v>7097.9</v>
      </c>
      <c r="G905" s="1947"/>
      <c r="H905" s="1949" t="str">
        <f>IFERROR(IF(F905&gt;=VLOOKUP(A905,[1]Materiality!$I$6:$J$12,2,TRUE),IFERROR(IF(VLOOKUP("*CR",F905,1,FALSE)&gt;=0,"",VLOOKUP("*CR",F905,1,FALSE)),F905),""),"")</f>
        <v/>
      </c>
    </row>
    <row r="906" spans="1:8" x14ac:dyDescent="0.25">
      <c r="A906" s="1947" t="s">
        <v>3337</v>
      </c>
      <c r="B906" s="1947" t="s">
        <v>2698</v>
      </c>
      <c r="C906" s="1947" t="s">
        <v>2696</v>
      </c>
      <c r="D906" s="1948">
        <v>32275</v>
      </c>
      <c r="E906" s="1947">
        <v>0</v>
      </c>
      <c r="F906" s="1948">
        <v>32275</v>
      </c>
      <c r="G906" s="1947"/>
      <c r="H906" s="1949">
        <f>IFERROR(IF(F906&gt;=VLOOKUP(A906,[1]Materiality!$I$6:$J$12,2,TRUE),IFERROR(IF(VLOOKUP("*CR",F906,1,FALSE)&gt;=0,"",VLOOKUP("*CR",F906,1,FALSE)),F906),""),"")</f>
        <v>32275</v>
      </c>
    </row>
    <row r="907" spans="1:8" x14ac:dyDescent="0.25">
      <c r="A907" s="1947" t="s">
        <v>1038</v>
      </c>
      <c r="B907" s="1947"/>
      <c r="C907" s="1947"/>
      <c r="D907" s="1947"/>
      <c r="E907" s="1947"/>
      <c r="F907" s="1947"/>
      <c r="G907" s="1947"/>
      <c r="H907" s="1949" t="str">
        <f>IFERROR(IF(F907&gt;=VLOOKUP(A907,[1]Materiality!$I$6:$J$12,2,TRUE),IFERROR(IF(VLOOKUP("*CR",F907,1,FALSE)&gt;=0,"",VLOOKUP("*CR",F907,1,FALSE)),F907),""),"")</f>
        <v/>
      </c>
    </row>
    <row r="908" spans="1:8" x14ac:dyDescent="0.25">
      <c r="A908" s="1952" t="s">
        <v>2852</v>
      </c>
      <c r="B908" s="1952" t="s">
        <v>2848</v>
      </c>
      <c r="C908" s="1947" t="s">
        <v>2489</v>
      </c>
      <c r="D908" s="1948">
        <v>339193.98</v>
      </c>
      <c r="E908" s="1947">
        <v>0</v>
      </c>
      <c r="F908" s="1948">
        <v>339193.98</v>
      </c>
      <c r="G908" s="1947"/>
      <c r="H908" s="1949" t="str">
        <f>IFERROR(IF(F908&gt;=VLOOKUP(A908,[1]Materiality!$I$6:$J$12,2,TRUE),IFERROR(IF(VLOOKUP("*CR",F908,1,FALSE)&gt;=0,"",VLOOKUP("*CR",F908,1,FALSE)),F908),""),"")</f>
        <v/>
      </c>
    </row>
    <row r="909" spans="1:8" x14ac:dyDescent="0.25">
      <c r="A909" s="1947" t="s">
        <v>1038</v>
      </c>
      <c r="B909" s="1947"/>
      <c r="C909" s="1947"/>
      <c r="D909" s="1947"/>
      <c r="E909" s="1947"/>
      <c r="F909" s="1947"/>
      <c r="G909" s="1947"/>
      <c r="H909" s="1949" t="str">
        <f>IFERROR(IF(F909&gt;=VLOOKUP(A909,[1]Materiality!$I$6:$J$12,2,TRUE),IFERROR(IF(VLOOKUP("*CR",F909,1,FALSE)&gt;=0,"",VLOOKUP("*CR",F909,1,FALSE)),F909),""),"")</f>
        <v/>
      </c>
    </row>
    <row r="910" spans="1:8" x14ac:dyDescent="0.25">
      <c r="A910" s="1952" t="s">
        <v>2852</v>
      </c>
      <c r="B910" s="1952" t="s">
        <v>2849</v>
      </c>
      <c r="C910" s="1947" t="s">
        <v>2697</v>
      </c>
      <c r="D910" s="1948">
        <v>339193.98</v>
      </c>
      <c r="E910" s="1948">
        <v>3448281.69</v>
      </c>
      <c r="F910" s="1948">
        <v>3109087.71</v>
      </c>
      <c r="G910" s="1947"/>
      <c r="H910" s="1949" t="str">
        <f>IFERROR(IF(F910&gt;=VLOOKUP(A910,[1]Materiality!$I$6:$J$12,2,TRUE),IFERROR(IF(VLOOKUP("*CR",F910,1,FALSE)&gt;=0,"",VLOOKUP("*CR",F910,1,FALSE)),F910),""),"")</f>
        <v/>
      </c>
    </row>
    <row r="911" spans="1:8" x14ac:dyDescent="0.25">
      <c r="A911" s="1947" t="s">
        <v>1038</v>
      </c>
      <c r="B911" s="1947"/>
      <c r="C911" s="1947"/>
      <c r="D911" s="1947"/>
      <c r="E911" s="1947"/>
      <c r="F911" s="1947"/>
      <c r="G911" s="1947"/>
      <c r="H911" s="1949" t="str">
        <f>IFERROR(IF(F911&gt;=VLOOKUP(A911,[1]Materiality!$I$6:$J$12,2,TRUE),IFERROR(IF(VLOOKUP("*CR",F911,1,FALSE)&gt;=0,"",VLOOKUP("*CR",F911,1,FALSE)),F911),""),"")</f>
        <v/>
      </c>
    </row>
    <row r="912" spans="1:8" x14ac:dyDescent="0.25">
      <c r="A912" s="1947" t="s">
        <v>1038</v>
      </c>
      <c r="B912" s="1947"/>
      <c r="C912" s="1947"/>
      <c r="D912" s="1947"/>
      <c r="E912" s="1947"/>
      <c r="F912" s="1947"/>
      <c r="G912" s="1947"/>
      <c r="H912" s="1949" t="str">
        <f>IFERROR(IF(F912&gt;=VLOOKUP(A912,[1]Materiality!$I$6:$J$12,2,TRUE),IFERROR(IF(VLOOKUP("*CR",F912,1,FALSE)&gt;=0,"",VLOOKUP("*CR",F912,1,FALSE)),F912),""),"")</f>
        <v/>
      </c>
    </row>
    <row r="913" spans="1:8" x14ac:dyDescent="0.25">
      <c r="A913" s="1952" t="s">
        <v>2853</v>
      </c>
      <c r="B913" s="1952" t="s">
        <v>2783</v>
      </c>
      <c r="C913" s="1947" t="s">
        <v>2491</v>
      </c>
      <c r="D913" s="1948">
        <v>5873894.6500000004</v>
      </c>
      <c r="E913" s="1948">
        <v>5873894.6500000004</v>
      </c>
      <c r="F913" s="1947">
        <v>0</v>
      </c>
      <c r="G913" s="1947">
        <v>0</v>
      </c>
      <c r="H913" s="1949" t="str">
        <f>IFERROR(IF(F913&gt;=VLOOKUP(A913,[1]Materiality!$I$6:$J$12,2,TRUE),IFERROR(IF(VLOOKUP("*CR",F913,1,FALSE)&gt;=0,"",VLOOKUP("*CR",F913,1,FALSE)),F913),""),"")</f>
        <v/>
      </c>
    </row>
    <row r="914" spans="1:8" x14ac:dyDescent="0.25">
      <c r="A914" s="1952" t="s">
        <v>2853</v>
      </c>
      <c r="B914" s="1952" t="s">
        <v>2784</v>
      </c>
      <c r="C914" s="1947" t="s">
        <v>2697</v>
      </c>
      <c r="D914" s="1948">
        <v>339193.98</v>
      </c>
      <c r="E914" s="1948">
        <v>3448281.69</v>
      </c>
      <c r="F914" s="1948">
        <v>3109087.71</v>
      </c>
      <c r="G914" s="1947"/>
      <c r="H914" s="1949" t="str">
        <f>IFERROR(IF(F914&gt;=VLOOKUP(A914,[1]Materiality!$I$6:$J$12,2,TRUE),IFERROR(IF(VLOOKUP("*CR",F914,1,FALSE)&gt;=0,"",VLOOKUP("*CR",F914,1,FALSE)),F914),""),"")</f>
        <v/>
      </c>
    </row>
  </sheetData>
  <mergeCells count="1">
    <mergeCell ref="A1:H1"/>
  </mergeCells>
  <conditionalFormatting sqref="H3:H1048576">
    <cfRule type="notContainsBlanks" dxfId="1" priority="2">
      <formula>LEN(TRIM(H3))&gt;0</formula>
    </cfRule>
  </conditionalFormatting>
  <conditionalFormatting sqref="A2:B1048576">
    <cfRule type="containsText" dxfId="0" priority="1" operator="containsText" text=" 5">
      <formula>NOT(ISERROR(SEARCH(" 5",A2)))</formula>
    </cfRule>
  </conditionalFormatting>
  <pageMargins left="0.2" right="0.2"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P51" sqref="P51:P52"/>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15" t="s">
        <v>403</v>
      </c>
      <c r="B1" s="2115"/>
      <c r="C1" s="2115"/>
      <c r="D1" s="2115"/>
      <c r="E1" s="2115"/>
      <c r="F1" s="2115"/>
      <c r="G1" s="2115"/>
      <c r="H1" s="2115"/>
      <c r="I1" s="2115"/>
      <c r="J1" s="2115"/>
      <c r="K1" s="2115"/>
      <c r="L1" s="2115"/>
      <c r="M1" s="2115"/>
      <c r="N1" s="346"/>
    </row>
    <row r="2" spans="1:14" ht="10.9" customHeight="1" x14ac:dyDescent="0.2">
      <c r="A2" s="346"/>
      <c r="B2" s="346"/>
      <c r="C2" s="346"/>
      <c r="D2" s="346"/>
      <c r="E2" s="346"/>
      <c r="F2" s="346"/>
      <c r="G2" s="346"/>
      <c r="H2" s="346"/>
      <c r="I2" s="346"/>
      <c r="J2" s="346"/>
      <c r="K2" s="346"/>
      <c r="L2" s="346"/>
      <c r="M2" s="346"/>
      <c r="N2" s="346"/>
    </row>
    <row r="3" spans="1:14" x14ac:dyDescent="0.2">
      <c r="A3" s="348" t="s">
        <v>900</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477</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289</v>
      </c>
      <c r="G7" s="222"/>
      <c r="H7" s="222"/>
      <c r="I7" s="222"/>
      <c r="J7" s="352">
        <v>724102306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1216</v>
      </c>
      <c r="E9" s="349"/>
      <c r="F9" s="354" t="s">
        <v>924</v>
      </c>
      <c r="G9" s="349"/>
      <c r="H9" s="353" t="s">
        <v>157</v>
      </c>
      <c r="I9" s="349"/>
      <c r="J9" s="354" t="s">
        <v>1058</v>
      </c>
      <c r="K9" s="349"/>
      <c r="L9" s="353" t="s">
        <v>426</v>
      </c>
      <c r="M9" s="222"/>
    </row>
    <row r="10" spans="1:14" ht="13.35" customHeight="1" x14ac:dyDescent="0.2">
      <c r="A10" s="344" t="s">
        <v>985</v>
      </c>
      <c r="C10" s="222"/>
      <c r="D10" s="355">
        <v>1.2699999999999999E-2</v>
      </c>
      <c r="E10" s="356" t="s">
        <v>1061</v>
      </c>
      <c r="F10" s="355">
        <v>2.5000000000000001E-3</v>
      </c>
      <c r="G10" s="356" t="s">
        <v>1061</v>
      </c>
      <c r="H10" s="355">
        <v>1.1999999999999999E-3</v>
      </c>
      <c r="I10" s="356" t="s">
        <v>1062</v>
      </c>
      <c r="J10" s="1744">
        <f>ROUND(D10+F10+H10,5)</f>
        <v>1.6400000000000001E-2</v>
      </c>
      <c r="K10" s="222"/>
      <c r="L10" s="355">
        <v>5.0000000000000001E-4</v>
      </c>
      <c r="M10" s="222"/>
    </row>
    <row r="11" spans="1:14" ht="7.5" customHeight="1" x14ac:dyDescent="0.2">
      <c r="B11" s="222"/>
      <c r="C11" s="222"/>
      <c r="D11" s="2125" t="str">
        <f>IF(SUM(J10)&lt;=0.0999999,"","Enter the Tax Rates by moving the decimal two places to the left.")</f>
        <v/>
      </c>
      <c r="E11" s="2126"/>
      <c r="F11" s="2126"/>
      <c r="G11" s="2126"/>
      <c r="H11" s="2126"/>
      <c r="I11" s="2126"/>
      <c r="J11" s="2126"/>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547</v>
      </c>
      <c r="E15" s="222"/>
      <c r="F15" s="354" t="s">
        <v>1059</v>
      </c>
      <c r="G15" s="222"/>
      <c r="H15" s="354" t="s">
        <v>1060</v>
      </c>
      <c r="I15" s="222"/>
      <c r="J15" s="353" t="s">
        <v>409</v>
      </c>
      <c r="K15" s="222"/>
      <c r="L15" s="222"/>
      <c r="M15" s="222"/>
    </row>
    <row r="16" spans="1:14" ht="13.35" customHeight="1" x14ac:dyDescent="0.2">
      <c r="A16" s="349"/>
      <c r="B16" s="222"/>
      <c r="C16" s="222"/>
      <c r="D16" s="1745">
        <f>SUM('Acct Summary 7-8'!C8,'Acct Summary 7-8'!D8,'Acct Summary 7-8'!F8,'Acct Summary 7-8'!I8)</f>
        <v>16564500</v>
      </c>
      <c r="E16" s="356"/>
      <c r="F16" s="1745">
        <f>SUM('Acct Summary 7-8'!C17,'Acct Summary 7-8'!D17,'Acct Summary 7-8'!F17)</f>
        <v>16410212</v>
      </c>
      <c r="G16" s="356"/>
      <c r="H16" s="1745">
        <f>SUM(D16-F16)</f>
        <v>154288</v>
      </c>
      <c r="I16" s="222"/>
      <c r="J16" s="1745">
        <f>SUM('Acct Summary 7-8'!C81,'Acct Summary 7-8'!D81,'Acct Summary 7-8'!F81,'Acct Summary 7-8'!I81)</f>
        <v>13714082</v>
      </c>
      <c r="K16" s="222"/>
      <c r="L16" s="222"/>
      <c r="M16" s="222"/>
    </row>
    <row r="17" spans="1:13" ht="12.2" customHeight="1" x14ac:dyDescent="0.2">
      <c r="A17" s="349"/>
      <c r="B17" s="260" t="s">
        <v>8</v>
      </c>
      <c r="C17" s="237" t="s">
        <v>1462</v>
      </c>
      <c r="D17" s="222"/>
      <c r="E17" s="222"/>
      <c r="F17" s="222"/>
      <c r="G17" s="222"/>
      <c r="H17" s="222"/>
      <c r="I17" s="222"/>
      <c r="J17" s="222"/>
      <c r="K17" s="222"/>
      <c r="L17" s="222"/>
      <c r="M17" s="222"/>
    </row>
    <row r="18" spans="1:13" ht="12.2" customHeight="1" x14ac:dyDescent="0.2">
      <c r="A18" s="349"/>
      <c r="B18" s="222"/>
      <c r="C18" s="237" t="s">
        <v>526</v>
      </c>
      <c r="D18" s="222"/>
      <c r="E18" s="222"/>
      <c r="F18" s="222"/>
      <c r="G18" s="222"/>
      <c r="H18" s="222"/>
      <c r="I18" s="222"/>
      <c r="J18" s="222"/>
      <c r="K18" s="222"/>
      <c r="L18" s="222"/>
      <c r="M18" s="222"/>
    </row>
    <row r="19" spans="1:13" s="329" customFormat="1" ht="10.5" customHeight="1" x14ac:dyDescent="0.2"/>
    <row r="20" spans="1:13" ht="12.75" customHeight="1" x14ac:dyDescent="0.2">
      <c r="A20" s="349" t="s">
        <v>865</v>
      </c>
      <c r="B20" s="349" t="s">
        <v>1748</v>
      </c>
      <c r="C20" s="222"/>
      <c r="D20" s="222"/>
      <c r="E20" s="222"/>
      <c r="F20" s="222"/>
      <c r="G20" s="222"/>
      <c r="H20" s="222"/>
      <c r="I20" s="222"/>
      <c r="J20" s="222"/>
      <c r="K20" s="222"/>
      <c r="L20" s="222"/>
      <c r="M20" s="222"/>
    </row>
    <row r="21" spans="1:13" x14ac:dyDescent="0.2">
      <c r="A21" s="349"/>
      <c r="B21" s="222"/>
      <c r="C21" s="222"/>
      <c r="D21" s="360" t="s">
        <v>411</v>
      </c>
      <c r="E21" s="361"/>
      <c r="F21" s="360" t="s">
        <v>410</v>
      </c>
      <c r="G21" s="361"/>
      <c r="H21" s="360" t="s">
        <v>412</v>
      </c>
      <c r="I21" s="361"/>
      <c r="J21" s="360" t="s">
        <v>43</v>
      </c>
      <c r="K21" s="361"/>
      <c r="L21" s="362" t="s">
        <v>565</v>
      </c>
      <c r="M21" s="222"/>
    </row>
    <row r="22" spans="1:13" ht="13.35" customHeight="1" x14ac:dyDescent="0.2">
      <c r="A22" s="349"/>
      <c r="B22" s="222"/>
      <c r="C22" s="222"/>
      <c r="D22" s="1745">
        <f>'Short-Term Long-Term Debt 24'!F4</f>
        <v>0</v>
      </c>
      <c r="E22" s="356" t="s">
        <v>1061</v>
      </c>
      <c r="F22" s="1745">
        <f>'Short-Term Long-Term Debt 24'!F15</f>
        <v>0</v>
      </c>
      <c r="G22" s="356" t="s">
        <v>1061</v>
      </c>
      <c r="H22" s="1745">
        <f>'Short-Term Long-Term Debt 24'!F21</f>
        <v>0</v>
      </c>
      <c r="I22" s="356" t="s">
        <v>1061</v>
      </c>
      <c r="J22" s="1745">
        <f>'Short-Term Long-Term Debt 24'!F23</f>
        <v>0</v>
      </c>
      <c r="K22" s="356" t="s">
        <v>1061</v>
      </c>
      <c r="L22" s="1745">
        <f>'Short-Term Long-Term Debt 24'!F25</f>
        <v>0</v>
      </c>
      <c r="M22" s="356" t="s">
        <v>1061</v>
      </c>
    </row>
    <row r="23" spans="1:13" ht="15" customHeight="1" x14ac:dyDescent="0.2">
      <c r="A23" s="349"/>
      <c r="B23" s="222"/>
      <c r="C23" s="222"/>
      <c r="D23" s="360" t="s">
        <v>1122</v>
      </c>
      <c r="E23" s="361"/>
      <c r="F23" s="360" t="s">
        <v>158</v>
      </c>
      <c r="G23" s="222"/>
      <c r="H23" s="222"/>
      <c r="I23" s="222"/>
      <c r="J23" s="222"/>
      <c r="K23" s="222"/>
      <c r="L23" s="222"/>
      <c r="M23" s="222"/>
    </row>
    <row r="24" spans="1:13" ht="13.35" customHeight="1" x14ac:dyDescent="0.2">
      <c r="A24" s="349"/>
      <c r="B24" s="222"/>
      <c r="C24" s="356"/>
      <c r="D24" s="1745">
        <f>'Short-Term Long-Term Debt 24'!F27</f>
        <v>0</v>
      </c>
      <c r="E24" s="356" t="s">
        <v>1062</v>
      </c>
      <c r="F24" s="1746">
        <f>SUM(D22,F22,H22,J22,L22, D24)</f>
        <v>0</v>
      </c>
      <c r="G24" s="222"/>
      <c r="H24" s="222"/>
      <c r="I24" s="222"/>
      <c r="J24" s="222"/>
      <c r="K24" s="222"/>
      <c r="L24" s="222"/>
      <c r="M24" s="222"/>
    </row>
    <row r="25" spans="1:13" ht="11.25" customHeight="1" x14ac:dyDescent="0.2">
      <c r="A25" s="349"/>
      <c r="B25" s="181" t="s">
        <v>9</v>
      </c>
      <c r="C25" s="237" t="s">
        <v>882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402</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2089</v>
      </c>
      <c r="C31" s="367" t="s">
        <v>606</v>
      </c>
      <c r="D31" s="237" t="s">
        <v>1131</v>
      </c>
      <c r="E31" s="222"/>
      <c r="F31" s="222"/>
      <c r="G31" s="363"/>
      <c r="H31" s="1747">
        <f>IF(B31="X",(J7*0.069),IF(B32="X",(J7*0.138),"Enter x in a.or b."))</f>
        <v>49963059.114000008</v>
      </c>
      <c r="I31" s="368"/>
      <c r="J31" s="222"/>
      <c r="K31" s="222"/>
      <c r="L31" s="222"/>
      <c r="M31" s="222"/>
    </row>
    <row r="32" spans="1:13" ht="13.35" customHeight="1" x14ac:dyDescent="0.2">
      <c r="B32" s="369"/>
      <c r="C32" s="370" t="s">
        <v>607</v>
      </c>
      <c r="D32" s="237" t="s">
        <v>442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406</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608</v>
      </c>
      <c r="D36" s="247" t="s">
        <v>0</v>
      </c>
      <c r="E36" s="222"/>
      <c r="F36" s="222"/>
      <c r="G36" s="375" t="s">
        <v>407</v>
      </c>
      <c r="H36" s="376"/>
      <c r="I36" s="222"/>
      <c r="J36" s="222"/>
      <c r="K36" s="222"/>
      <c r="L36" s="222"/>
      <c r="M36" s="222"/>
    </row>
    <row r="37" spans="1:13" ht="13.5" customHeight="1" x14ac:dyDescent="0.2">
      <c r="B37" s="222"/>
      <c r="C37" s="374"/>
      <c r="D37" s="247" t="s">
        <v>1196</v>
      </c>
      <c r="E37" s="222"/>
      <c r="F37" s="222"/>
      <c r="G37" s="377">
        <v>511</v>
      </c>
      <c r="H37" s="1746">
        <f>'Assets-Liab 5-6'!N36</f>
        <v>13143842</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566</v>
      </c>
      <c r="B40" s="349" t="s">
        <v>204</v>
      </c>
      <c r="C40" s="349"/>
      <c r="D40" s="349"/>
      <c r="E40" s="349"/>
      <c r="F40" s="349"/>
      <c r="G40" s="222"/>
      <c r="H40" s="222"/>
      <c r="I40" s="222"/>
      <c r="J40" s="222"/>
      <c r="K40" s="222"/>
      <c r="L40" s="222"/>
      <c r="M40" s="222"/>
    </row>
    <row r="41" spans="1:13" ht="12.2" customHeight="1" x14ac:dyDescent="0.2">
      <c r="B41" s="237" t="s">
        <v>1215</v>
      </c>
      <c r="C41" s="222"/>
      <c r="D41" s="222"/>
      <c r="E41" s="222"/>
      <c r="F41" s="222"/>
      <c r="G41" s="222"/>
      <c r="H41" s="222"/>
      <c r="I41" s="222"/>
      <c r="J41" s="222"/>
      <c r="K41" s="222"/>
      <c r="L41" s="222"/>
      <c r="M41" s="222"/>
    </row>
    <row r="42" spans="1:13" x14ac:dyDescent="0.2">
      <c r="B42" s="237" t="s">
        <v>421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319</v>
      </c>
      <c r="E44" s="222"/>
      <c r="F44" s="222"/>
      <c r="G44" s="222"/>
      <c r="H44" s="222"/>
      <c r="I44" s="222"/>
      <c r="J44" s="222"/>
      <c r="K44" s="222"/>
      <c r="L44" s="222"/>
      <c r="M44" s="222"/>
    </row>
    <row r="45" spans="1:13" ht="13.5" customHeight="1" x14ac:dyDescent="0.2">
      <c r="B45" s="378"/>
      <c r="C45" s="225" t="s">
        <v>398</v>
      </c>
      <c r="E45" s="222"/>
      <c r="F45" s="222"/>
      <c r="G45" s="222"/>
      <c r="H45" s="222"/>
      <c r="I45" s="222"/>
      <c r="J45" s="222"/>
      <c r="K45" s="222"/>
      <c r="L45" s="222"/>
      <c r="M45" s="222"/>
    </row>
    <row r="46" spans="1:13" ht="13.5" customHeight="1" x14ac:dyDescent="0.2">
      <c r="B46" s="378"/>
      <c r="C46" s="225" t="s">
        <v>917</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356</v>
      </c>
      <c r="E49" s="222"/>
      <c r="F49" s="222"/>
      <c r="G49" s="222"/>
      <c r="H49" s="222"/>
      <c r="I49" s="222"/>
      <c r="J49" s="222"/>
      <c r="K49" s="222"/>
      <c r="L49" s="222"/>
      <c r="M49" s="222"/>
    </row>
    <row r="50" spans="1:13" ht="13.5" customHeight="1" x14ac:dyDescent="0.2">
      <c r="B50" s="378"/>
      <c r="C50" s="225" t="s">
        <v>357</v>
      </c>
      <c r="E50" s="222"/>
      <c r="F50" s="222"/>
      <c r="G50" s="222"/>
      <c r="H50" s="222"/>
      <c r="I50" s="222"/>
      <c r="J50" s="222"/>
      <c r="K50" s="222"/>
      <c r="L50" s="222"/>
      <c r="M50" s="222"/>
    </row>
    <row r="51" spans="1:13" ht="13.5" customHeight="1" x14ac:dyDescent="0.2">
      <c r="B51" s="378"/>
      <c r="C51" s="225" t="s">
        <v>564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404</v>
      </c>
      <c r="C53" s="222"/>
      <c r="D53" s="222"/>
      <c r="E53" s="222"/>
      <c r="F53" s="222"/>
      <c r="G53" s="222"/>
      <c r="H53" s="222"/>
      <c r="I53" s="222"/>
      <c r="J53" s="222"/>
      <c r="K53" s="222"/>
      <c r="L53" s="222"/>
      <c r="M53" s="222"/>
    </row>
    <row r="54" spans="1:13" ht="12.75" x14ac:dyDescent="0.2">
      <c r="B54" s="2116"/>
      <c r="C54" s="2117"/>
      <c r="D54" s="2117"/>
      <c r="E54" s="2117"/>
      <c r="F54" s="2117"/>
      <c r="G54" s="2117"/>
      <c r="H54" s="2117"/>
      <c r="I54" s="2117"/>
      <c r="J54" s="2117"/>
      <c r="K54" s="2117"/>
      <c r="L54" s="2118"/>
      <c r="M54" s="380"/>
    </row>
    <row r="55" spans="1:13" ht="12.75" customHeight="1" x14ac:dyDescent="0.2">
      <c r="B55" s="2119"/>
      <c r="C55" s="2120"/>
      <c r="D55" s="2120"/>
      <c r="E55" s="2120"/>
      <c r="F55" s="2120"/>
      <c r="G55" s="2120"/>
      <c r="H55" s="2120"/>
      <c r="I55" s="2120"/>
      <c r="J55" s="2120"/>
      <c r="K55" s="2120"/>
      <c r="L55" s="2121"/>
      <c r="M55" s="380"/>
    </row>
    <row r="56" spans="1:13" ht="12.75" customHeight="1" x14ac:dyDescent="0.2">
      <c r="B56" s="2119"/>
      <c r="C56" s="2120"/>
      <c r="D56" s="2120"/>
      <c r="E56" s="2120"/>
      <c r="F56" s="2120"/>
      <c r="G56" s="2120"/>
      <c r="H56" s="2120"/>
      <c r="I56" s="2120"/>
      <c r="J56" s="2120"/>
      <c r="K56" s="2120"/>
      <c r="L56" s="2121"/>
      <c r="M56" s="222"/>
    </row>
    <row r="57" spans="1:13" ht="12.75" customHeight="1" x14ac:dyDescent="0.2">
      <c r="B57" s="2119"/>
      <c r="C57" s="2120"/>
      <c r="D57" s="2120"/>
      <c r="E57" s="2120"/>
      <c r="F57" s="2120"/>
      <c r="G57" s="2120"/>
      <c r="H57" s="2120"/>
      <c r="I57" s="2120"/>
      <c r="J57" s="2120"/>
      <c r="K57" s="2120"/>
      <c r="L57" s="2121"/>
      <c r="M57" s="222"/>
    </row>
    <row r="58" spans="1:13" x14ac:dyDescent="0.2">
      <c r="B58" s="2122"/>
      <c r="C58" s="2123"/>
      <c r="D58" s="2123"/>
      <c r="E58" s="2123"/>
      <c r="F58" s="2123"/>
      <c r="G58" s="2123"/>
      <c r="H58" s="2123"/>
      <c r="I58" s="2123"/>
      <c r="J58" s="2123"/>
      <c r="K58" s="2123"/>
      <c r="L58" s="2124"/>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27"/>
      <c r="D61" s="2128"/>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6" zoomScale="110" zoomScaleNormal="110" workbookViewId="0">
      <selection activeCell="P51" sqref="P51:P52"/>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30"/>
      <c r="B1" s="2131"/>
      <c r="C1" s="2131"/>
      <c r="D1" s="384"/>
      <c r="E1" s="384"/>
      <c r="F1" s="384"/>
      <c r="G1" s="384"/>
      <c r="H1" s="384"/>
      <c r="I1" s="384"/>
      <c r="J1" s="384"/>
      <c r="K1" s="384"/>
      <c r="L1" s="384"/>
      <c r="M1" s="384"/>
      <c r="N1" s="384"/>
      <c r="O1" s="2130"/>
      <c r="P1" s="2131"/>
      <c r="Q1" s="2131"/>
    </row>
    <row r="2" spans="1:18" ht="15" x14ac:dyDescent="0.2">
      <c r="A2" s="2134" t="s">
        <v>576</v>
      </c>
      <c r="B2" s="2134"/>
      <c r="C2" s="2134"/>
      <c r="D2" s="2134"/>
      <c r="E2" s="2134"/>
      <c r="F2" s="2134"/>
      <c r="G2" s="2134"/>
      <c r="H2" s="2134"/>
      <c r="I2" s="2134"/>
      <c r="J2" s="2134"/>
      <c r="K2" s="2134"/>
      <c r="L2" s="2134"/>
      <c r="M2" s="2134"/>
      <c r="N2" s="2134"/>
      <c r="O2" s="2134"/>
      <c r="P2" s="2134"/>
      <c r="Q2" s="2134"/>
      <c r="R2" s="2134"/>
    </row>
    <row r="3" spans="1:18" ht="12.75" x14ac:dyDescent="0.2">
      <c r="A3" s="2135" t="s">
        <v>1479</v>
      </c>
      <c r="B3" s="2135"/>
      <c r="C3" s="2135"/>
      <c r="D3" s="2135"/>
      <c r="E3" s="2135"/>
      <c r="F3" s="2135"/>
      <c r="G3" s="2135"/>
      <c r="H3" s="2135"/>
      <c r="I3" s="2135"/>
      <c r="J3" s="2135"/>
      <c r="K3" s="2135"/>
      <c r="L3" s="2135"/>
      <c r="M3" s="2135"/>
      <c r="N3" s="2135"/>
      <c r="O3" s="2135"/>
      <c r="P3" s="2135"/>
      <c r="Q3" s="2135"/>
      <c r="R3" s="2135"/>
    </row>
    <row r="4" spans="1:18" x14ac:dyDescent="0.2">
      <c r="A4" s="2136" t="s">
        <v>1634</v>
      </c>
      <c r="B4" s="2136"/>
      <c r="C4" s="2136"/>
      <c r="D4" s="2136"/>
      <c r="E4" s="2136"/>
      <c r="F4" s="2136"/>
      <c r="G4" s="2136"/>
      <c r="H4" s="2136"/>
      <c r="I4" s="2136"/>
      <c r="J4" s="2136"/>
      <c r="K4" s="2136"/>
      <c r="L4" s="2136"/>
      <c r="M4" s="2136"/>
      <c r="N4" s="2136"/>
      <c r="O4" s="2136"/>
      <c r="P4" s="2136"/>
      <c r="Q4" s="2136"/>
      <c r="R4" s="2136"/>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1187</v>
      </c>
      <c r="D7" s="390" t="str">
        <f>COVER!A17</f>
        <v>Ottawa Township High School</v>
      </c>
      <c r="E7" s="391"/>
      <c r="G7" s="252"/>
      <c r="H7" s="387"/>
      <c r="I7" s="387"/>
      <c r="J7" s="387"/>
      <c r="K7" s="387"/>
      <c r="L7" s="329"/>
      <c r="M7" s="329"/>
      <c r="N7" s="329"/>
      <c r="O7" s="329"/>
      <c r="P7" s="329"/>
    </row>
    <row r="8" spans="1:18" ht="12.75" x14ac:dyDescent="0.2">
      <c r="A8" s="329"/>
      <c r="B8" s="329"/>
      <c r="C8" s="389" t="s">
        <v>1186</v>
      </c>
      <c r="D8" s="392">
        <f>COVER!A13</f>
        <v>35050140017</v>
      </c>
      <c r="E8" s="393"/>
      <c r="G8" s="329"/>
      <c r="H8" s="329"/>
      <c r="I8" s="329"/>
      <c r="J8" s="329"/>
      <c r="K8" s="329"/>
      <c r="L8" s="329"/>
      <c r="M8" s="329"/>
      <c r="N8" s="329"/>
      <c r="O8" s="329"/>
      <c r="P8" s="329"/>
    </row>
    <row r="9" spans="1:18" ht="12.75" x14ac:dyDescent="0.2">
      <c r="A9" s="329"/>
      <c r="B9" s="329"/>
      <c r="C9" s="389" t="s">
        <v>736</v>
      </c>
      <c r="D9" s="394" t="str">
        <f>COVER!A15</f>
        <v>LaSalle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1039</v>
      </c>
      <c r="C11" s="398" t="s">
        <v>1202</v>
      </c>
      <c r="D11" s="216"/>
      <c r="E11" s="216"/>
      <c r="F11" s="216"/>
      <c r="G11" s="216"/>
      <c r="H11" s="336" t="s">
        <v>158</v>
      </c>
      <c r="I11" s="336"/>
      <c r="J11" s="336"/>
      <c r="K11" s="399" t="s">
        <v>1203</v>
      </c>
      <c r="L11" s="336"/>
      <c r="M11" s="336" t="s">
        <v>1204</v>
      </c>
      <c r="N11" s="336"/>
      <c r="O11" s="400" t="str">
        <f>IF(K12&gt;0.24999,"4",IF(K12&gt;0.09999,"3",IF(K12&gt;=0,"2",1)))</f>
        <v>4</v>
      </c>
      <c r="P11" s="216"/>
      <c r="Q11" s="216"/>
    </row>
    <row r="12" spans="1:18" s="408" customFormat="1" ht="11.25" x14ac:dyDescent="0.2">
      <c r="A12" s="218"/>
      <c r="B12" s="401"/>
      <c r="C12" s="218" t="s">
        <v>1431</v>
      </c>
      <c r="D12" s="218"/>
      <c r="E12" s="218"/>
      <c r="F12" s="218" t="s">
        <v>1151</v>
      </c>
      <c r="G12" s="402"/>
      <c r="H12" s="403">
        <f>SUM('Acct Summary 7-8'!C81+'Acct Summary 7-8'!D81+'Acct Summary 7-8'!F81+'Acct Summary 7-8'!I81+IF('Acct Summary 7-8'!G81&lt;0,'Acct Summary 7-8'!G81,"0")+IF('Acct Summary 7-8'!J81&lt;0,'Acct Summary 7-8'!J81,"0"))</f>
        <v>13714082</v>
      </c>
      <c r="I12" s="404"/>
      <c r="J12" s="404"/>
      <c r="K12" s="405">
        <f>TRUNC((H12/H13*100000),5)/100000</f>
        <v>0.83417945000000004</v>
      </c>
      <c r="L12" s="406"/>
      <c r="M12" s="360" t="s">
        <v>1205</v>
      </c>
      <c r="N12" s="360"/>
      <c r="O12" s="407">
        <v>0.35</v>
      </c>
      <c r="P12" s="218"/>
      <c r="Q12" s="218"/>
    </row>
    <row r="13" spans="1:18" s="408" customFormat="1" ht="12.75" x14ac:dyDescent="0.2">
      <c r="A13" s="218"/>
      <c r="B13" s="401"/>
      <c r="C13" s="2132" t="s">
        <v>1390</v>
      </c>
      <c r="D13" s="2133"/>
      <c r="E13" s="218"/>
      <c r="F13" s="409" t="s">
        <v>825</v>
      </c>
      <c r="G13" s="402"/>
      <c r="H13" s="403">
        <f>SUM('Acct Summary 7-8'!C8+'Acct Summary 7-8'!D8+'Acct Summary 7-8'!F8+'Acct Summary 7-8'!I8)+H14</f>
        <v>16440206</v>
      </c>
      <c r="I13" s="404"/>
      <c r="J13" s="404"/>
      <c r="K13" s="410"/>
      <c r="L13" s="218"/>
      <c r="M13" s="360" t="s">
        <v>1206</v>
      </c>
      <c r="N13" s="360"/>
      <c r="O13" s="411">
        <f>(O11*O12)</f>
        <v>1.4</v>
      </c>
      <c r="P13" s="218"/>
      <c r="Q13" s="218"/>
      <c r="R13" s="412"/>
    </row>
    <row r="14" spans="1:18" s="408" customFormat="1" ht="12.75" x14ac:dyDescent="0.2">
      <c r="A14" s="218"/>
      <c r="B14" s="401"/>
      <c r="C14" s="240" t="s">
        <v>1463</v>
      </c>
      <c r="D14" s="413"/>
      <c r="E14" s="218"/>
      <c r="F14" s="409" t="s">
        <v>827</v>
      </c>
      <c r="G14" s="402"/>
      <c r="H14" s="403">
        <f>-SUM('Acct Summary 7-8'!C54:D56,'Acct Summary 7-8'!C58:D60,'Acct Summary 7-8'!C62:D64,'Acct Summary 7-8'!C66:D68,'Acct Summary 7-8'!C70:D72,'Acct Summary 7-8'!C74:D74)</f>
        <v>-124294</v>
      </c>
      <c r="I14" s="404"/>
      <c r="J14" s="404"/>
      <c r="K14" s="410"/>
      <c r="L14" s="218"/>
      <c r="M14" s="360"/>
      <c r="N14" s="360"/>
      <c r="O14" s="411"/>
      <c r="P14" s="218"/>
      <c r="Q14" s="218"/>
      <c r="R14" s="412"/>
    </row>
    <row r="15" spans="1:18" ht="11.45" customHeight="1" x14ac:dyDescent="0.2">
      <c r="A15" s="216"/>
      <c r="B15" s="396"/>
      <c r="C15" s="218" t="s">
        <v>1477</v>
      </c>
      <c r="D15" s="216"/>
      <c r="E15" s="216"/>
      <c r="F15" s="218"/>
      <c r="G15" s="414"/>
      <c r="H15" s="395"/>
      <c r="I15" s="216"/>
      <c r="J15" s="216"/>
      <c r="K15" s="395"/>
      <c r="L15" s="216"/>
      <c r="M15" s="415"/>
      <c r="N15" s="415"/>
      <c r="O15" s="216"/>
      <c r="P15" s="216"/>
      <c r="Q15" s="216"/>
      <c r="R15" s="384"/>
    </row>
    <row r="16" spans="1:18" ht="12.75" x14ac:dyDescent="0.2">
      <c r="A16" s="216"/>
      <c r="B16" s="397" t="s">
        <v>1040</v>
      </c>
      <c r="C16" s="398" t="s">
        <v>1207</v>
      </c>
      <c r="D16" s="216"/>
      <c r="E16" s="216"/>
      <c r="F16" s="216"/>
      <c r="G16" s="216"/>
      <c r="H16" s="336" t="s">
        <v>158</v>
      </c>
      <c r="I16" s="336"/>
      <c r="J16" s="336"/>
      <c r="K16" s="399" t="s">
        <v>1203</v>
      </c>
      <c r="L16" s="336"/>
      <c r="M16" s="336" t="s">
        <v>1204</v>
      </c>
      <c r="N16" s="336"/>
      <c r="O16" s="400">
        <f>IF(K17&gt;1.2,"1",IF(K17&gt;1.1,"2",IF(K17&gt;1,"3",4)))</f>
        <v>4</v>
      </c>
      <c r="P16" s="216"/>
      <c r="R16" s="384"/>
    </row>
    <row r="17" spans="1:18" s="408" customFormat="1" ht="11.25" x14ac:dyDescent="0.2">
      <c r="A17" s="218"/>
      <c r="B17" s="401"/>
      <c r="C17" s="218" t="s">
        <v>829</v>
      </c>
      <c r="D17" s="218"/>
      <c r="E17" s="218"/>
      <c r="F17" s="218" t="s">
        <v>463</v>
      </c>
      <c r="G17" s="402"/>
      <c r="H17" s="403">
        <f>SUM('Acct Summary 7-8'!C17+'Acct Summary 7-8'!D17+'Acct Summary 7-8'!F17)</f>
        <v>16410212</v>
      </c>
      <c r="I17" s="404"/>
      <c r="J17" s="416"/>
      <c r="K17" s="405">
        <f>TRUNC((H17/H18*100000),5)/100000</f>
        <v>0.99817557029999993</v>
      </c>
      <c r="L17" s="406"/>
      <c r="M17" s="417" t="s">
        <v>1232</v>
      </c>
      <c r="O17" s="418" t="str">
        <f>IF(AND(O16="2", J20 &gt; 2),"1",IF(AND(O16 = "1", J20 &gt; 2),"2",IF(AND(O16="1", J20 &gt;1),"1","0")))</f>
        <v>0</v>
      </c>
      <c r="P17" s="218"/>
    </row>
    <row r="18" spans="1:18" s="408" customFormat="1" ht="11.25" x14ac:dyDescent="0.2">
      <c r="A18" s="218"/>
      <c r="B18" s="401"/>
      <c r="C18" s="2132" t="s">
        <v>1383</v>
      </c>
      <c r="D18" s="2133"/>
      <c r="E18" s="218"/>
      <c r="F18" s="419" t="s">
        <v>826</v>
      </c>
      <c r="G18" s="402"/>
      <c r="H18" s="403">
        <f>SUM('Acct Summary 7-8'!C8+'Acct Summary 7-8'!D8+'Acct Summary 7-8'!F8+'Acct Summary 7-8'!I8)+H19</f>
        <v>16440206</v>
      </c>
      <c r="I18" s="404"/>
      <c r="J18" s="404"/>
      <c r="K18" s="410"/>
      <c r="L18" s="218"/>
      <c r="M18" s="360" t="s">
        <v>1205</v>
      </c>
      <c r="N18" s="360"/>
      <c r="O18" s="410">
        <v>0.35</v>
      </c>
      <c r="P18" s="218"/>
    </row>
    <row r="19" spans="1:18" s="408" customFormat="1" ht="11.25" x14ac:dyDescent="0.2">
      <c r="A19" s="218"/>
      <c r="B19" s="401"/>
      <c r="C19" s="240" t="s">
        <v>1463</v>
      </c>
      <c r="D19" s="413"/>
      <c r="E19" s="218"/>
      <c r="F19" s="419" t="s">
        <v>827</v>
      </c>
      <c r="G19" s="402"/>
      <c r="H19" s="403">
        <f>-SUM('Acct Summary 7-8'!C54:D56,'Acct Summary 7-8'!C58:D60,'Acct Summary 7-8'!C62:D64,'Acct Summary 7-8'!C66:D68,'Acct Summary 7-8'!C70:D72,'Acct Summary 7-8'!C74:D74)</f>
        <v>-124294</v>
      </c>
      <c r="I19" s="404"/>
      <c r="J19" s="404"/>
      <c r="K19" s="410"/>
      <c r="L19" s="218"/>
      <c r="M19" s="360"/>
      <c r="N19" s="360"/>
      <c r="O19" s="410"/>
      <c r="P19" s="218"/>
    </row>
    <row r="20" spans="1:18" s="408" customFormat="1" ht="12.75" x14ac:dyDescent="0.2">
      <c r="A20" s="218"/>
      <c r="B20" s="401"/>
      <c r="C20" s="218" t="s">
        <v>1477</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1206</v>
      </c>
      <c r="N20" s="360"/>
      <c r="O20" s="411">
        <f>(O16+O17)*O18</f>
        <v>1.4</v>
      </c>
      <c r="P20" s="218"/>
      <c r="R20" s="412"/>
    </row>
    <row r="21" spans="1:18" ht="11.45" customHeight="1" x14ac:dyDescent="0.2">
      <c r="A21" s="216"/>
      <c r="B21" s="396"/>
      <c r="C21" s="218" t="s">
        <v>495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626</v>
      </c>
      <c r="C23" s="398" t="s">
        <v>1208</v>
      </c>
      <c r="D23" s="216"/>
      <c r="E23" s="216"/>
      <c r="F23" s="216"/>
      <c r="G23" s="216"/>
      <c r="H23" s="336" t="s">
        <v>158</v>
      </c>
      <c r="I23" s="336"/>
      <c r="J23" s="336"/>
      <c r="K23" s="399" t="s">
        <v>1209</v>
      </c>
      <c r="L23" s="336"/>
      <c r="M23" s="336" t="s">
        <v>1204</v>
      </c>
      <c r="N23" s="336"/>
      <c r="O23" s="400" t="str">
        <f>IF(K24&gt;=180,"4",IF(K24&gt;=90,"3",IF(K24&gt;=30,"2",1)))</f>
        <v>4</v>
      </c>
      <c r="P23" s="216"/>
      <c r="R23" s="384"/>
    </row>
    <row r="24" spans="1:18" s="408" customFormat="1" ht="11.25" x14ac:dyDescent="0.2">
      <c r="A24" s="218"/>
      <c r="B24" s="401"/>
      <c r="C24" s="2129" t="s">
        <v>1478</v>
      </c>
      <c r="D24" s="2129"/>
      <c r="E24" s="218"/>
      <c r="F24" s="218" t="s">
        <v>464</v>
      </c>
      <c r="G24" s="402"/>
      <c r="H24" s="403">
        <f>SUM('Assets-Liab 5-6'!C4+'Assets-Liab 5-6'!D4+'Assets-Liab 5-6'!F4+'Assets-Liab 5-6'!I4+'Assets-Liab 5-6'!C5+'Assets-Liab 5-6'!D5+'Assets-Liab 5-6'!F5+'Assets-Liab 5-6'!I5)</f>
        <v>13703907</v>
      </c>
      <c r="I24" s="422"/>
      <c r="J24" s="422"/>
      <c r="K24" s="423">
        <f>TRUNC(((H24/H25*100000)/100000),2)</f>
        <v>300.63</v>
      </c>
      <c r="L24" s="424"/>
      <c r="M24" s="360" t="s">
        <v>1205</v>
      </c>
      <c r="N24" s="360"/>
      <c r="O24" s="411">
        <v>0.1</v>
      </c>
      <c r="P24" s="218"/>
    </row>
    <row r="25" spans="1:18" s="408" customFormat="1" ht="12.75" x14ac:dyDescent="0.2">
      <c r="A25" s="218"/>
      <c r="B25" s="401"/>
      <c r="C25" s="218" t="s">
        <v>830</v>
      </c>
      <c r="D25" s="218"/>
      <c r="E25" s="218"/>
      <c r="F25" s="218" t="s">
        <v>465</v>
      </c>
      <c r="G25" s="402"/>
      <c r="H25" s="423">
        <f>ROUND((H17/360),5)</f>
        <v>45583.92222</v>
      </c>
      <c r="I25" s="425"/>
      <c r="J25" s="425"/>
      <c r="K25" s="410"/>
      <c r="L25" s="218"/>
      <c r="M25" s="360" t="s">
        <v>1206</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510</v>
      </c>
      <c r="C27" s="398"/>
      <c r="D27" s="216"/>
      <c r="E27" s="216"/>
      <c r="F27" s="216"/>
      <c r="G27" s="216"/>
      <c r="H27" s="336" t="s">
        <v>158</v>
      </c>
      <c r="I27" s="336"/>
      <c r="J27" s="336"/>
      <c r="K27" s="399" t="s">
        <v>511</v>
      </c>
      <c r="L27" s="336"/>
      <c r="M27" s="336" t="s">
        <v>1204</v>
      </c>
      <c r="N27" s="336"/>
      <c r="O27" s="426" t="str">
        <f>IF(K28&gt;=75,"4",IF(K28&gt;=50,"3",IF(K28&gt;=25,"2",1)))</f>
        <v>4</v>
      </c>
      <c r="P27" s="216"/>
    </row>
    <row r="28" spans="1:18" s="408" customFormat="1" ht="11.25" x14ac:dyDescent="0.2">
      <c r="A28" s="218"/>
      <c r="B28" s="401"/>
      <c r="C28" s="218" t="s">
        <v>2071</v>
      </c>
      <c r="D28" s="218"/>
      <c r="E28" s="218"/>
      <c r="F28" s="218" t="s">
        <v>463</v>
      </c>
      <c r="G28" s="402"/>
      <c r="H28" s="427">
        <f>SUM('Short-Term Long-Term Debt 24'!F6,'Short-Term Long-Term Debt 24'!F7,'Short-Term Long-Term Debt 24'!F11)</f>
        <v>0</v>
      </c>
      <c r="I28" s="428"/>
      <c r="J28" s="428"/>
      <c r="K28" s="423">
        <f>TRUNC(100-((((H28/H29*100))*100)/100),2)</f>
        <v>100</v>
      </c>
      <c r="L28" s="429"/>
      <c r="M28" s="360" t="s">
        <v>1205</v>
      </c>
      <c r="N28" s="360"/>
      <c r="O28" s="430">
        <v>0.1</v>
      </c>
      <c r="P28" s="218"/>
    </row>
    <row r="29" spans="1:18" s="408" customFormat="1" ht="11.25" x14ac:dyDescent="0.2">
      <c r="A29" s="218"/>
      <c r="B29" s="401"/>
      <c r="C29" s="218" t="s">
        <v>828</v>
      </c>
      <c r="D29" s="218"/>
      <c r="E29" s="218"/>
      <c r="F29" s="218" t="s">
        <v>832</v>
      </c>
      <c r="G29" s="402"/>
      <c r="H29" s="431">
        <f>ROUND((0.85*'FP Info 3'!J7*'FP Info 3'!J10),5)</f>
        <v>10093986.145640001</v>
      </c>
      <c r="I29" s="428"/>
      <c r="J29" s="428"/>
      <c r="K29" s="410"/>
      <c r="L29" s="218"/>
      <c r="M29" s="360" t="s">
        <v>1206</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582</v>
      </c>
      <c r="C31" s="398"/>
      <c r="D31" s="216"/>
      <c r="E31" s="216"/>
      <c r="F31" s="216"/>
      <c r="G31" s="414"/>
      <c r="H31" s="336" t="s">
        <v>158</v>
      </c>
      <c r="I31" s="336"/>
      <c r="J31" s="336"/>
      <c r="K31" s="399" t="s">
        <v>511</v>
      </c>
      <c r="L31" s="336"/>
      <c r="M31" s="336" t="s">
        <v>1204</v>
      </c>
      <c r="N31" s="336"/>
      <c r="O31" s="400" t="str">
        <f>IF(K32&gt;=75,"4",IF(K32&gt;=50,"3",IF(K32&gt;=25,"2",1)))</f>
        <v>3</v>
      </c>
      <c r="P31" s="216"/>
    </row>
    <row r="32" spans="1:18" s="408" customFormat="1" ht="11.25" x14ac:dyDescent="0.2">
      <c r="A32" s="218"/>
      <c r="B32" s="401"/>
      <c r="C32" s="218" t="s">
        <v>901</v>
      </c>
      <c r="D32" s="218"/>
      <c r="E32" s="218"/>
      <c r="F32" s="218"/>
      <c r="G32" s="402"/>
      <c r="H32" s="403">
        <f>'FP Info 3'!H37</f>
        <v>13143842</v>
      </c>
      <c r="I32" s="420"/>
      <c r="J32" s="420"/>
      <c r="K32" s="423">
        <f>TRUNC(100-((((H32/H33*100))*100)/100),2)</f>
        <v>73.69</v>
      </c>
      <c r="L32" s="406"/>
      <c r="M32" s="360" t="s">
        <v>1205</v>
      </c>
      <c r="N32" s="360"/>
      <c r="O32" s="434">
        <v>0.1</v>
      </c>
    </row>
    <row r="33" spans="1:17" s="408" customFormat="1" ht="11.25" x14ac:dyDescent="0.2">
      <c r="A33" s="218"/>
      <c r="B33" s="401"/>
      <c r="C33" s="218" t="s">
        <v>831</v>
      </c>
      <c r="D33" s="218"/>
      <c r="E33" s="218"/>
      <c r="F33" s="218"/>
      <c r="G33" s="402"/>
      <c r="H33" s="403">
        <f>IF('FP Info 3'!H31="Enter X in a or b"," ",'FP Info 3'!H31)</f>
        <v>49963059.114000008</v>
      </c>
      <c r="I33" s="420"/>
      <c r="J33" s="420"/>
      <c r="K33" s="403"/>
      <c r="L33" s="218"/>
      <c r="M33" s="435" t="s">
        <v>1206</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312</v>
      </c>
      <c r="N35" s="414"/>
      <c r="O35" s="439">
        <f>(O13+O20+O25+O29+O33)</f>
        <v>3.8999999999999995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1109</v>
      </c>
      <c r="I39" s="408"/>
      <c r="J39" s="408"/>
      <c r="K39" s="410"/>
      <c r="L39" s="408"/>
      <c r="M39" s="408"/>
      <c r="N39" s="408"/>
      <c r="O39" s="218"/>
      <c r="P39" s="216"/>
      <c r="Q39" s="216"/>
    </row>
    <row r="40" spans="1:17" x14ac:dyDescent="0.2">
      <c r="A40" s="216"/>
      <c r="B40" s="396"/>
      <c r="C40" s="216"/>
      <c r="D40" s="216"/>
      <c r="E40" s="216"/>
      <c r="F40" s="216"/>
      <c r="G40" s="445"/>
      <c r="H40" s="446" t="s">
        <v>1585</v>
      </c>
      <c r="I40" s="408"/>
      <c r="J40" s="408"/>
      <c r="K40" s="410"/>
      <c r="L40" s="408"/>
      <c r="M40" s="408"/>
      <c r="N40" s="408"/>
      <c r="O40" s="218"/>
      <c r="P40" s="216"/>
      <c r="Q40" s="216"/>
    </row>
    <row r="41" spans="1:17" x14ac:dyDescent="0.2">
      <c r="G41" s="448"/>
      <c r="H41" s="218" t="s">
        <v>1586</v>
      </c>
      <c r="M41" s="216"/>
      <c r="O41" s="216"/>
      <c r="P41" s="216"/>
      <c r="Q41" s="216"/>
    </row>
    <row r="42" spans="1:17" x14ac:dyDescent="0.2">
      <c r="A42" s="385" t="s">
        <v>1587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view="pageLayout" topLeftCell="A16" colorId="8" zoomScaleNormal="110" workbookViewId="0">
      <selection activeCell="F28" sqref="F28"/>
    </sheetView>
  </sheetViews>
  <sheetFormatPr defaultColWidth="9.140625" defaultRowHeight="12.75" x14ac:dyDescent="0.2"/>
  <cols>
    <col min="1" max="1" width="47.28515625" style="500" customWidth="1"/>
    <col min="2" max="2" width="4.5703125" style="501" customWidth="1"/>
    <col min="3" max="14" width="13.7109375" style="457" customWidth="1"/>
    <col min="15" max="16384" width="9.140625" style="457"/>
  </cols>
  <sheetData>
    <row r="1" spans="1:14" x14ac:dyDescent="0.2">
      <c r="A1" s="2137" t="s">
        <v>1573</v>
      </c>
      <c r="B1" s="452"/>
      <c r="C1" s="453" t="s">
        <v>444</v>
      </c>
      <c r="D1" s="453" t="s">
        <v>445</v>
      </c>
      <c r="E1" s="453" t="s">
        <v>446</v>
      </c>
      <c r="F1" s="453" t="s">
        <v>447</v>
      </c>
      <c r="G1" s="453" t="s">
        <v>448</v>
      </c>
      <c r="H1" s="453" t="s">
        <v>449</v>
      </c>
      <c r="I1" s="453" t="s">
        <v>450</v>
      </c>
      <c r="J1" s="453" t="s">
        <v>451</v>
      </c>
      <c r="K1" s="453" t="s">
        <v>779</v>
      </c>
      <c r="L1" s="454"/>
      <c r="M1" s="455" t="s">
        <v>591</v>
      </c>
      <c r="N1" s="456"/>
    </row>
    <row r="2" spans="1:14" s="347" customFormat="1" ht="33.75" x14ac:dyDescent="0.2">
      <c r="A2" s="2138"/>
      <c r="B2" s="458" t="s">
        <v>946</v>
      </c>
      <c r="C2" s="459" t="s">
        <v>1216</v>
      </c>
      <c r="D2" s="459" t="s">
        <v>924</v>
      </c>
      <c r="E2" s="459" t="s">
        <v>457</v>
      </c>
      <c r="F2" s="459" t="s">
        <v>157</v>
      </c>
      <c r="G2" s="459" t="s">
        <v>1006</v>
      </c>
      <c r="H2" s="459" t="s">
        <v>456</v>
      </c>
      <c r="I2" s="459" t="s">
        <v>426</v>
      </c>
      <c r="J2" s="459" t="s">
        <v>455</v>
      </c>
      <c r="K2" s="459" t="s">
        <v>159</v>
      </c>
      <c r="L2" s="460" t="s">
        <v>554</v>
      </c>
      <c r="M2" s="461" t="s">
        <v>605</v>
      </c>
      <c r="N2" s="462" t="s">
        <v>555</v>
      </c>
    </row>
    <row r="3" spans="1:14" s="347" customFormat="1" ht="18" customHeight="1" x14ac:dyDescent="0.2">
      <c r="A3" s="2139" t="s">
        <v>1029</v>
      </c>
      <c r="B3" s="2140"/>
      <c r="C3" s="1571"/>
      <c r="D3" s="1572"/>
      <c r="E3" s="1572"/>
      <c r="F3" s="1572"/>
      <c r="G3" s="1572"/>
      <c r="H3" s="1572"/>
      <c r="I3" s="1572"/>
      <c r="J3" s="1572"/>
      <c r="K3" s="1572"/>
      <c r="L3" s="1572"/>
      <c r="M3" s="1573"/>
      <c r="N3" s="1574"/>
    </row>
    <row r="4" spans="1:14" ht="13.5" customHeight="1" x14ac:dyDescent="0.2">
      <c r="A4" s="463" t="s">
        <v>1749</v>
      </c>
      <c r="B4" s="464"/>
      <c r="C4" s="465">
        <f>3068915+121616+13004+9906</f>
        <v>3213441</v>
      </c>
      <c r="D4" s="466">
        <f>97978+3033+8679</f>
        <v>109690</v>
      </c>
      <c r="E4" s="466">
        <v>5162</v>
      </c>
      <c r="F4" s="466">
        <f>284937+573</f>
        <v>285510</v>
      </c>
      <c r="G4" s="466">
        <v>181199</v>
      </c>
      <c r="H4" s="466">
        <v>725632</v>
      </c>
      <c r="I4" s="466">
        <v>319780</v>
      </c>
      <c r="J4" s="467">
        <v>450189</v>
      </c>
      <c r="K4" s="466">
        <v>1796769</v>
      </c>
      <c r="L4" s="466">
        <v>487905</v>
      </c>
      <c r="M4" s="468"/>
      <c r="N4" s="469"/>
    </row>
    <row r="5" spans="1:14" x14ac:dyDescent="0.2">
      <c r="A5" s="463" t="s">
        <v>1048</v>
      </c>
      <c r="B5" s="470">
        <v>120</v>
      </c>
      <c r="C5" s="465">
        <f>5529799+338436+63324</f>
        <v>5931559</v>
      </c>
      <c r="D5" s="466">
        <f>457899+5504+125</f>
        <v>463528</v>
      </c>
      <c r="E5" s="466">
        <v>880</v>
      </c>
      <c r="F5" s="466">
        <f>134481+5107+585109</f>
        <v>724697</v>
      </c>
      <c r="G5" s="466">
        <v>816092</v>
      </c>
      <c r="H5" s="466">
        <v>2654052</v>
      </c>
      <c r="I5" s="466">
        <v>2655702</v>
      </c>
      <c r="J5" s="467">
        <v>823827</v>
      </c>
      <c r="K5" s="471">
        <v>2186463</v>
      </c>
      <c r="L5" s="472">
        <v>167444</v>
      </c>
      <c r="M5" s="468"/>
      <c r="N5" s="469"/>
    </row>
    <row r="6" spans="1:14" ht="13.5" customHeight="1" x14ac:dyDescent="0.2">
      <c r="A6" s="473" t="s">
        <v>436</v>
      </c>
      <c r="B6" s="470">
        <v>130</v>
      </c>
      <c r="C6" s="465"/>
      <c r="D6" s="466"/>
      <c r="E6" s="466"/>
      <c r="F6" s="466"/>
      <c r="G6" s="471"/>
      <c r="H6" s="471"/>
      <c r="I6" s="466"/>
      <c r="J6" s="474"/>
      <c r="K6" s="471"/>
      <c r="L6" s="475"/>
      <c r="M6" s="468"/>
      <c r="N6" s="469"/>
    </row>
    <row r="7" spans="1:14" ht="13.5" customHeight="1" x14ac:dyDescent="0.2">
      <c r="A7" s="473" t="s">
        <v>437</v>
      </c>
      <c r="B7" s="470">
        <v>140</v>
      </c>
      <c r="C7" s="465"/>
      <c r="D7" s="467"/>
      <c r="E7" s="467"/>
      <c r="F7" s="467"/>
      <c r="G7" s="467"/>
      <c r="H7" s="467"/>
      <c r="I7" s="467"/>
      <c r="J7" s="467"/>
      <c r="K7" s="467"/>
      <c r="L7" s="476"/>
      <c r="M7" s="468"/>
      <c r="N7" s="469"/>
    </row>
    <row r="8" spans="1:14" ht="13.5" customHeight="1" x14ac:dyDescent="0.2">
      <c r="A8" s="473" t="s">
        <v>286</v>
      </c>
      <c r="B8" s="470">
        <v>150</v>
      </c>
      <c r="C8" s="465"/>
      <c r="D8" s="467"/>
      <c r="E8" s="467"/>
      <c r="F8" s="467"/>
      <c r="G8" s="477"/>
      <c r="H8" s="467"/>
      <c r="I8" s="474"/>
      <c r="J8" s="474"/>
      <c r="K8" s="478"/>
      <c r="L8" s="479"/>
      <c r="M8" s="468"/>
      <c r="N8" s="469"/>
    </row>
    <row r="9" spans="1:14" ht="13.5" customHeight="1" x14ac:dyDescent="0.2">
      <c r="A9" s="473" t="s">
        <v>287</v>
      </c>
      <c r="B9" s="470">
        <v>160</v>
      </c>
      <c r="C9" s="465"/>
      <c r="D9" s="467"/>
      <c r="E9" s="467"/>
      <c r="F9" s="467"/>
      <c r="G9" s="467"/>
      <c r="H9" s="477"/>
      <c r="I9" s="467"/>
      <c r="J9" s="467"/>
      <c r="K9" s="467"/>
      <c r="L9" s="467"/>
      <c r="M9" s="468"/>
      <c r="N9" s="469"/>
    </row>
    <row r="10" spans="1:14" ht="13.5" customHeight="1" x14ac:dyDescent="0.2">
      <c r="A10" s="473" t="s">
        <v>1047</v>
      </c>
      <c r="B10" s="470">
        <v>170</v>
      </c>
      <c r="C10" s="465"/>
      <c r="D10" s="466"/>
      <c r="E10" s="467"/>
      <c r="F10" s="466"/>
      <c r="G10" s="477"/>
      <c r="H10" s="480"/>
      <c r="I10" s="467"/>
      <c r="J10" s="467"/>
      <c r="K10" s="480"/>
      <c r="L10" s="480"/>
      <c r="M10" s="469"/>
      <c r="N10" s="469"/>
    </row>
    <row r="11" spans="1:14" ht="13.5" customHeight="1" x14ac:dyDescent="0.2">
      <c r="A11" s="473" t="s">
        <v>288</v>
      </c>
      <c r="B11" s="470">
        <v>180</v>
      </c>
      <c r="C11" s="465"/>
      <c r="D11" s="467"/>
      <c r="E11" s="467"/>
      <c r="F11" s="467"/>
      <c r="G11" s="467"/>
      <c r="H11" s="467"/>
      <c r="I11" s="477"/>
      <c r="J11" s="477"/>
      <c r="K11" s="467"/>
      <c r="L11" s="467"/>
      <c r="M11" s="469"/>
      <c r="N11" s="469"/>
    </row>
    <row r="12" spans="1:14" ht="13.5" customHeight="1" x14ac:dyDescent="0.2">
      <c r="A12" s="473" t="s">
        <v>438</v>
      </c>
      <c r="B12" s="470">
        <v>190</v>
      </c>
      <c r="C12" s="465"/>
      <c r="D12" s="466"/>
      <c r="E12" s="466"/>
      <c r="F12" s="466"/>
      <c r="G12" s="466"/>
      <c r="H12" s="466"/>
      <c r="I12" s="466"/>
      <c r="J12" s="467"/>
      <c r="K12" s="466"/>
      <c r="L12" s="466"/>
      <c r="M12" s="469"/>
      <c r="N12" s="469"/>
    </row>
    <row r="13" spans="1:14" ht="13.5" customHeight="1" thickBot="1" x14ac:dyDescent="0.25">
      <c r="A13" s="1748" t="s">
        <v>664</v>
      </c>
      <c r="B13" s="1721"/>
      <c r="C13" s="1749">
        <f>SUM(C4:C12)</f>
        <v>9145000</v>
      </c>
      <c r="D13" s="1749">
        <f t="shared" ref="D13:L13" si="0">SUM(D4:D12)</f>
        <v>573218</v>
      </c>
      <c r="E13" s="1749">
        <f t="shared" si="0"/>
        <v>6042</v>
      </c>
      <c r="F13" s="1749">
        <f t="shared" si="0"/>
        <v>1010207</v>
      </c>
      <c r="G13" s="1749">
        <f t="shared" si="0"/>
        <v>997291</v>
      </c>
      <c r="H13" s="1749">
        <f t="shared" si="0"/>
        <v>3379684</v>
      </c>
      <c r="I13" s="1749">
        <f t="shared" si="0"/>
        <v>2975482</v>
      </c>
      <c r="J13" s="1749">
        <f t="shared" si="0"/>
        <v>1274016</v>
      </c>
      <c r="K13" s="1749">
        <f t="shared" si="0"/>
        <v>3983232</v>
      </c>
      <c r="L13" s="1749">
        <f t="shared" si="0"/>
        <v>655349</v>
      </c>
      <c r="M13" s="468"/>
      <c r="N13" s="469"/>
    </row>
    <row r="14" spans="1:14" ht="18" customHeight="1" thickTop="1" x14ac:dyDescent="0.2">
      <c r="A14" s="2141" t="s">
        <v>149</v>
      </c>
      <c r="B14" s="2142"/>
      <c r="C14" s="1575"/>
      <c r="D14" s="1576"/>
      <c r="E14" s="1576"/>
      <c r="F14" s="1576"/>
      <c r="G14" s="1576"/>
      <c r="H14" s="1576"/>
      <c r="I14" s="1576"/>
      <c r="J14" s="1576"/>
      <c r="K14" s="1576"/>
      <c r="L14" s="1576"/>
      <c r="M14" s="1577"/>
      <c r="N14" s="1578"/>
    </row>
    <row r="15" spans="1:14" s="484" customFormat="1" ht="12.75" customHeight="1" x14ac:dyDescent="0.2">
      <c r="A15" s="481" t="s">
        <v>1467</v>
      </c>
      <c r="B15" s="482">
        <v>210</v>
      </c>
      <c r="C15" s="476"/>
      <c r="D15" s="476"/>
      <c r="E15" s="476"/>
      <c r="F15" s="476"/>
      <c r="G15" s="476"/>
      <c r="H15" s="476"/>
      <c r="I15" s="476"/>
      <c r="J15" s="476"/>
      <c r="K15" s="476"/>
      <c r="L15" s="476"/>
      <c r="M15" s="477"/>
      <c r="N15" s="483"/>
    </row>
    <row r="16" spans="1:14" s="484" customFormat="1" ht="12.75" customHeight="1" x14ac:dyDescent="0.2">
      <c r="A16" s="481" t="s">
        <v>1468</v>
      </c>
      <c r="B16" s="482">
        <v>220</v>
      </c>
      <c r="C16" s="476"/>
      <c r="D16" s="476"/>
      <c r="E16" s="476"/>
      <c r="F16" s="476"/>
      <c r="G16" s="476"/>
      <c r="H16" s="476"/>
      <c r="I16" s="476"/>
      <c r="J16" s="476"/>
      <c r="K16" s="476"/>
      <c r="L16" s="476"/>
      <c r="M16" s="467">
        <f>'Cap Outlay Deprec 26'!L5</f>
        <v>1126202</v>
      </c>
      <c r="N16" s="483"/>
    </row>
    <row r="17" spans="1:14" s="484" customFormat="1" ht="12.75" customHeight="1" x14ac:dyDescent="0.2">
      <c r="A17" s="481" t="s">
        <v>1469</v>
      </c>
      <c r="B17" s="482">
        <v>230</v>
      </c>
      <c r="C17" s="476"/>
      <c r="D17" s="476"/>
      <c r="E17" s="476"/>
      <c r="F17" s="476"/>
      <c r="G17" s="476"/>
      <c r="H17" s="476"/>
      <c r="I17" s="476"/>
      <c r="J17" s="476"/>
      <c r="K17" s="476"/>
      <c r="L17" s="476"/>
      <c r="M17" s="467">
        <f>'Cap Outlay Deprec 26'!L8</f>
        <v>28660921</v>
      </c>
      <c r="N17" s="483"/>
    </row>
    <row r="18" spans="1:14" s="484" customFormat="1" ht="12.75" customHeight="1" x14ac:dyDescent="0.2">
      <c r="A18" s="481" t="s">
        <v>1470</v>
      </c>
      <c r="B18" s="482">
        <v>240</v>
      </c>
      <c r="C18" s="476"/>
      <c r="D18" s="476"/>
      <c r="E18" s="476"/>
      <c r="F18" s="476"/>
      <c r="G18" s="476"/>
      <c r="H18" s="476"/>
      <c r="I18" s="476"/>
      <c r="J18" s="476"/>
      <c r="K18" s="476"/>
      <c r="L18" s="476"/>
      <c r="M18" s="467">
        <f>'Cap Outlay Deprec 26'!L10</f>
        <v>426731</v>
      </c>
      <c r="N18" s="483"/>
    </row>
    <row r="19" spans="1:14" s="484" customFormat="1" ht="12.75" customHeight="1" x14ac:dyDescent="0.2">
      <c r="A19" s="481" t="s">
        <v>1471</v>
      </c>
      <c r="B19" s="482">
        <v>250</v>
      </c>
      <c r="C19" s="476"/>
      <c r="D19" s="476"/>
      <c r="E19" s="476"/>
      <c r="F19" s="476"/>
      <c r="G19" s="476"/>
      <c r="H19" s="476"/>
      <c r="I19" s="476"/>
      <c r="J19" s="476"/>
      <c r="K19" s="476"/>
      <c r="L19" s="476"/>
      <c r="M19" s="467">
        <f>'Cap Outlay Deprec 26'!L12</f>
        <v>1130096</v>
      </c>
      <c r="N19" s="483"/>
    </row>
    <row r="20" spans="1:14" s="484" customFormat="1" ht="12.75" customHeight="1" x14ac:dyDescent="0.2">
      <c r="A20" s="481" t="s">
        <v>1472</v>
      </c>
      <c r="B20" s="482">
        <v>260</v>
      </c>
      <c r="C20" s="476"/>
      <c r="D20" s="476"/>
      <c r="E20" s="476"/>
      <c r="F20" s="476"/>
      <c r="G20" s="476"/>
      <c r="H20" s="476"/>
      <c r="I20" s="476"/>
      <c r="J20" s="476"/>
      <c r="K20" s="476"/>
      <c r="L20" s="476"/>
      <c r="M20" s="467">
        <f>'Cap Outlay Deprec 26'!L13</f>
        <v>28235</v>
      </c>
      <c r="N20" s="483"/>
    </row>
    <row r="21" spans="1:14" s="484" customFormat="1" ht="12.75" customHeight="1" x14ac:dyDescent="0.2">
      <c r="A21" s="481" t="s">
        <v>1473</v>
      </c>
      <c r="B21" s="482">
        <v>340</v>
      </c>
      <c r="C21" s="476"/>
      <c r="D21" s="476"/>
      <c r="E21" s="476"/>
      <c r="F21" s="476"/>
      <c r="G21" s="476"/>
      <c r="H21" s="476"/>
      <c r="I21" s="476"/>
      <c r="J21" s="476"/>
      <c r="K21" s="476"/>
      <c r="L21" s="476"/>
      <c r="M21" s="485"/>
      <c r="N21" s="467">
        <f>E13</f>
        <v>6042</v>
      </c>
    </row>
    <row r="22" spans="1:14" s="484" customFormat="1" ht="12.75" customHeight="1" x14ac:dyDescent="0.2">
      <c r="A22" s="481" t="s">
        <v>1474</v>
      </c>
      <c r="B22" s="482">
        <v>350</v>
      </c>
      <c r="C22" s="476"/>
      <c r="D22" s="476"/>
      <c r="E22" s="476"/>
      <c r="F22" s="476"/>
      <c r="G22" s="476"/>
      <c r="H22" s="476"/>
      <c r="I22" s="476"/>
      <c r="J22" s="476"/>
      <c r="K22" s="476"/>
      <c r="L22" s="476"/>
      <c r="M22" s="485"/>
      <c r="N22" s="486">
        <f>'Short-Term Long-Term Debt 24'!J49</f>
        <v>13137800</v>
      </c>
    </row>
    <row r="23" spans="1:14" ht="13.5" customHeight="1" thickBot="1" x14ac:dyDescent="0.25">
      <c r="A23" s="1748" t="s">
        <v>663</v>
      </c>
      <c r="B23" s="1753"/>
      <c r="C23" s="468"/>
      <c r="D23" s="468"/>
      <c r="E23" s="468"/>
      <c r="F23" s="468"/>
      <c r="G23" s="468"/>
      <c r="H23" s="468"/>
      <c r="I23" s="468"/>
      <c r="J23" s="468"/>
      <c r="K23" s="468"/>
      <c r="L23" s="468"/>
      <c r="M23" s="1700">
        <f>SUM(M15:M22)</f>
        <v>31372185</v>
      </c>
      <c r="N23" s="1700">
        <f>SUM(N21:N22)</f>
        <v>13143842</v>
      </c>
    </row>
    <row r="24" spans="1:14" ht="18" customHeight="1" thickTop="1" x14ac:dyDescent="0.2">
      <c r="A24" s="2143" t="s">
        <v>618</v>
      </c>
      <c r="B24" s="2144"/>
      <c r="C24" s="1580"/>
      <c r="D24" s="1577"/>
      <c r="E24" s="1577"/>
      <c r="F24" s="1577"/>
      <c r="G24" s="1577"/>
      <c r="H24" s="1577"/>
      <c r="I24" s="1577"/>
      <c r="J24" s="1577"/>
      <c r="K24" s="1577"/>
      <c r="L24" s="1577"/>
      <c r="M24" s="1576"/>
      <c r="N24" s="1581"/>
    </row>
    <row r="25" spans="1:14" x14ac:dyDescent="0.2">
      <c r="A25" s="473" t="s">
        <v>665</v>
      </c>
      <c r="B25" s="470">
        <v>410</v>
      </c>
      <c r="C25" s="477"/>
      <c r="D25" s="477"/>
      <c r="E25" s="477"/>
      <c r="F25" s="477"/>
      <c r="G25" s="477"/>
      <c r="H25" s="478"/>
      <c r="I25" s="468"/>
      <c r="J25" s="477"/>
      <c r="K25" s="477"/>
      <c r="L25" s="468"/>
      <c r="M25" s="468"/>
      <c r="N25" s="468"/>
    </row>
    <row r="26" spans="1:14" x14ac:dyDescent="0.2">
      <c r="A26" s="473" t="s">
        <v>666</v>
      </c>
      <c r="B26" s="470">
        <v>420</v>
      </c>
      <c r="C26" s="467"/>
      <c r="D26" s="467"/>
      <c r="E26" s="467"/>
      <c r="F26" s="467"/>
      <c r="G26" s="467"/>
      <c r="H26" s="467"/>
      <c r="I26" s="467"/>
      <c r="J26" s="474"/>
      <c r="K26" s="467"/>
      <c r="L26" s="468"/>
      <c r="M26" s="468"/>
      <c r="N26" s="468"/>
    </row>
    <row r="27" spans="1:14" ht="13.5" customHeight="1" x14ac:dyDescent="0.2">
      <c r="A27" s="473" t="s">
        <v>667</v>
      </c>
      <c r="B27" s="470">
        <v>430</v>
      </c>
      <c r="C27" s="467">
        <v>17</v>
      </c>
      <c r="D27" s="467"/>
      <c r="E27" s="467"/>
      <c r="F27" s="467"/>
      <c r="G27" s="467"/>
      <c r="H27" s="467"/>
      <c r="I27" s="467"/>
      <c r="J27" s="467"/>
      <c r="K27" s="467"/>
      <c r="L27" s="468"/>
      <c r="M27" s="468"/>
      <c r="N27" s="468"/>
    </row>
    <row r="28" spans="1:14" ht="13.5" customHeight="1" x14ac:dyDescent="0.2">
      <c r="A28" s="473" t="s">
        <v>668</v>
      </c>
      <c r="B28" s="470">
        <v>440</v>
      </c>
      <c r="C28" s="467"/>
      <c r="D28" s="467"/>
      <c r="E28" s="474"/>
      <c r="F28" s="467"/>
      <c r="G28" s="474">
        <v>1882</v>
      </c>
      <c r="H28" s="474"/>
      <c r="I28" s="467"/>
      <c r="J28" s="467"/>
      <c r="K28" s="478"/>
      <c r="L28" s="468"/>
      <c r="M28" s="468"/>
      <c r="N28" s="468"/>
    </row>
    <row r="29" spans="1:14" ht="13.5" customHeight="1" x14ac:dyDescent="0.2">
      <c r="A29" s="473" t="s">
        <v>669</v>
      </c>
      <c r="B29" s="470">
        <v>460</v>
      </c>
      <c r="C29" s="487"/>
      <c r="D29" s="488"/>
      <c r="E29" s="474"/>
      <c r="F29" s="467"/>
      <c r="G29" s="474"/>
      <c r="H29" s="474"/>
      <c r="I29" s="474"/>
      <c r="J29" s="474"/>
      <c r="K29" s="467"/>
      <c r="L29" s="468"/>
      <c r="M29" s="468"/>
      <c r="N29" s="468"/>
    </row>
    <row r="30" spans="1:14" ht="13.5" customHeight="1" x14ac:dyDescent="0.2">
      <c r="A30" s="473" t="s">
        <v>670</v>
      </c>
      <c r="B30" s="470">
        <v>470</v>
      </c>
      <c r="C30" s="467">
        <v>-10305</v>
      </c>
      <c r="D30" s="474">
        <v>224</v>
      </c>
      <c r="E30" s="467"/>
      <c r="F30" s="467"/>
      <c r="G30" s="467"/>
      <c r="H30" s="467"/>
      <c r="I30" s="467"/>
      <c r="J30" s="467"/>
      <c r="K30" s="477"/>
      <c r="L30" s="468"/>
      <c r="M30" s="468"/>
      <c r="N30" s="468"/>
    </row>
    <row r="31" spans="1:14" ht="13.5" customHeight="1" x14ac:dyDescent="0.2">
      <c r="A31" s="473" t="s">
        <v>671</v>
      </c>
      <c r="B31" s="470">
        <v>480</v>
      </c>
      <c r="C31" s="466">
        <f>988-288-120-41+111+102</f>
        <v>752</v>
      </c>
      <c r="D31" s="467">
        <f>-44+-1474</f>
        <v>-1518</v>
      </c>
      <c r="E31" s="467"/>
      <c r="F31" s="466">
        <v>655</v>
      </c>
      <c r="G31" s="467"/>
      <c r="H31" s="467"/>
      <c r="I31" s="467"/>
      <c r="J31" s="467"/>
      <c r="K31" s="467"/>
      <c r="L31" s="468"/>
      <c r="M31" s="468"/>
      <c r="N31" s="468"/>
    </row>
    <row r="32" spans="1:14" ht="13.5" customHeight="1" x14ac:dyDescent="0.2">
      <c r="A32" s="489" t="s">
        <v>672</v>
      </c>
      <c r="B32" s="490">
        <v>490</v>
      </c>
      <c r="C32" s="491"/>
      <c r="D32" s="491"/>
      <c r="E32" s="474"/>
      <c r="F32" s="474"/>
      <c r="G32" s="474"/>
      <c r="H32" s="474"/>
      <c r="I32" s="474"/>
      <c r="J32" s="474"/>
      <c r="K32" s="478"/>
      <c r="L32" s="468"/>
      <c r="M32" s="468"/>
      <c r="N32" s="468"/>
    </row>
    <row r="33" spans="1:14" ht="13.5" customHeight="1" x14ac:dyDescent="0.2">
      <c r="A33" s="492" t="s">
        <v>320</v>
      </c>
      <c r="B33" s="490">
        <v>493</v>
      </c>
      <c r="C33" s="467"/>
      <c r="D33" s="467"/>
      <c r="E33" s="467"/>
      <c r="F33" s="467"/>
      <c r="G33" s="467"/>
      <c r="H33" s="467"/>
      <c r="I33" s="467"/>
      <c r="J33" s="467"/>
      <c r="K33" s="467"/>
      <c r="L33" s="467">
        <f>L13</f>
        <v>655349</v>
      </c>
      <c r="M33" s="468"/>
      <c r="N33" s="469"/>
    </row>
    <row r="34" spans="1:14" ht="13.5" customHeight="1" thickBot="1" x14ac:dyDescent="0.25">
      <c r="A34" s="1750" t="s">
        <v>674</v>
      </c>
      <c r="B34" s="1751"/>
      <c r="C34" s="1752">
        <f>SUM(C25:C33)</f>
        <v>-9536</v>
      </c>
      <c r="D34" s="1752">
        <f t="shared" ref="D34:K34" si="1">SUM(D25:D33)</f>
        <v>-1294</v>
      </c>
      <c r="E34" s="1752">
        <f t="shared" si="1"/>
        <v>0</v>
      </c>
      <c r="F34" s="1752">
        <f t="shared" si="1"/>
        <v>655</v>
      </c>
      <c r="G34" s="1752">
        <f t="shared" si="1"/>
        <v>1882</v>
      </c>
      <c r="H34" s="1752">
        <f t="shared" si="1"/>
        <v>0</v>
      </c>
      <c r="I34" s="1752">
        <f t="shared" si="1"/>
        <v>0</v>
      </c>
      <c r="J34" s="1752">
        <f t="shared" si="1"/>
        <v>0</v>
      </c>
      <c r="K34" s="1752">
        <f t="shared" si="1"/>
        <v>0</v>
      </c>
      <c r="L34" s="1733">
        <f>SUM(L33)</f>
        <v>655349</v>
      </c>
      <c r="M34" s="468"/>
      <c r="N34" s="479"/>
    </row>
    <row r="35" spans="1:14" ht="18" customHeight="1" thickTop="1" x14ac:dyDescent="0.2">
      <c r="A35" s="2145" t="s">
        <v>549</v>
      </c>
      <c r="B35" s="2146"/>
      <c r="C35" s="1582"/>
      <c r="D35" s="1583"/>
      <c r="E35" s="1583"/>
      <c r="F35" s="1583"/>
      <c r="G35" s="1583"/>
      <c r="H35" s="1583"/>
      <c r="I35" s="1583"/>
      <c r="J35" s="1583"/>
      <c r="K35" s="1583"/>
      <c r="L35" s="1583"/>
      <c r="M35" s="1577"/>
      <c r="N35" s="1581"/>
    </row>
    <row r="36" spans="1:14" x14ac:dyDescent="0.2">
      <c r="A36" s="493" t="s">
        <v>1</v>
      </c>
      <c r="B36" s="470">
        <v>511</v>
      </c>
      <c r="C36" s="476"/>
      <c r="D36" s="476"/>
      <c r="E36" s="476"/>
      <c r="F36" s="476"/>
      <c r="G36" s="476"/>
      <c r="H36" s="476"/>
      <c r="I36" s="476"/>
      <c r="J36" s="476"/>
      <c r="K36" s="476"/>
      <c r="L36" s="468"/>
      <c r="M36" s="468"/>
      <c r="N36" s="494">
        <f>'Short-Term Long-Term Debt 24'!I49</f>
        <v>13143842</v>
      </c>
    </row>
    <row r="37" spans="1:14" ht="13.5" thickBot="1" x14ac:dyDescent="0.25">
      <c r="A37" s="1748" t="s">
        <v>673</v>
      </c>
      <c r="B37" s="1753"/>
      <c r="C37" s="476"/>
      <c r="D37" s="476"/>
      <c r="E37" s="476"/>
      <c r="F37" s="476"/>
      <c r="G37" s="476"/>
      <c r="H37" s="476"/>
      <c r="I37" s="476"/>
      <c r="J37" s="476"/>
      <c r="K37" s="476"/>
      <c r="L37" s="479"/>
      <c r="M37" s="468"/>
      <c r="N37" s="1700">
        <f>SUM(N36:N36)</f>
        <v>13143842</v>
      </c>
    </row>
    <row r="38" spans="1:14" s="329" customFormat="1" ht="13.5" customHeight="1" thickTop="1" x14ac:dyDescent="0.2">
      <c r="A38" s="495" t="s">
        <v>439</v>
      </c>
      <c r="B38" s="482">
        <v>714</v>
      </c>
      <c r="C38" s="466">
        <v>536380</v>
      </c>
      <c r="D38" s="466">
        <v>17341</v>
      </c>
      <c r="E38" s="466"/>
      <c r="F38" s="466">
        <v>140161</v>
      </c>
      <c r="G38" s="466"/>
      <c r="H38" s="466"/>
      <c r="I38" s="466"/>
      <c r="J38" s="467"/>
      <c r="K38" s="466"/>
      <c r="L38" s="480"/>
      <c r="M38" s="496"/>
      <c r="N38" s="496"/>
    </row>
    <row r="39" spans="1:14" s="329" customFormat="1" ht="13.5" customHeight="1" x14ac:dyDescent="0.2">
      <c r="A39" s="495" t="s">
        <v>359</v>
      </c>
      <c r="B39" s="482">
        <v>730</v>
      </c>
      <c r="C39" s="466">
        <v>8618156</v>
      </c>
      <c r="D39" s="466">
        <v>557171</v>
      </c>
      <c r="E39" s="466">
        <v>6042</v>
      </c>
      <c r="F39" s="466">
        <v>869391</v>
      </c>
      <c r="G39" s="466">
        <v>995409</v>
      </c>
      <c r="H39" s="466">
        <v>3379684</v>
      </c>
      <c r="I39" s="466">
        <v>2975482</v>
      </c>
      <c r="J39" s="467">
        <v>1274016</v>
      </c>
      <c r="K39" s="466">
        <v>3983232</v>
      </c>
      <c r="L39" s="466"/>
      <c r="M39" s="496"/>
      <c r="N39" s="496"/>
    </row>
    <row r="40" spans="1:14" s="329" customFormat="1" ht="13.5" customHeight="1" x14ac:dyDescent="0.2">
      <c r="A40" s="497" t="s">
        <v>150</v>
      </c>
      <c r="B40" s="498"/>
      <c r="C40" s="499"/>
      <c r="D40" s="499"/>
      <c r="E40" s="499"/>
      <c r="F40" s="499"/>
      <c r="G40" s="499"/>
      <c r="H40" s="499"/>
      <c r="I40" s="499"/>
      <c r="J40" s="499"/>
      <c r="K40" s="499"/>
      <c r="L40" s="499"/>
      <c r="M40" s="467">
        <f>M23</f>
        <v>31372185</v>
      </c>
      <c r="N40" s="496"/>
    </row>
    <row r="41" spans="1:14" ht="13.5" customHeight="1" thickBot="1" x14ac:dyDescent="0.25">
      <c r="A41" s="1748" t="s">
        <v>675</v>
      </c>
      <c r="B41" s="1718"/>
      <c r="C41" s="1700">
        <f>(SUM(C34,C37,C38,C39))</f>
        <v>9145000</v>
      </c>
      <c r="D41" s="1700">
        <f t="shared" ref="D41:L41" si="2">SUM(D34,D37,D38:D39)</f>
        <v>573218</v>
      </c>
      <c r="E41" s="1700">
        <f t="shared" si="2"/>
        <v>6042</v>
      </c>
      <c r="F41" s="1700">
        <f t="shared" si="2"/>
        <v>1010207</v>
      </c>
      <c r="G41" s="1700">
        <f t="shared" si="2"/>
        <v>997291</v>
      </c>
      <c r="H41" s="1700">
        <f t="shared" si="2"/>
        <v>3379684</v>
      </c>
      <c r="I41" s="1700">
        <f t="shared" si="2"/>
        <v>2975482</v>
      </c>
      <c r="J41" s="1700">
        <f t="shared" si="2"/>
        <v>1274016</v>
      </c>
      <c r="K41" s="1700">
        <f t="shared" si="2"/>
        <v>3983232</v>
      </c>
      <c r="L41" s="1700">
        <f t="shared" si="2"/>
        <v>655349</v>
      </c>
      <c r="M41" s="1700">
        <f>SUM(M40)</f>
        <v>31372185</v>
      </c>
      <c r="N41" s="1700">
        <f>SUM(N37)</f>
        <v>13143842</v>
      </c>
    </row>
    <row r="42" spans="1:14" ht="13.5" thickTop="1" x14ac:dyDescent="0.2"/>
    <row r="43" spans="1:14" x14ac:dyDescent="0.2">
      <c r="A43" s="247"/>
      <c r="C43" s="502"/>
    </row>
    <row r="44" spans="1:14" x14ac:dyDescent="0.2">
      <c r="A44" s="247"/>
      <c r="C44" s="502"/>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6" type="noConversion"/>
  <printOptions headings="1" gridLinesSet="0"/>
  <pageMargins left="0.3" right="0.15" top="0.61" bottom="0.25"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&amp;CSee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view="pageLayout" topLeftCell="A25" colorId="8" zoomScale="90" zoomScaleNormal="110" zoomScaleSheetLayoutView="100" zoomScalePageLayoutView="90" workbookViewId="0">
      <selection activeCell="C43" sqref="C43"/>
    </sheetView>
  </sheetViews>
  <sheetFormatPr defaultColWidth="9.140625" defaultRowHeight="12.75" x14ac:dyDescent="0.2"/>
  <cols>
    <col min="1" max="1" width="55.85546875" style="500" customWidth="1"/>
    <col min="2" max="2" width="4.7109375" style="501" customWidth="1"/>
    <col min="3" max="11" width="13.7109375" style="457" customWidth="1"/>
    <col min="12" max="12" width="2" style="457" customWidth="1"/>
    <col min="13" max="16384" width="9.140625" style="457"/>
  </cols>
  <sheetData>
    <row r="1" spans="1:13" ht="12.75" customHeight="1" x14ac:dyDescent="0.2">
      <c r="A1" s="2155" t="s">
        <v>1750</v>
      </c>
      <c r="B1" s="452"/>
      <c r="C1" s="503" t="s">
        <v>444</v>
      </c>
      <c r="D1" s="503" t="s">
        <v>445</v>
      </c>
      <c r="E1" s="503" t="s">
        <v>446</v>
      </c>
      <c r="F1" s="503" t="s">
        <v>447</v>
      </c>
      <c r="G1" s="503" t="s">
        <v>448</v>
      </c>
      <c r="H1" s="503" t="s">
        <v>449</v>
      </c>
      <c r="I1" s="503" t="s">
        <v>450</v>
      </c>
      <c r="J1" s="503" t="s">
        <v>451</v>
      </c>
      <c r="K1" s="503" t="s">
        <v>779</v>
      </c>
      <c r="L1" s="500"/>
    </row>
    <row r="2" spans="1:13" s="504" customFormat="1" ht="37.5" customHeight="1" x14ac:dyDescent="0.2">
      <c r="A2" s="2156"/>
      <c r="B2" s="458" t="s">
        <v>395</v>
      </c>
      <c r="C2" s="459" t="s">
        <v>1216</v>
      </c>
      <c r="D2" s="459" t="s">
        <v>924</v>
      </c>
      <c r="E2" s="459" t="s">
        <v>457</v>
      </c>
      <c r="F2" s="459" t="s">
        <v>157</v>
      </c>
      <c r="G2" s="459" t="s">
        <v>1045</v>
      </c>
      <c r="H2" s="459" t="s">
        <v>456</v>
      </c>
      <c r="I2" s="459" t="s">
        <v>426</v>
      </c>
      <c r="J2" s="459" t="s">
        <v>455</v>
      </c>
      <c r="K2" s="459" t="s">
        <v>159</v>
      </c>
      <c r="L2" s="501"/>
    </row>
    <row r="3" spans="1:13" s="506" customFormat="1" ht="16.7" customHeight="1" x14ac:dyDescent="0.2">
      <c r="A3" s="2167" t="s">
        <v>1236</v>
      </c>
      <c r="B3" s="2168"/>
      <c r="C3" s="1585"/>
      <c r="D3" s="1586"/>
      <c r="E3" s="1586"/>
      <c r="F3" s="1586"/>
      <c r="G3" s="1586"/>
      <c r="H3" s="1586"/>
      <c r="I3" s="1586"/>
      <c r="J3" s="1586"/>
      <c r="K3" s="1587"/>
      <c r="L3" s="505"/>
    </row>
    <row r="4" spans="1:13" ht="15.75" customHeight="1" x14ac:dyDescent="0.2">
      <c r="A4" s="1942" t="s">
        <v>1578</v>
      </c>
      <c r="B4" s="1943">
        <v>1000</v>
      </c>
      <c r="C4" s="1754">
        <f>'Revenues 9-14'!C109</f>
        <v>9463768</v>
      </c>
      <c r="D4" s="1754">
        <f>'Revenues 9-14'!D109</f>
        <v>1752057</v>
      </c>
      <c r="E4" s="1754">
        <f>'Revenues 9-14'!E109</f>
        <v>2728658</v>
      </c>
      <c r="F4" s="1754">
        <f>'Revenues 9-14'!F109</f>
        <v>678252</v>
      </c>
      <c r="G4" s="1754">
        <f>'Revenues 9-14'!G109</f>
        <v>613957</v>
      </c>
      <c r="H4" s="1754">
        <f>'Revenues 9-14'!H109</f>
        <v>623044</v>
      </c>
      <c r="I4" s="1754">
        <f>'Revenues 9-14'!I109</f>
        <v>326258</v>
      </c>
      <c r="J4" s="1754">
        <f>'Revenues 9-14'!J109</f>
        <v>661542</v>
      </c>
      <c r="K4" s="1754">
        <f>'Revenues 9-14'!K109</f>
        <v>300512</v>
      </c>
      <c r="L4" s="347"/>
    </row>
    <row r="5" spans="1:13" ht="15.75" customHeight="1" x14ac:dyDescent="0.2">
      <c r="A5" s="1588" t="s">
        <v>1579</v>
      </c>
      <c r="B5" s="1589">
        <v>2000</v>
      </c>
      <c r="C5" s="1755">
        <f>'Revenues 9-14'!C114</f>
        <v>0</v>
      </c>
      <c r="D5" s="1755">
        <f>'Revenues 9-14'!D114</f>
        <v>0</v>
      </c>
      <c r="E5" s="507"/>
      <c r="F5" s="1755">
        <f>'Revenues 9-14'!F114</f>
        <v>0</v>
      </c>
      <c r="G5" s="1755">
        <f>'Revenues 9-14'!G114</f>
        <v>0</v>
      </c>
      <c r="H5" s="508" t="s">
        <v>1230</v>
      </c>
      <c r="I5" s="509" t="s">
        <v>1230</v>
      </c>
      <c r="J5" s="510" t="s">
        <v>1230</v>
      </c>
      <c r="K5" s="511" t="s">
        <v>1230</v>
      </c>
      <c r="L5" s="347"/>
    </row>
    <row r="6" spans="1:13" ht="15.75" customHeight="1" x14ac:dyDescent="0.2">
      <c r="A6" s="1588" t="s">
        <v>1580</v>
      </c>
      <c r="B6" s="1590">
        <v>3000</v>
      </c>
      <c r="C6" s="1755">
        <f>'Revenues 9-14'!C173</f>
        <v>3136936</v>
      </c>
      <c r="D6" s="1755">
        <f>'Revenues 9-14'!D173</f>
        <v>0</v>
      </c>
      <c r="E6" s="1755">
        <f>'Revenues 9-14'!E173</f>
        <v>0</v>
      </c>
      <c r="F6" s="1755">
        <f>'Revenues 9-14'!F173</f>
        <v>555952</v>
      </c>
      <c r="G6" s="1755">
        <f>'Revenues 9-14'!G173</f>
        <v>0</v>
      </c>
      <c r="H6" s="1755">
        <f>'Revenues 9-14'!H173</f>
        <v>0</v>
      </c>
      <c r="I6" s="1755">
        <f>'Revenues 9-14'!I173</f>
        <v>0</v>
      </c>
      <c r="J6" s="1755">
        <f>'Revenues 9-14'!J173</f>
        <v>0</v>
      </c>
      <c r="K6" s="1755">
        <f>'Revenues 9-14'!K173</f>
        <v>0</v>
      </c>
      <c r="L6" s="347"/>
      <c r="M6" s="512"/>
    </row>
    <row r="7" spans="1:13" ht="15.75" customHeight="1" x14ac:dyDescent="0.2">
      <c r="A7" s="1588" t="s">
        <v>1581</v>
      </c>
      <c r="B7" s="1590">
        <v>4000</v>
      </c>
      <c r="C7" s="1755">
        <f>'Revenues 9-14'!C274</f>
        <v>651277</v>
      </c>
      <c r="D7" s="1755">
        <f>'Revenues 9-14'!D274</f>
        <v>0</v>
      </c>
      <c r="E7" s="1755">
        <f>'Revenues 9-14'!E274</f>
        <v>0</v>
      </c>
      <c r="F7" s="1755">
        <f>'Revenues 9-14'!F274</f>
        <v>0</v>
      </c>
      <c r="G7" s="1755">
        <f>'Revenues 9-14'!G274</f>
        <v>0</v>
      </c>
      <c r="H7" s="1755">
        <f>'Revenues 9-14'!H274</f>
        <v>0</v>
      </c>
      <c r="I7" s="1755">
        <f>'Revenues 9-14'!I274</f>
        <v>0</v>
      </c>
      <c r="J7" s="1755">
        <f>'Revenues 9-14'!J274</f>
        <v>0</v>
      </c>
      <c r="K7" s="1755">
        <f>'Revenues 9-14'!K274</f>
        <v>0</v>
      </c>
      <c r="L7" s="347"/>
      <c r="M7" s="512"/>
    </row>
    <row r="8" spans="1:13" ht="13.5" thickBot="1" x14ac:dyDescent="0.25">
      <c r="A8" s="1748" t="s">
        <v>1233</v>
      </c>
      <c r="B8" s="1721"/>
      <c r="C8" s="1700">
        <f>SUM(C4:C7)</f>
        <v>13251981</v>
      </c>
      <c r="D8" s="1700">
        <f t="shared" ref="D8:K8" si="0">SUM(D4:D7)</f>
        <v>1752057</v>
      </c>
      <c r="E8" s="1700">
        <f t="shared" si="0"/>
        <v>2728658</v>
      </c>
      <c r="F8" s="1700">
        <f t="shared" si="0"/>
        <v>1234204</v>
      </c>
      <c r="G8" s="1700">
        <f t="shared" si="0"/>
        <v>613957</v>
      </c>
      <c r="H8" s="1700">
        <f t="shared" si="0"/>
        <v>623044</v>
      </c>
      <c r="I8" s="1700">
        <f t="shared" si="0"/>
        <v>326258</v>
      </c>
      <c r="J8" s="1700">
        <f t="shared" si="0"/>
        <v>661542</v>
      </c>
      <c r="K8" s="1700">
        <f t="shared" si="0"/>
        <v>300512</v>
      </c>
      <c r="L8" s="347"/>
    </row>
    <row r="9" spans="1:13" ht="15.75" thickTop="1" x14ac:dyDescent="0.2">
      <c r="A9" s="513" t="s">
        <v>1751</v>
      </c>
      <c r="B9" s="514">
        <v>3998</v>
      </c>
      <c r="C9" s="480">
        <f>95173+5921353</f>
        <v>6016526</v>
      </c>
      <c r="D9" s="515"/>
      <c r="E9" s="480"/>
      <c r="F9" s="480"/>
      <c r="G9" s="516"/>
      <c r="H9" s="480"/>
      <c r="I9" s="508" t="s">
        <v>1230</v>
      </c>
      <c r="J9" s="477"/>
      <c r="K9" s="480"/>
      <c r="L9" s="347"/>
    </row>
    <row r="10" spans="1:13" s="518" customFormat="1" ht="13.5" thickBot="1" x14ac:dyDescent="0.25">
      <c r="A10" s="1748" t="s">
        <v>1234</v>
      </c>
      <c r="B10" s="1721"/>
      <c r="C10" s="1700">
        <f>SUM(C8:C9)</f>
        <v>19268507</v>
      </c>
      <c r="D10" s="1700">
        <f t="shared" ref="D10:K10" si="1">SUM(D8:D9)</f>
        <v>1752057</v>
      </c>
      <c r="E10" s="1700">
        <f t="shared" si="1"/>
        <v>2728658</v>
      </c>
      <c r="F10" s="1700">
        <f t="shared" si="1"/>
        <v>1234204</v>
      </c>
      <c r="G10" s="1700">
        <f t="shared" si="1"/>
        <v>613957</v>
      </c>
      <c r="H10" s="1700">
        <f t="shared" si="1"/>
        <v>623044</v>
      </c>
      <c r="I10" s="1700">
        <f t="shared" si="1"/>
        <v>326258</v>
      </c>
      <c r="J10" s="1700">
        <f t="shared" si="1"/>
        <v>661542</v>
      </c>
      <c r="K10" s="1700">
        <f t="shared" si="1"/>
        <v>300512</v>
      </c>
      <c r="L10" s="517"/>
    </row>
    <row r="11" spans="1:13" s="518" customFormat="1" ht="16.7" customHeight="1" thickTop="1" x14ac:dyDescent="0.2">
      <c r="A11" s="2141" t="s">
        <v>1237</v>
      </c>
      <c r="B11" s="2142"/>
      <c r="C11" s="1582"/>
      <c r="D11" s="1583"/>
      <c r="E11" s="1583"/>
      <c r="F11" s="1583"/>
      <c r="G11" s="1583"/>
      <c r="H11" s="1583"/>
      <c r="I11" s="1583"/>
      <c r="J11" s="1583"/>
      <c r="K11" s="1584"/>
      <c r="L11" s="517"/>
    </row>
    <row r="12" spans="1:13" ht="15.75" customHeight="1" x14ac:dyDescent="0.2">
      <c r="A12" s="1588" t="s">
        <v>475</v>
      </c>
      <c r="B12" s="1590">
        <v>1000</v>
      </c>
      <c r="C12" s="1754">
        <f>'Expenditures 15-22'!K33</f>
        <v>9601744</v>
      </c>
      <c r="D12" s="519" t="s">
        <v>1230</v>
      </c>
      <c r="E12" s="468" t="s">
        <v>1230</v>
      </c>
      <c r="F12" s="468" t="s">
        <v>1230</v>
      </c>
      <c r="G12" s="1754">
        <f>'Expenditures 15-22'!K229</f>
        <v>140907</v>
      </c>
      <c r="H12" s="520"/>
      <c r="I12" s="468" t="s">
        <v>1230</v>
      </c>
      <c r="J12" s="468" t="s">
        <v>1230</v>
      </c>
      <c r="K12" s="520" t="s">
        <v>1230</v>
      </c>
      <c r="L12" s="347"/>
    </row>
    <row r="13" spans="1:13" ht="15.75" customHeight="1" x14ac:dyDescent="0.2">
      <c r="A13" s="1588" t="s">
        <v>476</v>
      </c>
      <c r="B13" s="1590">
        <v>2000</v>
      </c>
      <c r="C13" s="1755">
        <f>'Expenditures 15-22'!K74</f>
        <v>3641755</v>
      </c>
      <c r="D13" s="1755">
        <f>'Expenditures 15-22'!K129</f>
        <v>1483779</v>
      </c>
      <c r="E13" s="469" t="s">
        <v>1230</v>
      </c>
      <c r="F13" s="1755">
        <f>'Expenditures 15-22'!K184</f>
        <v>226902</v>
      </c>
      <c r="G13" s="1755">
        <f>'Expenditures 15-22'!K279</f>
        <v>300089</v>
      </c>
      <c r="H13" s="1755">
        <f>'Expenditures 15-22'!K303</f>
        <v>115572</v>
      </c>
      <c r="I13" s="468" t="s">
        <v>1230</v>
      </c>
      <c r="J13" s="1755">
        <f>'Expenditures 15-22'!K330</f>
        <v>572225</v>
      </c>
      <c r="K13" s="1759">
        <f>'Expenditures 15-22'!K352</f>
        <v>306919</v>
      </c>
      <c r="L13" s="347"/>
    </row>
    <row r="14" spans="1:13" ht="15.75" customHeight="1" x14ac:dyDescent="0.2">
      <c r="A14" s="1588" t="s">
        <v>468</v>
      </c>
      <c r="B14" s="1590">
        <v>3000</v>
      </c>
      <c r="C14" s="1755">
        <f>'Expenditures 15-22'!K75</f>
        <v>16659</v>
      </c>
      <c r="D14" s="1755">
        <f>'Expenditures 15-22'!K130</f>
        <v>0</v>
      </c>
      <c r="E14" s="519" t="s">
        <v>1230</v>
      </c>
      <c r="F14" s="1755">
        <f>'Expenditures 15-22'!K185</f>
        <v>0</v>
      </c>
      <c r="G14" s="1755">
        <f>'Expenditures 15-22'!K280</f>
        <v>152</v>
      </c>
      <c r="H14" s="511"/>
      <c r="I14" s="468" t="s">
        <v>1230</v>
      </c>
      <c r="J14" s="468" t="s">
        <v>1230</v>
      </c>
      <c r="K14" s="511" t="s">
        <v>1230</v>
      </c>
      <c r="L14" s="347"/>
    </row>
    <row r="15" spans="1:13" ht="15.75" customHeight="1" x14ac:dyDescent="0.2">
      <c r="A15" s="1588" t="s">
        <v>109</v>
      </c>
      <c r="B15" s="1590">
        <v>4000</v>
      </c>
      <c r="C15" s="1755">
        <f>'Expenditures 15-22'!K102</f>
        <v>582072</v>
      </c>
      <c r="D15" s="1755">
        <f>'Expenditures 15-22'!K139</f>
        <v>0</v>
      </c>
      <c r="E15" s="1755">
        <f>'Expenditures 15-22'!K160</f>
        <v>0</v>
      </c>
      <c r="F15" s="1755">
        <f>'Expenditures 15-22'!K196</f>
        <v>857301</v>
      </c>
      <c r="G15" s="1755">
        <f>'Expenditures 15-22'!K285</f>
        <v>0</v>
      </c>
      <c r="H15" s="1755">
        <f>'Expenditures 15-22'!K310</f>
        <v>0</v>
      </c>
      <c r="I15" s="468" t="s">
        <v>1230</v>
      </c>
      <c r="J15" s="1848">
        <f>'Expenditures 15-22'!K334</f>
        <v>0</v>
      </c>
      <c r="K15" s="1755">
        <f>'Expenditures 15-22'!K357</f>
        <v>0</v>
      </c>
      <c r="L15" s="347"/>
    </row>
    <row r="16" spans="1:13" ht="15.75" customHeight="1" x14ac:dyDescent="0.2">
      <c r="A16" s="1588" t="s">
        <v>469</v>
      </c>
      <c r="B16" s="1590">
        <v>5000</v>
      </c>
      <c r="C16" s="1755">
        <f>'Expenditures 15-22'!K112</f>
        <v>0</v>
      </c>
      <c r="D16" s="1755">
        <f>'Expenditures 15-22'!K149</f>
        <v>0</v>
      </c>
      <c r="E16" s="1755">
        <f>'Expenditures 15-22'!K172</f>
        <v>2799130</v>
      </c>
      <c r="F16" s="1755">
        <f>'Expenditures 15-22'!K208</f>
        <v>0</v>
      </c>
      <c r="G16" s="1755">
        <f>'Expenditures 15-22'!K293</f>
        <v>0</v>
      </c>
      <c r="H16" s="522"/>
      <c r="I16" s="468" t="s">
        <v>1230</v>
      </c>
      <c r="J16" s="1760">
        <f>'Expenditures 15-22'!K340</f>
        <v>0</v>
      </c>
      <c r="K16" s="1755">
        <f>'Expenditures 15-22'!K365</f>
        <v>0</v>
      </c>
      <c r="L16" s="347"/>
    </row>
    <row r="17" spans="1:12" ht="13.5" thickBot="1" x14ac:dyDescent="0.25">
      <c r="A17" s="1720" t="s">
        <v>50</v>
      </c>
      <c r="B17" s="1721"/>
      <c r="C17" s="1700">
        <f t="shared" ref="C17:H17" si="2">SUM(C12:C16)</f>
        <v>13842230</v>
      </c>
      <c r="D17" s="1700">
        <f t="shared" si="2"/>
        <v>1483779</v>
      </c>
      <c r="E17" s="1700">
        <f t="shared" si="2"/>
        <v>2799130</v>
      </c>
      <c r="F17" s="1700">
        <f t="shared" si="2"/>
        <v>1084203</v>
      </c>
      <c r="G17" s="1700">
        <f t="shared" si="2"/>
        <v>441148</v>
      </c>
      <c r="H17" s="1700">
        <f t="shared" si="2"/>
        <v>115572</v>
      </c>
      <c r="I17" s="468"/>
      <c r="J17" s="1700">
        <f>SUM(J12:J16)</f>
        <v>572225</v>
      </c>
      <c r="K17" s="1700">
        <f>SUM(K12:K16)</f>
        <v>306919</v>
      </c>
      <c r="L17" s="347"/>
    </row>
    <row r="18" spans="1:12" ht="15" customHeight="1" thickTop="1" x14ac:dyDescent="0.2">
      <c r="A18" s="1756" t="s">
        <v>1752</v>
      </c>
      <c r="B18" s="1757">
        <v>4180</v>
      </c>
      <c r="C18" s="1754">
        <f t="shared" ref="C18:H18" si="3">C9</f>
        <v>6016526</v>
      </c>
      <c r="D18" s="1754">
        <f t="shared" si="3"/>
        <v>0</v>
      </c>
      <c r="E18" s="1754">
        <f t="shared" si="3"/>
        <v>0</v>
      </c>
      <c r="F18" s="1754">
        <f t="shared" si="3"/>
        <v>0</v>
      </c>
      <c r="G18" s="1754">
        <f t="shared" si="3"/>
        <v>0</v>
      </c>
      <c r="H18" s="1754">
        <f t="shared" si="3"/>
        <v>0</v>
      </c>
      <c r="I18" s="468"/>
      <c r="J18" s="1754">
        <f>J9</f>
        <v>0</v>
      </c>
      <c r="K18" s="1754">
        <f>K9</f>
        <v>0</v>
      </c>
      <c r="L18" s="347"/>
    </row>
    <row r="19" spans="1:12" ht="13.5" thickBot="1" x14ac:dyDescent="0.25">
      <c r="A19" s="1720" t="s">
        <v>525</v>
      </c>
      <c r="B19" s="1721"/>
      <c r="C19" s="1700">
        <f t="shared" ref="C19:H19" si="4">SUM(C17:C18)</f>
        <v>19858756</v>
      </c>
      <c r="D19" s="1700">
        <f t="shared" si="4"/>
        <v>1483779</v>
      </c>
      <c r="E19" s="1700">
        <f t="shared" si="4"/>
        <v>2799130</v>
      </c>
      <c r="F19" s="1700">
        <f t="shared" si="4"/>
        <v>1084203</v>
      </c>
      <c r="G19" s="1700">
        <f t="shared" si="4"/>
        <v>441148</v>
      </c>
      <c r="H19" s="1700">
        <f t="shared" si="4"/>
        <v>115572</v>
      </c>
      <c r="I19" s="468"/>
      <c r="J19" s="1700">
        <f>SUM(J17:J18)</f>
        <v>572225</v>
      </c>
      <c r="K19" s="1700">
        <f>SUM(K17:K18)</f>
        <v>306919</v>
      </c>
      <c r="L19" s="347"/>
    </row>
    <row r="20" spans="1:12" ht="16.5" thickTop="1" thickBot="1" x14ac:dyDescent="0.25">
      <c r="A20" s="2157" t="s">
        <v>1753</v>
      </c>
      <c r="B20" s="2158"/>
      <c r="C20" s="1758">
        <f>C8-C17</f>
        <v>-590249</v>
      </c>
      <c r="D20" s="1758">
        <f t="shared" ref="D20:K20" si="5">D8-D17</f>
        <v>268278</v>
      </c>
      <c r="E20" s="1758">
        <f t="shared" si="5"/>
        <v>-70472</v>
      </c>
      <c r="F20" s="1758">
        <f t="shared" si="5"/>
        <v>150001</v>
      </c>
      <c r="G20" s="1758">
        <f t="shared" si="5"/>
        <v>172809</v>
      </c>
      <c r="H20" s="1758">
        <f t="shared" si="5"/>
        <v>507472</v>
      </c>
      <c r="I20" s="1758">
        <f t="shared" si="5"/>
        <v>326258</v>
      </c>
      <c r="J20" s="1758">
        <f t="shared" si="5"/>
        <v>89317</v>
      </c>
      <c r="K20" s="1758">
        <f t="shared" si="5"/>
        <v>-6407</v>
      </c>
      <c r="L20" s="347"/>
    </row>
    <row r="21" spans="1:12" ht="16.7" customHeight="1" thickTop="1" x14ac:dyDescent="0.2">
      <c r="A21" s="2169" t="s">
        <v>615</v>
      </c>
      <c r="B21" s="2170"/>
      <c r="C21" s="1582"/>
      <c r="D21" s="1583"/>
      <c r="E21" s="1583"/>
      <c r="F21" s="1583"/>
      <c r="G21" s="1583"/>
      <c r="H21" s="1583"/>
      <c r="I21" s="1583"/>
      <c r="J21" s="1583"/>
      <c r="K21" s="1584"/>
      <c r="L21" s="523"/>
    </row>
    <row r="22" spans="1:12" ht="15.75" customHeight="1" collapsed="1" x14ac:dyDescent="0.2">
      <c r="A22" s="2165" t="s">
        <v>616</v>
      </c>
      <c r="B22" s="2166"/>
      <c r="C22" s="476"/>
      <c r="D22" s="476"/>
      <c r="E22" s="476"/>
      <c r="F22" s="476"/>
      <c r="G22" s="476"/>
      <c r="H22" s="476"/>
      <c r="I22" s="476"/>
      <c r="J22" s="476"/>
      <c r="K22" s="476"/>
      <c r="L22" s="347"/>
    </row>
    <row r="23" spans="1:12" s="484" customFormat="1" ht="15.75" customHeight="1" x14ac:dyDescent="0.2">
      <c r="A23" s="2161" t="s">
        <v>310</v>
      </c>
      <c r="B23" s="2162"/>
      <c r="C23" s="479"/>
      <c r="D23" s="476"/>
      <c r="E23" s="476"/>
      <c r="F23" s="476"/>
      <c r="G23" s="476"/>
      <c r="H23" s="476"/>
      <c r="I23" s="476"/>
      <c r="J23" s="476"/>
      <c r="K23" s="476"/>
      <c r="L23" s="523"/>
    </row>
    <row r="24" spans="1:12" s="484" customFormat="1" ht="13.5" customHeight="1" x14ac:dyDescent="0.2">
      <c r="A24" s="1501" t="s">
        <v>1754</v>
      </c>
      <c r="B24" s="524">
        <v>7110</v>
      </c>
      <c r="C24" s="467">
        <v>1500000</v>
      </c>
      <c r="D24" s="476"/>
      <c r="E24" s="476"/>
      <c r="F24" s="476"/>
      <c r="G24" s="476"/>
      <c r="H24" s="476"/>
      <c r="I24" s="476"/>
      <c r="J24" s="476"/>
      <c r="K24" s="476"/>
      <c r="L24" s="523"/>
    </row>
    <row r="25" spans="1:12" s="484" customFormat="1" ht="13.5" customHeight="1" x14ac:dyDescent="0.2">
      <c r="A25" s="1501" t="s">
        <v>1755</v>
      </c>
      <c r="B25" s="524">
        <v>7110</v>
      </c>
      <c r="C25" s="467"/>
      <c r="D25" s="467"/>
      <c r="E25" s="467"/>
      <c r="F25" s="467"/>
      <c r="G25" s="467"/>
      <c r="H25" s="467"/>
      <c r="I25" s="476"/>
      <c r="J25" s="467"/>
      <c r="K25" s="467"/>
      <c r="L25" s="523"/>
    </row>
    <row r="26" spans="1:12" s="484" customFormat="1" ht="13.5" customHeight="1" x14ac:dyDescent="0.2">
      <c r="A26" s="1501" t="s">
        <v>193</v>
      </c>
      <c r="B26" s="482">
        <v>7120</v>
      </c>
      <c r="C26" s="467"/>
      <c r="D26" s="467"/>
      <c r="E26" s="467"/>
      <c r="F26" s="467"/>
      <c r="G26" s="467"/>
      <c r="H26" s="467"/>
      <c r="I26" s="476"/>
      <c r="J26" s="467"/>
      <c r="K26" s="467"/>
      <c r="L26" s="523"/>
    </row>
    <row r="27" spans="1:12" s="484" customFormat="1" ht="13.5" customHeight="1" x14ac:dyDescent="0.2">
      <c r="A27" s="1501" t="s">
        <v>194</v>
      </c>
      <c r="B27" s="482">
        <v>7130</v>
      </c>
      <c r="C27" s="467"/>
      <c r="D27" s="467"/>
      <c r="E27" s="525"/>
      <c r="F27" s="467"/>
      <c r="G27" s="479"/>
      <c r="H27" s="479"/>
      <c r="I27" s="479"/>
      <c r="J27" s="479"/>
      <c r="K27" s="479"/>
      <c r="L27" s="523"/>
    </row>
    <row r="28" spans="1:12" s="484" customFormat="1" ht="13.5" customHeight="1" x14ac:dyDescent="0.2">
      <c r="A28" s="1501" t="s">
        <v>1464</v>
      </c>
      <c r="B28" s="482">
        <v>7140</v>
      </c>
      <c r="C28" s="467"/>
      <c r="D28" s="467"/>
      <c r="E28" s="467"/>
      <c r="F28" s="467"/>
      <c r="G28" s="467"/>
      <c r="H28" s="467"/>
      <c r="I28" s="467"/>
      <c r="J28" s="467"/>
      <c r="K28" s="467"/>
      <c r="L28" s="523"/>
    </row>
    <row r="29" spans="1:12" s="484" customFormat="1" ht="13.5" customHeight="1" x14ac:dyDescent="0.2">
      <c r="A29" s="1501" t="s">
        <v>311</v>
      </c>
      <c r="B29" s="482">
        <v>7150</v>
      </c>
      <c r="C29" s="475"/>
      <c r="D29" s="467"/>
      <c r="E29" s="475"/>
      <c r="F29" s="475"/>
      <c r="G29" s="475"/>
      <c r="H29" s="475"/>
      <c r="I29" s="475"/>
      <c r="J29" s="475"/>
      <c r="K29" s="475"/>
      <c r="L29" s="523"/>
    </row>
    <row r="30" spans="1:12" s="484" customFormat="1" ht="26.25" x14ac:dyDescent="0.2">
      <c r="A30" s="1501" t="s">
        <v>1896</v>
      </c>
      <c r="B30" s="526">
        <v>7160</v>
      </c>
      <c r="C30" s="476"/>
      <c r="D30" s="467"/>
      <c r="E30" s="476"/>
      <c r="F30" s="476"/>
      <c r="G30" s="476"/>
      <c r="H30" s="476"/>
      <c r="I30" s="476"/>
      <c r="J30" s="476"/>
      <c r="K30" s="476"/>
      <c r="L30" s="523"/>
    </row>
    <row r="31" spans="1:12" s="484" customFormat="1" ht="26.25" x14ac:dyDescent="0.2">
      <c r="A31" s="1501" t="s">
        <v>1900</v>
      </c>
      <c r="B31" s="526">
        <v>7170</v>
      </c>
      <c r="C31" s="476"/>
      <c r="D31" s="476"/>
      <c r="E31" s="474"/>
      <c r="F31" s="476"/>
      <c r="G31" s="476"/>
      <c r="H31" s="476"/>
      <c r="I31" s="476"/>
      <c r="J31" s="476"/>
      <c r="K31" s="476"/>
      <c r="L31" s="523"/>
    </row>
    <row r="32" spans="1:12" s="484" customFormat="1" ht="15.75" customHeight="1" x14ac:dyDescent="0.2">
      <c r="A32" s="2163" t="s">
        <v>1037</v>
      </c>
      <c r="B32" s="2164"/>
      <c r="C32" s="476"/>
      <c r="D32" s="476"/>
      <c r="E32" s="475"/>
      <c r="F32" s="476"/>
      <c r="G32" s="476"/>
      <c r="H32" s="476"/>
      <c r="I32" s="476"/>
      <c r="J32" s="476"/>
      <c r="K32" s="476"/>
      <c r="L32" s="523"/>
    </row>
    <row r="33" spans="1:12" s="484" customFormat="1" x14ac:dyDescent="0.2">
      <c r="A33" s="1501" t="s">
        <v>431</v>
      </c>
      <c r="B33" s="524">
        <v>7210</v>
      </c>
      <c r="C33" s="467"/>
      <c r="D33" s="467"/>
      <c r="E33" s="467"/>
      <c r="F33" s="467"/>
      <c r="G33" s="476"/>
      <c r="H33" s="467"/>
      <c r="I33" s="467"/>
      <c r="J33" s="467"/>
      <c r="K33" s="467">
        <v>3100000</v>
      </c>
      <c r="L33" s="523"/>
    </row>
    <row r="34" spans="1:12" s="484" customFormat="1" x14ac:dyDescent="0.2">
      <c r="A34" s="1501" t="s">
        <v>1057</v>
      </c>
      <c r="B34" s="524">
        <v>7220</v>
      </c>
      <c r="C34" s="467"/>
      <c r="D34" s="467"/>
      <c r="E34" s="467"/>
      <c r="F34" s="467"/>
      <c r="G34" s="476"/>
      <c r="H34" s="477"/>
      <c r="I34" s="477"/>
      <c r="J34" s="477"/>
      <c r="K34" s="477">
        <v>47770</v>
      </c>
      <c r="L34" s="523"/>
    </row>
    <row r="35" spans="1:12" s="484" customFormat="1" x14ac:dyDescent="0.2">
      <c r="A35" s="1501" t="s">
        <v>1046</v>
      </c>
      <c r="B35" s="524">
        <v>7230</v>
      </c>
      <c r="C35" s="467"/>
      <c r="D35" s="467"/>
      <c r="E35" s="467"/>
      <c r="F35" s="467"/>
      <c r="G35" s="479"/>
      <c r="H35" s="467"/>
      <c r="I35" s="467"/>
      <c r="J35" s="467"/>
      <c r="K35" s="467"/>
      <c r="L35" s="523"/>
    </row>
    <row r="36" spans="1:12" s="484" customFormat="1" ht="15" x14ac:dyDescent="0.2">
      <c r="A36" s="1501" t="s">
        <v>1756</v>
      </c>
      <c r="B36" s="524">
        <v>7300</v>
      </c>
      <c r="C36" s="467"/>
      <c r="D36" s="467"/>
      <c r="E36" s="467"/>
      <c r="F36" s="467"/>
      <c r="G36" s="467"/>
      <c r="H36" s="467"/>
      <c r="I36" s="475"/>
      <c r="J36" s="467"/>
      <c r="K36" s="467"/>
      <c r="L36" s="523"/>
    </row>
    <row r="37" spans="1:12" s="484" customFormat="1" x14ac:dyDescent="0.2">
      <c r="A37" s="1501" t="s">
        <v>460</v>
      </c>
      <c r="B37" s="524">
        <v>7400</v>
      </c>
      <c r="C37" s="475"/>
      <c r="D37" s="475"/>
      <c r="E37" s="1755">
        <f>SUM(C54:D57,H54:H57)</f>
        <v>121913</v>
      </c>
      <c r="F37" s="475"/>
      <c r="G37" s="475"/>
      <c r="H37" s="475"/>
      <c r="I37" s="476"/>
      <c r="J37" s="475"/>
      <c r="K37" s="475"/>
      <c r="L37" s="523"/>
    </row>
    <row r="38" spans="1:12" s="484" customFormat="1" x14ac:dyDescent="0.2">
      <c r="A38" s="1501" t="s">
        <v>461</v>
      </c>
      <c r="B38" s="524">
        <v>7500</v>
      </c>
      <c r="C38" s="476"/>
      <c r="D38" s="476"/>
      <c r="E38" s="1755">
        <f>SUM(C58:D61,H58:H61)</f>
        <v>2381</v>
      </c>
      <c r="F38" s="476"/>
      <c r="G38" s="476"/>
      <c r="H38" s="476"/>
      <c r="I38" s="476"/>
      <c r="J38" s="476"/>
      <c r="K38" s="476"/>
      <c r="L38" s="523"/>
    </row>
    <row r="39" spans="1:12" s="484" customFormat="1" x14ac:dyDescent="0.2">
      <c r="A39" s="1501" t="s">
        <v>462</v>
      </c>
      <c r="B39" s="524">
        <v>7600</v>
      </c>
      <c r="C39" s="476"/>
      <c r="D39" s="476"/>
      <c r="E39" s="1755">
        <f>SUM(C62:D65)</f>
        <v>0</v>
      </c>
      <c r="F39" s="476"/>
      <c r="G39" s="476"/>
      <c r="H39" s="476"/>
      <c r="I39" s="476"/>
      <c r="J39" s="476"/>
      <c r="K39" s="476"/>
      <c r="L39" s="523"/>
    </row>
    <row r="40" spans="1:12" s="484" customFormat="1" ht="13.5" customHeight="1" x14ac:dyDescent="0.2">
      <c r="A40" s="1501" t="s">
        <v>662</v>
      </c>
      <c r="B40" s="482">
        <v>7700</v>
      </c>
      <c r="C40" s="476"/>
      <c r="D40" s="476"/>
      <c r="E40" s="1755">
        <f>SUM(C66:D69)</f>
        <v>0</v>
      </c>
      <c r="F40" s="476"/>
      <c r="G40" s="476"/>
      <c r="H40" s="479"/>
      <c r="I40" s="476"/>
      <c r="J40" s="476"/>
      <c r="K40" s="476"/>
      <c r="L40" s="523"/>
    </row>
    <row r="41" spans="1:12" s="484" customFormat="1" ht="13.5" customHeight="1" x14ac:dyDescent="0.2">
      <c r="A41" s="1501" t="s">
        <v>660</v>
      </c>
      <c r="B41" s="482">
        <v>7800</v>
      </c>
      <c r="C41" s="479"/>
      <c r="D41" s="479"/>
      <c r="E41" s="525"/>
      <c r="F41" s="479"/>
      <c r="G41" s="479"/>
      <c r="H41" s="1755">
        <f>SUM(C70:D73)</f>
        <v>0</v>
      </c>
      <c r="I41" s="476"/>
      <c r="J41" s="476"/>
      <c r="K41" s="479"/>
      <c r="L41" s="523"/>
    </row>
    <row r="42" spans="1:12" s="484" customFormat="1" ht="13.5" customHeight="1" x14ac:dyDescent="0.2">
      <c r="A42" s="1501" t="s">
        <v>661</v>
      </c>
      <c r="B42" s="482">
        <v>7900</v>
      </c>
      <c r="C42" s="467"/>
      <c r="D42" s="467"/>
      <c r="E42" s="467"/>
      <c r="F42" s="467"/>
      <c r="G42" s="467"/>
      <c r="H42" s="467"/>
      <c r="I42" s="479"/>
      <c r="J42" s="479"/>
      <c r="K42" s="467"/>
      <c r="L42" s="523"/>
    </row>
    <row r="43" spans="1:12" s="484" customFormat="1" ht="13.5" customHeight="1" x14ac:dyDescent="0.2">
      <c r="A43" s="1501" t="s">
        <v>390</v>
      </c>
      <c r="B43" s="482">
        <v>7990</v>
      </c>
      <c r="C43" s="467">
        <v>118635</v>
      </c>
      <c r="D43" s="467"/>
      <c r="E43" s="467"/>
      <c r="F43" s="467"/>
      <c r="G43" s="467"/>
      <c r="H43" s="467"/>
      <c r="I43" s="467"/>
      <c r="J43" s="467"/>
      <c r="K43" s="467"/>
      <c r="L43" s="523"/>
    </row>
    <row r="44" spans="1:12" s="484" customFormat="1" ht="13.5" customHeight="1" thickBot="1" x14ac:dyDescent="0.25">
      <c r="A44" s="2171" t="s">
        <v>391</v>
      </c>
      <c r="B44" s="2172"/>
      <c r="C44" s="1715">
        <f>SUM(C24:C43)</f>
        <v>1618635</v>
      </c>
      <c r="D44" s="1715">
        <f t="shared" ref="D44:K44" si="6">SUM(D24:D43)</f>
        <v>0</v>
      </c>
      <c r="E44" s="1715">
        <f t="shared" si="6"/>
        <v>124294</v>
      </c>
      <c r="F44" s="1715">
        <f t="shared" si="6"/>
        <v>0</v>
      </c>
      <c r="G44" s="1715">
        <f t="shared" si="6"/>
        <v>0</v>
      </c>
      <c r="H44" s="1715">
        <f t="shared" si="6"/>
        <v>0</v>
      </c>
      <c r="I44" s="1715">
        <f t="shared" si="6"/>
        <v>0</v>
      </c>
      <c r="J44" s="1715">
        <f t="shared" si="6"/>
        <v>0</v>
      </c>
      <c r="K44" s="1715">
        <f t="shared" si="6"/>
        <v>3147770</v>
      </c>
      <c r="L44" s="523"/>
    </row>
    <row r="45" spans="1:12" ht="15.75" customHeight="1" thickTop="1" x14ac:dyDescent="0.2">
      <c r="A45" s="2165" t="s">
        <v>110</v>
      </c>
      <c r="B45" s="2166"/>
      <c r="C45" s="527"/>
      <c r="D45" s="527"/>
      <c r="E45" s="527"/>
      <c r="F45" s="527"/>
      <c r="G45" s="527"/>
      <c r="H45" s="527"/>
      <c r="I45" s="527"/>
      <c r="J45" s="527"/>
      <c r="K45" s="527"/>
      <c r="L45" s="347"/>
    </row>
    <row r="46" spans="1:12" s="484" customFormat="1" ht="15.75" customHeight="1" x14ac:dyDescent="0.2">
      <c r="A46" s="2173" t="s">
        <v>111</v>
      </c>
      <c r="B46" s="2174"/>
      <c r="C46" s="476"/>
      <c r="D46" s="476"/>
      <c r="E46" s="476"/>
      <c r="F46" s="476"/>
      <c r="G46" s="476"/>
      <c r="H46" s="476"/>
      <c r="I46" s="479"/>
      <c r="J46" s="476"/>
      <c r="K46" s="476"/>
      <c r="L46" s="528"/>
    </row>
    <row r="47" spans="1:12" s="484" customFormat="1" ht="15" x14ac:dyDescent="0.2">
      <c r="A47" s="1502" t="s">
        <v>1757</v>
      </c>
      <c r="B47" s="482">
        <v>8110</v>
      </c>
      <c r="C47" s="476"/>
      <c r="D47" s="476"/>
      <c r="E47" s="476"/>
      <c r="F47" s="476"/>
      <c r="G47" s="476"/>
      <c r="H47" s="476"/>
      <c r="I47" s="1755">
        <f>SUM(C24,C25:H25,J25:K25)</f>
        <v>1500000</v>
      </c>
      <c r="J47" s="476"/>
      <c r="K47" s="476"/>
      <c r="L47" s="528"/>
    </row>
    <row r="48" spans="1:12" s="484" customFormat="1" ht="15" x14ac:dyDescent="0.2">
      <c r="A48" s="1502" t="s">
        <v>1758</v>
      </c>
      <c r="B48" s="482">
        <v>8120</v>
      </c>
      <c r="C48" s="479"/>
      <c r="D48" s="479"/>
      <c r="E48" s="476"/>
      <c r="F48" s="479"/>
      <c r="G48" s="476"/>
      <c r="H48" s="476"/>
      <c r="I48" s="1755">
        <f>SUM(C26:H26,J26,K26)</f>
        <v>0</v>
      </c>
      <c r="J48" s="476"/>
      <c r="K48" s="476"/>
      <c r="L48" s="528"/>
    </row>
    <row r="49" spans="1:12" s="484" customFormat="1" x14ac:dyDescent="0.2">
      <c r="A49" s="1502" t="s">
        <v>194</v>
      </c>
      <c r="B49" s="482">
        <v>8130</v>
      </c>
      <c r="C49" s="467"/>
      <c r="D49" s="467"/>
      <c r="E49" s="479"/>
      <c r="F49" s="467"/>
      <c r="G49" s="479"/>
      <c r="H49" s="479"/>
      <c r="I49" s="476"/>
      <c r="J49" s="479"/>
      <c r="K49" s="476"/>
      <c r="L49" s="523"/>
    </row>
    <row r="50" spans="1:12" s="484" customFormat="1" x14ac:dyDescent="0.2">
      <c r="A50" s="1502" t="s">
        <v>1464</v>
      </c>
      <c r="B50" s="482">
        <v>8140</v>
      </c>
      <c r="C50" s="467"/>
      <c r="D50" s="467"/>
      <c r="E50" s="467"/>
      <c r="F50" s="467"/>
      <c r="G50" s="467"/>
      <c r="H50" s="467"/>
      <c r="I50" s="476"/>
      <c r="J50" s="467"/>
      <c r="K50" s="476"/>
      <c r="L50" s="523"/>
    </row>
    <row r="51" spans="1:12" s="484" customFormat="1" x14ac:dyDescent="0.2">
      <c r="A51" s="1502" t="s">
        <v>311</v>
      </c>
      <c r="B51" s="482">
        <v>8150</v>
      </c>
      <c r="C51" s="475"/>
      <c r="D51" s="475"/>
      <c r="E51" s="475"/>
      <c r="F51" s="475"/>
      <c r="G51" s="475"/>
      <c r="H51" s="1755">
        <f>SUM(D29)</f>
        <v>0</v>
      </c>
      <c r="I51" s="476"/>
      <c r="J51" s="475"/>
      <c r="K51" s="479"/>
      <c r="L51" s="523"/>
    </row>
    <row r="52" spans="1:12" s="484" customFormat="1" ht="26.25" x14ac:dyDescent="0.2">
      <c r="A52" s="1502" t="s">
        <v>1899</v>
      </c>
      <c r="B52" s="482">
        <v>8160</v>
      </c>
      <c r="C52" s="476"/>
      <c r="D52" s="476"/>
      <c r="E52" s="476"/>
      <c r="F52" s="476"/>
      <c r="G52" s="476"/>
      <c r="H52" s="476"/>
      <c r="I52" s="476"/>
      <c r="J52" s="476"/>
      <c r="K52" s="1755">
        <f>D30</f>
        <v>0</v>
      </c>
      <c r="L52" s="523"/>
    </row>
    <row r="53" spans="1:12" s="484" customFormat="1" ht="26.25" x14ac:dyDescent="0.2">
      <c r="A53" s="1502" t="s">
        <v>1898</v>
      </c>
      <c r="B53" s="482">
        <v>8170</v>
      </c>
      <c r="C53" s="479"/>
      <c r="D53" s="479"/>
      <c r="E53" s="476"/>
      <c r="F53" s="476"/>
      <c r="G53" s="476"/>
      <c r="H53" s="479"/>
      <c r="I53" s="476"/>
      <c r="J53" s="476"/>
      <c r="K53" s="1755">
        <f>E31</f>
        <v>0</v>
      </c>
      <c r="L53" s="523"/>
    </row>
    <row r="54" spans="1:12" s="484" customFormat="1" ht="13.5" thickBot="1" x14ac:dyDescent="0.25">
      <c r="A54" s="1502" t="s">
        <v>715</v>
      </c>
      <c r="B54" s="482">
        <v>8410</v>
      </c>
      <c r="C54" s="529">
        <v>121913</v>
      </c>
      <c r="D54" s="529"/>
      <c r="E54" s="476"/>
      <c r="F54" s="476"/>
      <c r="G54" s="476"/>
      <c r="H54" s="529"/>
      <c r="I54" s="476"/>
      <c r="J54" s="476"/>
      <c r="K54" s="475"/>
      <c r="L54" s="523"/>
    </row>
    <row r="55" spans="1:12" s="484" customFormat="1" ht="14.25" thickTop="1" thickBot="1" x14ac:dyDescent="0.25">
      <c r="A55" s="1503" t="s">
        <v>716</v>
      </c>
      <c r="B55" s="482">
        <v>8420</v>
      </c>
      <c r="C55" s="530"/>
      <c r="D55" s="530"/>
      <c r="E55" s="476"/>
      <c r="F55" s="476"/>
      <c r="G55" s="476"/>
      <c r="H55" s="529"/>
      <c r="I55" s="476"/>
      <c r="J55" s="476"/>
      <c r="K55" s="476"/>
      <c r="L55" s="523"/>
    </row>
    <row r="56" spans="1:12" s="484" customFormat="1" ht="14.25" thickTop="1" thickBot="1" x14ac:dyDescent="0.25">
      <c r="A56" s="1502" t="s">
        <v>601</v>
      </c>
      <c r="B56" s="482">
        <v>8430</v>
      </c>
      <c r="C56" s="530"/>
      <c r="D56" s="530"/>
      <c r="E56" s="476"/>
      <c r="F56" s="476"/>
      <c r="G56" s="476"/>
      <c r="H56" s="529"/>
      <c r="I56" s="476"/>
      <c r="J56" s="476"/>
      <c r="K56" s="476"/>
      <c r="L56" s="523"/>
    </row>
    <row r="57" spans="1:12" s="484" customFormat="1" ht="14.25" thickTop="1" thickBot="1" x14ac:dyDescent="0.25">
      <c r="A57" s="1503" t="s">
        <v>598</v>
      </c>
      <c r="B57" s="482">
        <v>8440</v>
      </c>
      <c r="C57" s="530"/>
      <c r="D57" s="530"/>
      <c r="E57" s="476"/>
      <c r="F57" s="476"/>
      <c r="G57" s="476"/>
      <c r="H57" s="529"/>
      <c r="I57" s="476"/>
      <c r="J57" s="476"/>
      <c r="K57" s="476"/>
      <c r="L57" s="523"/>
    </row>
    <row r="58" spans="1:12" s="484" customFormat="1" ht="14.25" thickTop="1" thickBot="1" x14ac:dyDescent="0.25">
      <c r="A58" s="1502" t="s">
        <v>599</v>
      </c>
      <c r="B58" s="482">
        <v>8510</v>
      </c>
      <c r="C58" s="530">
        <v>2381</v>
      </c>
      <c r="D58" s="530"/>
      <c r="E58" s="476"/>
      <c r="F58" s="476"/>
      <c r="G58" s="476"/>
      <c r="H58" s="529"/>
      <c r="I58" s="476"/>
      <c r="J58" s="476"/>
      <c r="K58" s="476"/>
      <c r="L58" s="523"/>
    </row>
    <row r="59" spans="1:12" s="484" customFormat="1" ht="14.25" thickTop="1" thickBot="1" x14ac:dyDescent="0.25">
      <c r="A59" s="1504" t="s">
        <v>717</v>
      </c>
      <c r="B59" s="482">
        <v>8520</v>
      </c>
      <c r="C59" s="530"/>
      <c r="D59" s="530"/>
      <c r="E59" s="476"/>
      <c r="F59" s="476"/>
      <c r="G59" s="476"/>
      <c r="H59" s="529"/>
      <c r="I59" s="476"/>
      <c r="J59" s="476"/>
      <c r="K59" s="476"/>
      <c r="L59" s="523"/>
    </row>
    <row r="60" spans="1:12" s="484" customFormat="1" ht="14.25" thickTop="1" thickBot="1" x14ac:dyDescent="0.25">
      <c r="A60" s="1502" t="s">
        <v>600</v>
      </c>
      <c r="B60" s="482">
        <v>8530</v>
      </c>
      <c r="C60" s="530"/>
      <c r="D60" s="530"/>
      <c r="E60" s="476"/>
      <c r="F60" s="476"/>
      <c r="G60" s="476"/>
      <c r="H60" s="529"/>
      <c r="I60" s="476"/>
      <c r="J60" s="476"/>
      <c r="K60" s="476"/>
      <c r="L60" s="523"/>
    </row>
    <row r="61" spans="1:12" s="484" customFormat="1" ht="14.25" thickTop="1" thickBot="1" x14ac:dyDescent="0.25">
      <c r="A61" s="1503" t="s">
        <v>766</v>
      </c>
      <c r="B61" s="482">
        <v>8540</v>
      </c>
      <c r="C61" s="530"/>
      <c r="D61" s="530"/>
      <c r="E61" s="476"/>
      <c r="F61" s="476"/>
      <c r="G61" s="476"/>
      <c r="H61" s="529"/>
      <c r="I61" s="476"/>
      <c r="J61" s="476"/>
      <c r="K61" s="476"/>
      <c r="L61" s="523"/>
    </row>
    <row r="62" spans="1:12" s="484" customFormat="1" ht="13.5" customHeight="1" thickTop="1" thickBot="1" x14ac:dyDescent="0.25">
      <c r="A62" s="1502" t="s">
        <v>767</v>
      </c>
      <c r="B62" s="482">
        <v>8610</v>
      </c>
      <c r="C62" s="530"/>
      <c r="D62" s="530"/>
      <c r="E62" s="476"/>
      <c r="F62" s="476"/>
      <c r="G62" s="476"/>
      <c r="H62" s="476"/>
      <c r="I62" s="476"/>
      <c r="J62" s="476"/>
      <c r="K62" s="476"/>
      <c r="L62" s="523"/>
    </row>
    <row r="63" spans="1:12" s="484" customFormat="1" ht="14.25" thickTop="1" thickBot="1" x14ac:dyDescent="0.25">
      <c r="A63" s="1503" t="s">
        <v>718</v>
      </c>
      <c r="B63" s="482">
        <v>8620</v>
      </c>
      <c r="C63" s="530"/>
      <c r="D63" s="530"/>
      <c r="E63" s="476"/>
      <c r="F63" s="476"/>
      <c r="G63" s="476"/>
      <c r="H63" s="476"/>
      <c r="I63" s="476"/>
      <c r="J63" s="476"/>
      <c r="K63" s="476"/>
      <c r="L63" s="523"/>
    </row>
    <row r="64" spans="1:12" s="484" customFormat="1" ht="13.5" customHeight="1" thickTop="1" thickBot="1" x14ac:dyDescent="0.25">
      <c r="A64" s="1502" t="s">
        <v>768</v>
      </c>
      <c r="B64" s="482">
        <v>8630</v>
      </c>
      <c r="C64" s="530"/>
      <c r="D64" s="530"/>
      <c r="E64" s="476"/>
      <c r="F64" s="476"/>
      <c r="G64" s="476"/>
      <c r="H64" s="476"/>
      <c r="I64" s="476"/>
      <c r="J64" s="476"/>
      <c r="K64" s="476"/>
      <c r="L64" s="523"/>
    </row>
    <row r="65" spans="1:12" s="484" customFormat="1" ht="14.25" thickTop="1" thickBot="1" x14ac:dyDescent="0.25">
      <c r="A65" s="1503" t="s">
        <v>769</v>
      </c>
      <c r="B65" s="482">
        <v>8640</v>
      </c>
      <c r="C65" s="530"/>
      <c r="D65" s="530"/>
      <c r="E65" s="476"/>
      <c r="F65" s="476"/>
      <c r="G65" s="476"/>
      <c r="H65" s="476"/>
      <c r="I65" s="476"/>
      <c r="J65" s="476"/>
      <c r="K65" s="476"/>
      <c r="L65" s="523"/>
    </row>
    <row r="66" spans="1:12" s="484" customFormat="1" ht="14.25" thickTop="1" thickBot="1" x14ac:dyDescent="0.25">
      <c r="A66" s="1502" t="s">
        <v>770</v>
      </c>
      <c r="B66" s="482">
        <v>8710</v>
      </c>
      <c r="C66" s="530"/>
      <c r="D66" s="530"/>
      <c r="E66" s="476"/>
      <c r="F66" s="476"/>
      <c r="G66" s="476"/>
      <c r="H66" s="476"/>
      <c r="I66" s="476"/>
      <c r="J66" s="476"/>
      <c r="K66" s="476"/>
      <c r="L66" s="523"/>
    </row>
    <row r="67" spans="1:12" s="484" customFormat="1" ht="14.25" thickTop="1" thickBot="1" x14ac:dyDescent="0.25">
      <c r="A67" s="1503" t="s">
        <v>719</v>
      </c>
      <c r="B67" s="482">
        <v>8720</v>
      </c>
      <c r="C67" s="530"/>
      <c r="D67" s="530"/>
      <c r="E67" s="476"/>
      <c r="F67" s="476"/>
      <c r="G67" s="476"/>
      <c r="H67" s="476"/>
      <c r="I67" s="476"/>
      <c r="J67" s="476"/>
      <c r="K67" s="476"/>
      <c r="L67" s="523"/>
    </row>
    <row r="68" spans="1:12" s="484" customFormat="1" ht="14.25" thickTop="1" thickBot="1" x14ac:dyDescent="0.25">
      <c r="A68" s="1504" t="s">
        <v>771</v>
      </c>
      <c r="B68" s="482">
        <v>8730</v>
      </c>
      <c r="C68" s="530"/>
      <c r="D68" s="530"/>
      <c r="E68" s="476"/>
      <c r="F68" s="476"/>
      <c r="G68" s="476"/>
      <c r="H68" s="476"/>
      <c r="I68" s="476"/>
      <c r="J68" s="476"/>
      <c r="K68" s="476"/>
      <c r="L68" s="523"/>
    </row>
    <row r="69" spans="1:12" s="484" customFormat="1" ht="14.25" thickTop="1" thickBot="1" x14ac:dyDescent="0.25">
      <c r="A69" s="1503" t="s">
        <v>772</v>
      </c>
      <c r="B69" s="482">
        <v>8740</v>
      </c>
      <c r="C69" s="530"/>
      <c r="D69" s="530"/>
      <c r="E69" s="476"/>
      <c r="F69" s="476"/>
      <c r="G69" s="476"/>
      <c r="H69" s="476"/>
      <c r="I69" s="476"/>
      <c r="J69" s="476"/>
      <c r="K69" s="476"/>
      <c r="L69" s="523"/>
    </row>
    <row r="70" spans="1:12" s="484" customFormat="1" ht="14.25" thickTop="1" thickBot="1" x14ac:dyDescent="0.25">
      <c r="A70" s="1502" t="s">
        <v>773</v>
      </c>
      <c r="B70" s="482">
        <v>8810</v>
      </c>
      <c r="C70" s="530"/>
      <c r="D70" s="530"/>
      <c r="E70" s="476"/>
      <c r="F70" s="476"/>
      <c r="G70" s="476"/>
      <c r="H70" s="476"/>
      <c r="I70" s="476"/>
      <c r="J70" s="476"/>
      <c r="K70" s="476"/>
      <c r="L70" s="523"/>
    </row>
    <row r="71" spans="1:12" s="484" customFormat="1" ht="14.25" thickTop="1" thickBot="1" x14ac:dyDescent="0.25">
      <c r="A71" s="1502" t="s">
        <v>777</v>
      </c>
      <c r="B71" s="482">
        <v>8820</v>
      </c>
      <c r="C71" s="530"/>
      <c r="D71" s="530"/>
      <c r="E71" s="476"/>
      <c r="F71" s="476"/>
      <c r="G71" s="476"/>
      <c r="H71" s="476"/>
      <c r="I71" s="476"/>
      <c r="J71" s="476"/>
      <c r="K71" s="476"/>
      <c r="L71" s="523"/>
    </row>
    <row r="72" spans="1:12" s="484" customFormat="1" ht="14.25" thickTop="1" thickBot="1" x14ac:dyDescent="0.25">
      <c r="A72" s="1502" t="s">
        <v>774</v>
      </c>
      <c r="B72" s="482">
        <v>8830</v>
      </c>
      <c r="C72" s="530"/>
      <c r="D72" s="530"/>
      <c r="E72" s="476"/>
      <c r="F72" s="476"/>
      <c r="G72" s="476"/>
      <c r="H72" s="476"/>
      <c r="I72" s="476"/>
      <c r="J72" s="476"/>
      <c r="K72" s="476"/>
      <c r="L72" s="523"/>
    </row>
    <row r="73" spans="1:12" s="484" customFormat="1" ht="14.25" thickTop="1" thickBot="1" x14ac:dyDescent="0.25">
      <c r="A73" s="1502" t="s">
        <v>775</v>
      </c>
      <c r="B73" s="482">
        <v>8840</v>
      </c>
      <c r="C73" s="530"/>
      <c r="D73" s="530"/>
      <c r="E73" s="476"/>
      <c r="F73" s="476"/>
      <c r="G73" s="476"/>
      <c r="H73" s="476"/>
      <c r="I73" s="476"/>
      <c r="J73" s="476"/>
      <c r="K73" s="479"/>
      <c r="L73" s="523"/>
    </row>
    <row r="74" spans="1:12" s="484" customFormat="1" ht="14.25" thickTop="1" thickBot="1" x14ac:dyDescent="0.25">
      <c r="A74" s="1502" t="s">
        <v>392</v>
      </c>
      <c r="B74" s="482">
        <v>8910</v>
      </c>
      <c r="C74" s="530"/>
      <c r="D74" s="530"/>
      <c r="E74" s="479"/>
      <c r="F74" s="529"/>
      <c r="G74" s="529"/>
      <c r="H74" s="529"/>
      <c r="I74" s="479"/>
      <c r="J74" s="479"/>
      <c r="K74" s="529"/>
      <c r="L74" s="523"/>
    </row>
    <row r="75" spans="1:12" s="484" customFormat="1" ht="14.25" thickTop="1" thickBot="1" x14ac:dyDescent="0.25">
      <c r="A75" s="1505" t="s">
        <v>458</v>
      </c>
      <c r="B75" s="482">
        <v>8990</v>
      </c>
      <c r="C75" s="530"/>
      <c r="D75" s="530"/>
      <c r="E75" s="529"/>
      <c r="F75" s="531"/>
      <c r="G75" s="531"/>
      <c r="H75" s="531"/>
      <c r="I75" s="529"/>
      <c r="J75" s="529"/>
      <c r="K75" s="531">
        <v>32275</v>
      </c>
      <c r="L75" s="523"/>
    </row>
    <row r="76" spans="1:12" s="484" customFormat="1" ht="14.25" thickTop="1" thickBot="1" x14ac:dyDescent="0.25">
      <c r="A76" s="2147" t="s">
        <v>459</v>
      </c>
      <c r="B76" s="2148"/>
      <c r="C76" s="1715">
        <f t="shared" ref="C76:K76" si="7">SUM(C47:C75)</f>
        <v>124294</v>
      </c>
      <c r="D76" s="1715">
        <f t="shared" si="7"/>
        <v>0</v>
      </c>
      <c r="E76" s="1715">
        <f t="shared" si="7"/>
        <v>0</v>
      </c>
      <c r="F76" s="1715">
        <f t="shared" si="7"/>
        <v>0</v>
      </c>
      <c r="G76" s="1715">
        <f t="shared" si="7"/>
        <v>0</v>
      </c>
      <c r="H76" s="1715">
        <f t="shared" si="7"/>
        <v>0</v>
      </c>
      <c r="I76" s="1715">
        <f t="shared" si="7"/>
        <v>1500000</v>
      </c>
      <c r="J76" s="1715">
        <f t="shared" si="7"/>
        <v>0</v>
      </c>
      <c r="K76" s="1715">
        <f t="shared" si="7"/>
        <v>32275</v>
      </c>
      <c r="L76" s="523"/>
    </row>
    <row r="77" spans="1:12" ht="14.25" thickTop="1" thickBot="1" x14ac:dyDescent="0.25">
      <c r="A77" s="2149" t="s">
        <v>1238</v>
      </c>
      <c r="B77" s="2150"/>
      <c r="C77" s="1715">
        <f t="shared" ref="C77:K77" si="8">C44-C76</f>
        <v>1494341</v>
      </c>
      <c r="D77" s="1715">
        <f t="shared" si="8"/>
        <v>0</v>
      </c>
      <c r="E77" s="1715">
        <f t="shared" si="8"/>
        <v>124294</v>
      </c>
      <c r="F77" s="1715">
        <f t="shared" si="8"/>
        <v>0</v>
      </c>
      <c r="G77" s="1715">
        <f t="shared" si="8"/>
        <v>0</v>
      </c>
      <c r="H77" s="1715">
        <f t="shared" si="8"/>
        <v>0</v>
      </c>
      <c r="I77" s="1715">
        <f t="shared" si="8"/>
        <v>-1500000</v>
      </c>
      <c r="J77" s="1715">
        <f t="shared" si="8"/>
        <v>0</v>
      </c>
      <c r="K77" s="1715">
        <f t="shared" si="8"/>
        <v>3115495</v>
      </c>
      <c r="L77" s="347"/>
    </row>
    <row r="78" spans="1:12" ht="21.75" customHeight="1" thickTop="1" thickBot="1" x14ac:dyDescent="0.25">
      <c r="A78" s="2153" t="s">
        <v>617</v>
      </c>
      <c r="B78" s="2154"/>
      <c r="C78" s="1714">
        <f t="shared" ref="C78:K78" si="9">C20+C77</f>
        <v>904092</v>
      </c>
      <c r="D78" s="1714">
        <f t="shared" si="9"/>
        <v>268278</v>
      </c>
      <c r="E78" s="1714">
        <f t="shared" si="9"/>
        <v>53822</v>
      </c>
      <c r="F78" s="1714">
        <f t="shared" si="9"/>
        <v>150001</v>
      </c>
      <c r="G78" s="1714">
        <f t="shared" si="9"/>
        <v>172809</v>
      </c>
      <c r="H78" s="1714">
        <f t="shared" si="9"/>
        <v>507472</v>
      </c>
      <c r="I78" s="1714">
        <f t="shared" si="9"/>
        <v>-1173742</v>
      </c>
      <c r="J78" s="1714">
        <f t="shared" si="9"/>
        <v>89317</v>
      </c>
      <c r="K78" s="1714">
        <f t="shared" si="9"/>
        <v>3109088</v>
      </c>
      <c r="L78" s="532"/>
    </row>
    <row r="79" spans="1:12" ht="13.5" thickTop="1" x14ac:dyDescent="0.2">
      <c r="A79" s="1506" t="s">
        <v>2072</v>
      </c>
      <c r="B79" s="533"/>
      <c r="C79" s="477">
        <v>8250444</v>
      </c>
      <c r="D79" s="534">
        <v>306234</v>
      </c>
      <c r="E79" s="534">
        <v>-47780</v>
      </c>
      <c r="F79" s="534">
        <v>859551</v>
      </c>
      <c r="G79" s="534">
        <v>822600</v>
      </c>
      <c r="H79" s="534">
        <v>2872212</v>
      </c>
      <c r="I79" s="534">
        <v>4149224</v>
      </c>
      <c r="J79" s="534">
        <v>1184699</v>
      </c>
      <c r="K79" s="534">
        <v>874144</v>
      </c>
      <c r="L79" s="347"/>
    </row>
    <row r="80" spans="1:12" x14ac:dyDescent="0.2">
      <c r="A80" s="2159" t="s">
        <v>1897</v>
      </c>
      <c r="B80" s="2160"/>
      <c r="C80" s="467"/>
      <c r="D80" s="467"/>
      <c r="E80" s="467"/>
      <c r="F80" s="467"/>
      <c r="G80" s="467"/>
      <c r="H80" s="467"/>
      <c r="I80" s="467"/>
      <c r="J80" s="467"/>
      <c r="K80" s="467"/>
      <c r="L80" s="347"/>
    </row>
    <row r="81" spans="1:12" ht="13.5" thickBot="1" x14ac:dyDescent="0.25">
      <c r="A81" s="2151" t="s">
        <v>2073</v>
      </c>
      <c r="B81" s="2152"/>
      <c r="C81" s="1700">
        <f>(SUM(C78:C80))</f>
        <v>9154536</v>
      </c>
      <c r="D81" s="1700">
        <f>SUM(D78:D80)</f>
        <v>574512</v>
      </c>
      <c r="E81" s="1700">
        <f t="shared" ref="E81:K81" si="10">SUM(E78:E80)</f>
        <v>6042</v>
      </c>
      <c r="F81" s="1700">
        <f t="shared" si="10"/>
        <v>1009552</v>
      </c>
      <c r="G81" s="1700">
        <f t="shared" si="10"/>
        <v>995409</v>
      </c>
      <c r="H81" s="1700">
        <f t="shared" si="10"/>
        <v>3379684</v>
      </c>
      <c r="I81" s="1700">
        <f t="shared" si="10"/>
        <v>2975482</v>
      </c>
      <c r="J81" s="1700">
        <f t="shared" si="10"/>
        <v>1274016</v>
      </c>
      <c r="K81" s="1700">
        <f t="shared" si="10"/>
        <v>3983232</v>
      </c>
      <c r="L81" s="347"/>
    </row>
    <row r="82" spans="1:12" ht="0.75" customHeight="1" thickTop="1" thickBot="1" x14ac:dyDescent="0.25">
      <c r="A82" s="535" t="s">
        <v>360</v>
      </c>
      <c r="B82" s="536"/>
      <c r="C82" s="537">
        <f>(C81-C79)</f>
        <v>904092</v>
      </c>
      <c r="D82" s="537">
        <f t="shared" ref="D82:K82" si="11">(D81-D79)</f>
        <v>268278</v>
      </c>
      <c r="E82" s="537">
        <f t="shared" si="11"/>
        <v>53822</v>
      </c>
      <c r="F82" s="537">
        <f t="shared" si="11"/>
        <v>150001</v>
      </c>
      <c r="G82" s="537">
        <f t="shared" si="11"/>
        <v>172809</v>
      </c>
      <c r="H82" s="537">
        <f t="shared" si="11"/>
        <v>507472</v>
      </c>
      <c r="I82" s="537">
        <f t="shared" si="11"/>
        <v>-1173742</v>
      </c>
      <c r="J82" s="537">
        <f t="shared" si="11"/>
        <v>89317</v>
      </c>
      <c r="K82" s="537">
        <f t="shared" si="11"/>
        <v>3109088</v>
      </c>
    </row>
    <row r="83" spans="1:12" ht="14.25" hidden="1" thickTop="1" thickBot="1" x14ac:dyDescent="0.25">
      <c r="A83" s="538" t="s">
        <v>361</v>
      </c>
      <c r="B83" s="464"/>
      <c r="C83" s="539">
        <f>C82/C81</f>
        <v>9.8758910336908395E-2</v>
      </c>
      <c r="D83" s="539">
        <f t="shared" ref="D83:K83" si="12">D82/D81</f>
        <v>0.46696674743086308</v>
      </c>
      <c r="E83" s="539">
        <f t="shared" si="12"/>
        <v>8.9079774908970535</v>
      </c>
      <c r="F83" s="539">
        <f t="shared" si="12"/>
        <v>0.14858174715121161</v>
      </c>
      <c r="G83" s="539">
        <f t="shared" si="12"/>
        <v>0.17360602526197774</v>
      </c>
      <c r="H83" s="539">
        <f t="shared" si="12"/>
        <v>0.15015368300705037</v>
      </c>
      <c r="I83" s="539">
        <f t="shared" si="12"/>
        <v>-0.39447121508380828</v>
      </c>
      <c r="J83" s="539">
        <f t="shared" si="12"/>
        <v>7.0106654861477408E-2</v>
      </c>
      <c r="K83" s="539">
        <f t="shared" si="12"/>
        <v>0.78054404061827176</v>
      </c>
    </row>
    <row r="84" spans="1:12" ht="13.5" thickTop="1" x14ac:dyDescent="0.2"/>
    <row r="86" spans="1:12" x14ac:dyDescent="0.2">
      <c r="C86" s="502"/>
      <c r="D86" s="502"/>
      <c r="E86" s="502"/>
      <c r="F86" s="502"/>
      <c r="G86" s="502"/>
      <c r="H86" s="502"/>
      <c r="I86" s="502"/>
      <c r="J86" s="502"/>
    </row>
    <row r="87" spans="1:12" x14ac:dyDescent="0.2">
      <c r="C87" s="502"/>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&amp;CSee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view="pageLayout" topLeftCell="A247" colorId="8" zoomScaleNormal="100" zoomScaleSheetLayoutView="75" workbookViewId="0">
      <selection activeCell="C268" sqref="C268"/>
    </sheetView>
  </sheetViews>
  <sheetFormatPr defaultColWidth="9.140625" defaultRowHeight="12.75" x14ac:dyDescent="0.2"/>
  <cols>
    <col min="1" max="1" width="54.140625" style="588" customWidth="1"/>
    <col min="2" max="2" width="4.7109375" style="589" customWidth="1"/>
    <col min="3" max="11" width="13.7109375" style="384" customWidth="1"/>
    <col min="12" max="16384" width="9.140625" style="384"/>
  </cols>
  <sheetData>
    <row r="1" spans="1:12" x14ac:dyDescent="0.2">
      <c r="A1" s="2155" t="s">
        <v>1904</v>
      </c>
      <c r="B1" s="452"/>
      <c r="C1" s="453" t="s">
        <v>444</v>
      </c>
      <c r="D1" s="453" t="s">
        <v>445</v>
      </c>
      <c r="E1" s="453" t="s">
        <v>446</v>
      </c>
      <c r="F1" s="453" t="s">
        <v>447</v>
      </c>
      <c r="G1" s="453" t="s">
        <v>448</v>
      </c>
      <c r="H1" s="453" t="s">
        <v>449</v>
      </c>
      <c r="I1" s="453" t="s">
        <v>450</v>
      </c>
      <c r="J1" s="453" t="s">
        <v>451</v>
      </c>
      <c r="K1" s="453" t="s">
        <v>779</v>
      </c>
    </row>
    <row r="2" spans="1:12" ht="36" x14ac:dyDescent="0.2">
      <c r="A2" s="2156"/>
      <c r="B2" s="540" t="s">
        <v>395</v>
      </c>
      <c r="C2" s="541" t="s">
        <v>1216</v>
      </c>
      <c r="D2" s="541" t="s">
        <v>924</v>
      </c>
      <c r="E2" s="541" t="s">
        <v>457</v>
      </c>
      <c r="F2" s="541" t="s">
        <v>157</v>
      </c>
      <c r="G2" s="541" t="s">
        <v>1045</v>
      </c>
      <c r="H2" s="541" t="s">
        <v>456</v>
      </c>
      <c r="I2" s="541" t="s">
        <v>426</v>
      </c>
      <c r="J2" s="541" t="s">
        <v>455</v>
      </c>
      <c r="K2" s="541" t="s">
        <v>159</v>
      </c>
    </row>
    <row r="3" spans="1:12" ht="16.7" customHeight="1" x14ac:dyDescent="0.2">
      <c r="A3" s="1591" t="s">
        <v>115</v>
      </c>
      <c r="B3" s="1592"/>
      <c r="C3" s="1593"/>
      <c r="D3" s="1593"/>
      <c r="E3" s="1593"/>
      <c r="F3" s="1594"/>
      <c r="G3" s="1595"/>
      <c r="H3" s="1594"/>
      <c r="I3" s="1594"/>
      <c r="J3" s="1594"/>
      <c r="K3" s="1596"/>
    </row>
    <row r="4" spans="1:12" ht="15.75" customHeight="1" x14ac:dyDescent="0.2">
      <c r="A4" s="1602" t="s">
        <v>396</v>
      </c>
      <c r="B4" s="1603">
        <v>1100</v>
      </c>
      <c r="C4" s="542"/>
      <c r="D4" s="542"/>
      <c r="E4" s="542"/>
      <c r="F4" s="543"/>
      <c r="G4" s="544"/>
      <c r="H4" s="545"/>
      <c r="I4" s="545"/>
      <c r="J4" s="545"/>
      <c r="K4" s="545"/>
    </row>
    <row r="5" spans="1:12" ht="15" x14ac:dyDescent="0.2">
      <c r="A5" s="492" t="s">
        <v>1759</v>
      </c>
      <c r="B5" s="546"/>
      <c r="C5" s="480">
        <v>7084481</v>
      </c>
      <c r="D5" s="480">
        <v>1394306</v>
      </c>
      <c r="E5" s="466">
        <v>2724253</v>
      </c>
      <c r="F5" s="466">
        <v>669268</v>
      </c>
      <c r="G5" s="466">
        <v>261852</v>
      </c>
      <c r="H5" s="466">
        <v>0</v>
      </c>
      <c r="I5" s="466">
        <v>278859</v>
      </c>
      <c r="J5" s="466">
        <v>624316</v>
      </c>
      <c r="K5" s="466">
        <v>278859</v>
      </c>
    </row>
    <row r="6" spans="1:12" ht="15" x14ac:dyDescent="0.2">
      <c r="A6" s="463" t="s">
        <v>1760</v>
      </c>
      <c r="B6" s="470">
        <v>1130</v>
      </c>
      <c r="C6" s="480">
        <f>ROUND(SUMIF(DATA!$A:$A,MID(C$1,2,2)&amp;"-"&amp;LEFT($B6,3)&amp;"*-0*",DATA!$F:$F),0)</f>
        <v>278859</v>
      </c>
      <c r="D6" s="466">
        <f>SUMIF(DATA!$A:$A,"20-"&amp;LEFT($B6,3)&amp;"*-0*",DATA!$F:$F)</f>
        <v>0</v>
      </c>
      <c r="E6" s="475"/>
      <c r="F6" s="475"/>
      <c r="G6" s="468"/>
      <c r="H6" s="468"/>
      <c r="I6" s="468"/>
      <c r="J6" s="468"/>
      <c r="K6" s="468"/>
    </row>
    <row r="7" spans="1:12" x14ac:dyDescent="0.2">
      <c r="A7" s="463" t="s">
        <v>112</v>
      </c>
      <c r="B7" s="547">
        <v>1140</v>
      </c>
      <c r="C7" s="480">
        <f>ROUND(SUMIF(DATA!$A:$A,MID(C$1,2,2)&amp;"-"&amp;LEFT($B7,3)&amp;"*-0*",DATA!$F:$F),0)</f>
        <v>111544</v>
      </c>
      <c r="D7" s="466">
        <f>SUMIF(DATA!$A:$A,"20-"&amp;LEFT($B7,3)&amp;"*-0*",DATA!$F:$F)</f>
        <v>0</v>
      </c>
      <c r="E7" s="468"/>
      <c r="F7" s="480">
        <f>SUMIF(DATA!$A:$A,"40-"&amp;LEFT($B7,3)&amp;"*-0*",DATA!$F:$F)</f>
        <v>0</v>
      </c>
      <c r="G7" s="480">
        <f>SUMIF(DATA!$A:$A,"50-"&amp;LEFT($B7,3)&amp;"*-0*",DATA!$F:$F)</f>
        <v>0</v>
      </c>
      <c r="H7" s="467"/>
      <c r="I7" s="468"/>
      <c r="J7" s="468"/>
      <c r="K7" s="468"/>
    </row>
    <row r="8" spans="1:12" x14ac:dyDescent="0.2">
      <c r="A8" s="463" t="s">
        <v>432</v>
      </c>
      <c r="B8" s="470">
        <v>1150</v>
      </c>
      <c r="C8" s="475"/>
      <c r="D8" s="475"/>
      <c r="E8" s="476"/>
      <c r="F8" s="476"/>
      <c r="G8" s="480">
        <f>ROUND(SUMIF(DATA!$A:$A,MID(G$1,2,2)&amp;"-"&amp;LEFT($B8,3)&amp;"*-0*",DATA!$F:$F),0)</f>
        <v>261852</v>
      </c>
      <c r="H8" s="468"/>
      <c r="I8" s="468"/>
      <c r="J8" s="468"/>
      <c r="K8" s="468"/>
    </row>
    <row r="9" spans="1:12" x14ac:dyDescent="0.2">
      <c r="A9" s="473" t="s">
        <v>113</v>
      </c>
      <c r="B9" s="470">
        <v>1160</v>
      </c>
      <c r="C9" s="468"/>
      <c r="D9" s="466">
        <f>SUMIF(DATA!$A:$A,"20-"&amp;LEFT($B9,3)&amp;"*-0*",DATA!$F:$F)</f>
        <v>0</v>
      </c>
      <c r="E9" s="466">
        <f>SUMIF(DATA!$A:$A,"20-"&amp;LEFT($B9,3)&amp;"*-0*",DATA!$F:$F)</f>
        <v>0</v>
      </c>
      <c r="F9" s="469"/>
      <c r="G9" s="475"/>
      <c r="H9" s="480">
        <f>SUMIF(DATA!$A:$A,"60-"&amp;LEFT($B9,3)&amp;"*-0*",DATA!$F:$F)</f>
        <v>0</v>
      </c>
      <c r="I9" s="468"/>
      <c r="J9" s="468"/>
      <c r="K9" s="468"/>
    </row>
    <row r="10" spans="1:12" x14ac:dyDescent="0.2">
      <c r="A10" s="473" t="s">
        <v>114</v>
      </c>
      <c r="B10" s="470">
        <v>1170</v>
      </c>
      <c r="C10" s="480">
        <f>SUMIF(DATA!$A:$A,"10-"&amp;LEFT($B10,3)&amp;"*-0*",DATA!$F:$F)</f>
        <v>0</v>
      </c>
      <c r="D10" s="525"/>
      <c r="E10" s="525"/>
      <c r="F10" s="469"/>
      <c r="G10" s="468"/>
      <c r="H10" s="468"/>
      <c r="I10" s="468"/>
      <c r="J10" s="468"/>
      <c r="K10" s="468"/>
    </row>
    <row r="11" spans="1:12" x14ac:dyDescent="0.2">
      <c r="A11" s="473" t="s">
        <v>433</v>
      </c>
      <c r="B11" s="548">
        <v>1190</v>
      </c>
      <c r="C11" s="480">
        <f>SUMIF(DATA!$A:$A,"10-"&amp;LEFT($B11,3)&amp;"*-0*",DATA!$F:$F)</f>
        <v>0</v>
      </c>
      <c r="D11" s="466">
        <f>SUMIF(DATA!$A:$A,"20-"&amp;LEFT($B11,3)&amp;"*-0*",DATA!$F:$F)</f>
        <v>0</v>
      </c>
      <c r="E11" s="466">
        <f>SUMIF(DATA!$A:$A,"30-"&amp;LEFT($B11,3)&amp;"*-0*",DATA!$F:$F)</f>
        <v>0</v>
      </c>
      <c r="F11" s="480">
        <f>SUMIF(DATA!$A:$A,"40-"&amp;LEFT($B11,3)&amp;"*-0*",DATA!$F:$F)</f>
        <v>0</v>
      </c>
      <c r="G11" s="480">
        <f>SUMIF(DATA!$A:$A,"50-"&amp;LEFT($B11,3)&amp;"*-0*",DATA!$F:$F)</f>
        <v>0</v>
      </c>
      <c r="H11" s="480">
        <f>SUMIF(DATA!$A:$A,"60-"&amp;LEFT($B11,3)&amp;"*-0*",DATA!$F:$F)</f>
        <v>0</v>
      </c>
      <c r="I11" s="480">
        <f>ROUND(SUMIF(DATA!$A:$A,MID(I$1,2,2)&amp;"-"&amp;LEFT($B11,3)&amp;"*-0*",DATA!$F:$F),0)</f>
        <v>0</v>
      </c>
      <c r="J11" s="480">
        <f>SUMIF(DATA!$A:$A,"80-"&amp;LEFT($B11,3)&amp;"*-0*",DATA!$F:$F)</f>
        <v>0</v>
      </c>
      <c r="K11" s="480">
        <f>SUMIF(DATA!$A:$A,"90-"&amp;LEFT($B11,3)&amp;"*-0*",DATA!$F:$F)</f>
        <v>0</v>
      </c>
      <c r="L11" s="549"/>
    </row>
    <row r="12" spans="1:12" ht="12.75" customHeight="1" thickBot="1" x14ac:dyDescent="0.25">
      <c r="A12" s="1717" t="s">
        <v>29</v>
      </c>
      <c r="B12" s="1718"/>
      <c r="C12" s="1719">
        <f t="shared" ref="C12:K12" si="0">SUM(C5:C11)</f>
        <v>7474884</v>
      </c>
      <c r="D12" s="1719">
        <f t="shared" si="0"/>
        <v>1394306</v>
      </c>
      <c r="E12" s="1719">
        <f t="shared" si="0"/>
        <v>2724253</v>
      </c>
      <c r="F12" s="1719">
        <f t="shared" si="0"/>
        <v>669268</v>
      </c>
      <c r="G12" s="1719">
        <f t="shared" si="0"/>
        <v>523704</v>
      </c>
      <c r="H12" s="1719">
        <f t="shared" si="0"/>
        <v>0</v>
      </c>
      <c r="I12" s="1719">
        <f t="shared" si="0"/>
        <v>278859</v>
      </c>
      <c r="J12" s="1719">
        <f t="shared" si="0"/>
        <v>624316</v>
      </c>
      <c r="K12" s="1700">
        <f t="shared" si="0"/>
        <v>278859</v>
      </c>
    </row>
    <row r="13" spans="1:12" ht="15.75" customHeight="1" thickTop="1" x14ac:dyDescent="0.2">
      <c r="A13" s="1604" t="s">
        <v>470</v>
      </c>
      <c r="B13" s="1605">
        <v>1200</v>
      </c>
      <c r="C13" s="550"/>
      <c r="D13" s="550"/>
      <c r="E13" s="550"/>
      <c r="F13" s="550"/>
      <c r="G13" s="550"/>
      <c r="H13" s="550"/>
      <c r="I13" s="550"/>
      <c r="J13" s="550"/>
      <c r="K13" s="468"/>
    </row>
    <row r="14" spans="1:12" x14ac:dyDescent="0.2">
      <c r="A14" s="463" t="s">
        <v>3</v>
      </c>
      <c r="B14" s="470">
        <v>1210</v>
      </c>
      <c r="C14" s="480">
        <f>ROUND(SUMIF(DATA!$A:$A,MID(C$1,2,2)&amp;"-"&amp;LEFT($B14,3)&amp;"*-0*",DATA!$F:$F),0)</f>
        <v>0</v>
      </c>
      <c r="D14" s="480">
        <f>ROUND(SUMIF(DATA!$A:$A,MID(D$1,2,2)&amp;"-"&amp;LEFT($B14,3)&amp;"*-0*",DATA!$F:$F),0)</f>
        <v>0</v>
      </c>
      <c r="E14" s="466">
        <f>SUMIF(DATA!$A:$A,"30-"&amp;LEFT($B14,3)&amp;"*-0*",DATA!$F:$F)</f>
        <v>0</v>
      </c>
      <c r="F14" s="480">
        <f>SUMIF(DATA!$A:$A,"40-"&amp;LEFT($B14,3)&amp;"*-0*",DATA!$F:$F)</f>
        <v>0</v>
      </c>
      <c r="G14" s="480">
        <f>SUMIF(DATA!$A:$A,"50-"&amp;LEFT($B14,3)&amp;"*-0*",DATA!$F:$F)</f>
        <v>0</v>
      </c>
      <c r="H14" s="480">
        <f>SUMIF(DATA!$A:$A,"60-"&amp;LEFT($B14,3)&amp;"*-0*",DATA!$F:$F)</f>
        <v>0</v>
      </c>
      <c r="I14" s="480">
        <f>SUMIF(DATA!$A:$A,"70-"&amp;LEFT($B14,3)&amp;"*-0*",DATA!$F:$F)</f>
        <v>0</v>
      </c>
      <c r="J14" s="480">
        <f>SUMIF(DATA!$A:$A,"80-"&amp;LEFT($B14,3)&amp;"*-0*",DATA!$F:$F)</f>
        <v>0</v>
      </c>
      <c r="K14" s="480">
        <f>SUMIF(DATA!$A:$A,"90-"&amp;LEFT($B14,3)&amp;"*-0*",DATA!$F:$F)</f>
        <v>0</v>
      </c>
    </row>
    <row r="15" spans="1:12" ht="12.75" customHeight="1" x14ac:dyDescent="0.2">
      <c r="A15" s="463" t="s">
        <v>97</v>
      </c>
      <c r="B15" s="470">
        <v>1220</v>
      </c>
      <c r="C15" s="480">
        <f>ROUND(SUMIF(DATA!$A:$A,MID(C$1,2,2)&amp;"-"&amp;LEFT($B15,3)&amp;"*-0*",DATA!$F:$F),0)</f>
        <v>0</v>
      </c>
      <c r="D15" s="480">
        <f>ROUND(SUMIF(DATA!$A:$A,MID(D$1,2,2)&amp;"-"&amp;LEFT($B15,3)&amp;"*-0*",DATA!$F:$F),0)</f>
        <v>0</v>
      </c>
      <c r="E15" s="466">
        <f>SUMIF(DATA!$A:$A,"30-"&amp;LEFT($B15,3)&amp;"*-0*",DATA!$F:$F)</f>
        <v>0</v>
      </c>
      <c r="F15" s="480">
        <f>SUMIF(DATA!$A:$A,"40-"&amp;LEFT($B15,3)&amp;"*-0*",DATA!$F:$F)</f>
        <v>0</v>
      </c>
      <c r="G15" s="480">
        <f>SUMIF(DATA!$A:$A,"50-"&amp;LEFT($B15,3)&amp;"*-0*",DATA!$F:$F)</f>
        <v>0</v>
      </c>
      <c r="H15" s="480">
        <f>SUMIF(DATA!$A:$A,"60-"&amp;LEFT($B15,3)&amp;"*-0*",DATA!$F:$F)</f>
        <v>0</v>
      </c>
      <c r="I15" s="480">
        <f>SUMIF(DATA!$A:$A,"70-"&amp;LEFT($B15,3)&amp;"*-0*",DATA!$F:$F)</f>
        <v>0</v>
      </c>
      <c r="J15" s="480">
        <f>SUMIF(DATA!$A:$A,"80-"&amp;LEFT($B15,3)&amp;"*-0*",DATA!$F:$F)</f>
        <v>0</v>
      </c>
      <c r="K15" s="480">
        <f>SUMIF(DATA!$A:$A,"90-"&amp;LEFT($B15,3)&amp;"*-0*",DATA!$F:$F)</f>
        <v>0</v>
      </c>
    </row>
    <row r="16" spans="1:12" ht="15" customHeight="1" x14ac:dyDescent="0.2">
      <c r="A16" s="463" t="s">
        <v>1761</v>
      </c>
      <c r="B16" s="547">
        <v>1230</v>
      </c>
      <c r="C16" s="480">
        <f>ROUND(SUMIF(DATA!$A:$A,MID(C$1,2,2)&amp;"-"&amp;LEFT($B16,3)&amp;"*-0*",DATA!$F:$F),0)</f>
        <v>992093</v>
      </c>
      <c r="D16" s="480">
        <f>ROUND(SUMIF(DATA!$A:$A,MID(D$1,2,2)&amp;"-"&amp;LEFT($B16,3)&amp;"*-0*",DATA!$F:$F),0)</f>
        <v>200000</v>
      </c>
      <c r="E16" s="466">
        <f>SUMIF(DATA!$A:$A,"30-"&amp;LEFT($B16,3)&amp;"*-0*",DATA!$F:$F)</f>
        <v>0</v>
      </c>
      <c r="F16" s="480">
        <f>SUMIF(DATA!$A:$A,"40-"&amp;LEFT($B16,3)&amp;"*-0*",DATA!$F:$F)</f>
        <v>0</v>
      </c>
      <c r="G16" s="480">
        <f>ROUND(SUMIF(DATA!$A:$A,MID(G$1,2,2)&amp;"-"&amp;LEFT($B16,3)&amp;"*-0*",DATA!$F:$F),0)</f>
        <v>80272</v>
      </c>
      <c r="H16" s="480">
        <f>SUMIF(DATA!$A:$A,"60-"&amp;LEFT($B16,3)&amp;"*-0*",DATA!$F:$F)</f>
        <v>0</v>
      </c>
      <c r="I16" s="480">
        <f>SUMIF(DATA!$A:$A,"70-"&amp;LEFT($B16,3)&amp;"*-0*",DATA!$F:$F)</f>
        <v>0</v>
      </c>
      <c r="J16" s="480">
        <f>SUMIF(DATA!$A:$A,"80-"&amp;LEFT($B16,3)&amp;"*-0*",DATA!$F:$F)</f>
        <v>0</v>
      </c>
      <c r="K16" s="480">
        <f>SUMIF(DATA!$A:$A,"90-"&amp;LEFT($B16,3)&amp;"*-0*",DATA!$F:$F)</f>
        <v>0</v>
      </c>
    </row>
    <row r="17" spans="1:11" ht="12.75" customHeight="1" x14ac:dyDescent="0.2">
      <c r="A17" s="463" t="s">
        <v>839</v>
      </c>
      <c r="B17" s="470">
        <v>1290</v>
      </c>
      <c r="C17" s="480">
        <f>ROUND(SUMIF(DATA!$A:$A,MID(C$1,2,2)&amp;"-"&amp;LEFT($B17,3)&amp;"*-0*",DATA!$F:$F),0)</f>
        <v>0</v>
      </c>
      <c r="D17" s="480">
        <f>ROUND(SUMIF(DATA!$A:$A,MID(D$1,2,2)&amp;"-"&amp;LEFT($B17,3)&amp;"*-0*",DATA!$F:$F),0)</f>
        <v>0</v>
      </c>
      <c r="E17" s="466">
        <f>SUMIF(DATA!$A:$A,"30-"&amp;LEFT($B17,3)&amp;"*-0*",DATA!$F:$F)</f>
        <v>0</v>
      </c>
      <c r="F17" s="480">
        <f>SUMIF(DATA!$A:$A,"40-"&amp;LEFT($B17,3)&amp;"*-0*",DATA!$F:$F)</f>
        <v>0</v>
      </c>
      <c r="G17" s="480">
        <f>SUMIF(DATA!$A:$A,"50-"&amp;LEFT($B17,3)&amp;"*-0*",DATA!$F:$F)</f>
        <v>0</v>
      </c>
      <c r="H17" s="480">
        <f>SUMIF(DATA!$A:$A,"60-"&amp;LEFT($B17,3)&amp;"*-0*",DATA!$F:$F)</f>
        <v>0</v>
      </c>
      <c r="I17" s="480">
        <f>SUMIF(DATA!$A:$A,"70-"&amp;LEFT($B17,3)&amp;"*-0*",DATA!$F:$F)</f>
        <v>0</v>
      </c>
      <c r="J17" s="480">
        <f>SUMIF(DATA!$A:$A,"80-"&amp;LEFT($B17,3)&amp;"*-0*",DATA!$F:$F)</f>
        <v>0</v>
      </c>
      <c r="K17" s="480">
        <f>SUMIF(DATA!$A:$A,"90-"&amp;LEFT($B17,3)&amp;"*-0*",DATA!$F:$F)</f>
        <v>0</v>
      </c>
    </row>
    <row r="18" spans="1:11" ht="12.75" customHeight="1" thickBot="1" x14ac:dyDescent="0.25">
      <c r="A18" s="1720" t="s">
        <v>557</v>
      </c>
      <c r="B18" s="1721"/>
      <c r="C18" s="1722">
        <f>SUM(C14:C17)</f>
        <v>992093</v>
      </c>
      <c r="D18" s="1722">
        <f t="shared" ref="D18:K18" si="1">SUM(D14:D17)</f>
        <v>200000</v>
      </c>
      <c r="E18" s="1722">
        <f t="shared" si="1"/>
        <v>0</v>
      </c>
      <c r="F18" s="1722">
        <f t="shared" si="1"/>
        <v>0</v>
      </c>
      <c r="G18" s="1722">
        <f t="shared" si="1"/>
        <v>80272</v>
      </c>
      <c r="H18" s="1722">
        <f t="shared" si="1"/>
        <v>0</v>
      </c>
      <c r="I18" s="1722">
        <f t="shared" si="1"/>
        <v>0</v>
      </c>
      <c r="J18" s="1722">
        <f t="shared" si="1"/>
        <v>0</v>
      </c>
      <c r="K18" s="1723">
        <f t="shared" si="1"/>
        <v>0</v>
      </c>
    </row>
    <row r="19" spans="1:11" ht="15.75" customHeight="1" thickTop="1" x14ac:dyDescent="0.2">
      <c r="A19" s="1604" t="s">
        <v>471</v>
      </c>
      <c r="B19" s="1605">
        <v>1300</v>
      </c>
      <c r="C19" s="551"/>
      <c r="D19" s="551"/>
      <c r="E19" s="551"/>
      <c r="F19" s="551"/>
      <c r="G19" s="550"/>
      <c r="H19" s="551"/>
      <c r="I19" s="551"/>
      <c r="J19" s="551"/>
      <c r="K19" s="552"/>
    </row>
    <row r="20" spans="1:11" x14ac:dyDescent="0.2">
      <c r="A20" s="463" t="s">
        <v>1132</v>
      </c>
      <c r="B20" s="470">
        <v>1311</v>
      </c>
      <c r="C20" s="480">
        <f>ROUND(SUMIF(DATA!$A:$A,MID(C$1,2,2)&amp;"-"&amp;LEFT($B20,3)&amp;"*-0*",DATA!$F:$F),0)</f>
        <v>1225</v>
      </c>
      <c r="D20" s="468"/>
      <c r="E20" s="468"/>
      <c r="F20" s="468"/>
      <c r="G20" s="468"/>
      <c r="H20" s="468"/>
      <c r="I20" s="468"/>
      <c r="J20" s="468"/>
      <c r="K20" s="468"/>
    </row>
    <row r="21" spans="1:11" ht="12.75" customHeight="1" x14ac:dyDescent="0.2">
      <c r="A21" s="463" t="s">
        <v>886</v>
      </c>
      <c r="B21" s="470">
        <v>1312</v>
      </c>
      <c r="C21" s="480">
        <f>SUMIF(DATA!$A:$A,"10-"&amp;LEFT($B21,4)&amp;"*-0*",DATA!$F:$F)</f>
        <v>0</v>
      </c>
      <c r="D21" s="468"/>
      <c r="E21" s="468"/>
      <c r="F21" s="468"/>
      <c r="G21" s="468"/>
      <c r="H21" s="468"/>
      <c r="I21" s="468"/>
      <c r="J21" s="468"/>
      <c r="K21" s="468"/>
    </row>
    <row r="22" spans="1:11" ht="12.75" customHeight="1" x14ac:dyDescent="0.2">
      <c r="A22" s="463" t="s">
        <v>1133</v>
      </c>
      <c r="B22" s="470">
        <v>1313</v>
      </c>
      <c r="C22" s="480">
        <f>SUMIF(DATA!$A:$A,"10-"&amp;LEFT($B22,4)&amp;"*-0*",DATA!$F:$F)</f>
        <v>0</v>
      </c>
      <c r="D22" s="468"/>
      <c r="E22" s="468"/>
      <c r="F22" s="468"/>
      <c r="G22" s="468"/>
      <c r="H22" s="468"/>
      <c r="I22" s="468"/>
      <c r="J22" s="468"/>
      <c r="K22" s="468"/>
    </row>
    <row r="23" spans="1:11" ht="12.75" customHeight="1" x14ac:dyDescent="0.2">
      <c r="A23" s="463" t="s">
        <v>1134</v>
      </c>
      <c r="B23" s="470">
        <v>1314</v>
      </c>
      <c r="C23" s="480">
        <f>SUMIF(DATA!$A:$A,"10-"&amp;LEFT($B23,4)&amp;"*-0*",DATA!$F:$F)</f>
        <v>0</v>
      </c>
      <c r="D23" s="468"/>
      <c r="E23" s="468"/>
      <c r="F23" s="468"/>
      <c r="G23" s="468"/>
      <c r="H23" s="468"/>
      <c r="I23" s="468"/>
      <c r="J23" s="468"/>
      <c r="K23" s="468"/>
    </row>
    <row r="24" spans="1:11" ht="12.75" customHeight="1" x14ac:dyDescent="0.2">
      <c r="A24" s="463" t="s">
        <v>1084</v>
      </c>
      <c r="B24" s="470">
        <v>1321</v>
      </c>
      <c r="C24" s="480">
        <f>ROUND(SUMIF(DATA!$A:$A,MID(C$1,2,2)&amp;"-"&amp;LEFT($B24,3)&amp;"*-0*",DATA!$F:$F),0)</f>
        <v>5250</v>
      </c>
      <c r="D24" s="468"/>
      <c r="E24" s="468"/>
      <c r="F24" s="468"/>
      <c r="G24" s="468"/>
      <c r="H24" s="468"/>
      <c r="I24" s="468"/>
      <c r="J24" s="468"/>
      <c r="K24" s="468"/>
    </row>
    <row r="25" spans="1:11" ht="12.75" customHeight="1" x14ac:dyDescent="0.2">
      <c r="A25" s="463" t="s">
        <v>887</v>
      </c>
      <c r="B25" s="470">
        <v>1322</v>
      </c>
      <c r="C25" s="480">
        <f>SUMIF(DATA!$A:$A,"10-"&amp;LEFT($B25,4)&amp;"*-0*",DATA!$F:$F)</f>
        <v>0</v>
      </c>
      <c r="D25" s="468"/>
      <c r="E25" s="468"/>
      <c r="F25" s="468"/>
      <c r="G25" s="468"/>
      <c r="H25" s="468"/>
      <c r="I25" s="468"/>
      <c r="J25" s="468"/>
      <c r="K25" s="468"/>
    </row>
    <row r="26" spans="1:11" ht="12.75" customHeight="1" x14ac:dyDescent="0.2">
      <c r="A26" s="463" t="s">
        <v>1162</v>
      </c>
      <c r="B26" s="470">
        <v>1323</v>
      </c>
      <c r="C26" s="480">
        <f>SUMIF(DATA!$A:$A,"10-"&amp;LEFT($B26,4)&amp;"*-0*",DATA!$F:$F)</f>
        <v>0</v>
      </c>
      <c r="D26" s="468"/>
      <c r="E26" s="468"/>
      <c r="F26" s="468"/>
      <c r="G26" s="468"/>
      <c r="H26" s="468"/>
      <c r="I26" s="468"/>
      <c r="J26" s="468"/>
      <c r="K26" s="468"/>
    </row>
    <row r="27" spans="1:11" ht="12.75" customHeight="1" x14ac:dyDescent="0.2">
      <c r="A27" s="463" t="s">
        <v>1080</v>
      </c>
      <c r="B27" s="470">
        <v>1324</v>
      </c>
      <c r="C27" s="480">
        <f>SUMIF(DATA!$A:$A,"10-"&amp;LEFT($B27,4)&amp;"*-0*",DATA!$F:$F)</f>
        <v>0</v>
      </c>
      <c r="D27" s="468"/>
      <c r="E27" s="468"/>
      <c r="F27" s="468"/>
      <c r="G27" s="468"/>
      <c r="H27" s="468"/>
      <c r="I27" s="468"/>
      <c r="J27" s="468"/>
      <c r="K27" s="468"/>
    </row>
    <row r="28" spans="1:11" ht="12.75" customHeight="1" x14ac:dyDescent="0.2">
      <c r="A28" s="463" t="s">
        <v>1081</v>
      </c>
      <c r="B28" s="470">
        <v>1331</v>
      </c>
      <c r="C28" s="480">
        <f>SUMIF(DATA!$A:$A,"10-"&amp;LEFT($B28,4)&amp;"*-0*",DATA!$F:$F)</f>
        <v>0</v>
      </c>
      <c r="D28" s="468"/>
      <c r="E28" s="468"/>
      <c r="F28" s="468"/>
      <c r="G28" s="468"/>
      <c r="H28" s="468"/>
      <c r="I28" s="468"/>
      <c r="J28" s="468"/>
      <c r="K28" s="468"/>
    </row>
    <row r="29" spans="1:11" ht="12.75" customHeight="1" x14ac:dyDescent="0.2">
      <c r="A29" s="463" t="s">
        <v>888</v>
      </c>
      <c r="B29" s="470">
        <v>1332</v>
      </c>
      <c r="C29" s="480">
        <f>SUMIF(DATA!$A:$A,"10-"&amp;LEFT($B29,4)&amp;"*-0*",DATA!$F:$F)</f>
        <v>0</v>
      </c>
      <c r="D29" s="468"/>
      <c r="E29" s="468"/>
      <c r="F29" s="468"/>
      <c r="G29" s="468"/>
      <c r="H29" s="468"/>
      <c r="I29" s="468"/>
      <c r="J29" s="468"/>
      <c r="K29" s="468"/>
    </row>
    <row r="30" spans="1:11" ht="12.75" customHeight="1" x14ac:dyDescent="0.2">
      <c r="A30" s="463" t="s">
        <v>1083</v>
      </c>
      <c r="B30" s="470">
        <v>1333</v>
      </c>
      <c r="C30" s="480">
        <f>SUMIF(DATA!$A:$A,"10-"&amp;LEFT($B30,4)&amp;"*-0*",DATA!$F:$F)</f>
        <v>0</v>
      </c>
      <c r="D30" s="468"/>
      <c r="E30" s="468"/>
      <c r="F30" s="468"/>
      <c r="G30" s="468"/>
      <c r="H30" s="468"/>
      <c r="I30" s="468"/>
      <c r="J30" s="468"/>
      <c r="K30" s="468"/>
    </row>
    <row r="31" spans="1:11" ht="12.75" customHeight="1" x14ac:dyDescent="0.2">
      <c r="A31" s="463" t="s">
        <v>1082</v>
      </c>
      <c r="B31" s="470">
        <v>1334</v>
      </c>
      <c r="C31" s="480">
        <f>SUMIF(DATA!$A:$A,"10-"&amp;LEFT($B31,4)&amp;"*-0*",DATA!$F:$F)</f>
        <v>0</v>
      </c>
      <c r="D31" s="468"/>
      <c r="E31" s="468"/>
      <c r="F31" s="468"/>
      <c r="G31" s="468"/>
      <c r="H31" s="468"/>
      <c r="I31" s="468"/>
      <c r="J31" s="468"/>
      <c r="K31" s="468"/>
    </row>
    <row r="32" spans="1:11" ht="12.75" customHeight="1" x14ac:dyDescent="0.2">
      <c r="A32" s="463" t="s">
        <v>514</v>
      </c>
      <c r="B32" s="470">
        <v>1341</v>
      </c>
      <c r="C32" s="480">
        <f>SUMIF(DATA!$A:$A,"10-"&amp;LEFT($B32,4)&amp;"*-0*",DATA!$F:$F)</f>
        <v>0</v>
      </c>
      <c r="D32" s="468"/>
      <c r="E32" s="468"/>
      <c r="F32" s="468"/>
      <c r="G32" s="468"/>
      <c r="H32" s="468"/>
      <c r="I32" s="468"/>
      <c r="J32" s="468"/>
      <c r="K32" s="468"/>
    </row>
    <row r="33" spans="1:11" ht="12.75" customHeight="1" x14ac:dyDescent="0.2">
      <c r="A33" s="463" t="s">
        <v>889</v>
      </c>
      <c r="B33" s="470">
        <v>1342</v>
      </c>
      <c r="C33" s="480">
        <f>SUMIF(DATA!$A:$A,"10-"&amp;LEFT($B33,4)&amp;"*-0*",DATA!$F:$F)</f>
        <v>0</v>
      </c>
      <c r="D33" s="468"/>
      <c r="E33" s="468"/>
      <c r="F33" s="468"/>
      <c r="G33" s="468"/>
      <c r="H33" s="468"/>
      <c r="I33" s="468"/>
      <c r="J33" s="468"/>
      <c r="K33" s="468"/>
    </row>
    <row r="34" spans="1:11" ht="12.75" customHeight="1" x14ac:dyDescent="0.2">
      <c r="A34" s="463" t="s">
        <v>515</v>
      </c>
      <c r="B34" s="470">
        <v>1343</v>
      </c>
      <c r="C34" s="480">
        <f>SUMIF(DATA!$A:$A,"10-"&amp;LEFT($B34,4)&amp;"*-0*",DATA!$F:$F)</f>
        <v>0</v>
      </c>
      <c r="D34" s="468"/>
      <c r="E34" s="468"/>
      <c r="F34" s="468"/>
      <c r="G34" s="468"/>
      <c r="H34" s="468"/>
      <c r="I34" s="468"/>
      <c r="J34" s="468"/>
      <c r="K34" s="468"/>
    </row>
    <row r="35" spans="1:11" ht="12.75" customHeight="1" x14ac:dyDescent="0.2">
      <c r="A35" s="463" t="s">
        <v>513</v>
      </c>
      <c r="B35" s="470">
        <v>1344</v>
      </c>
      <c r="C35" s="480">
        <f>SUMIF(DATA!$A:$A,"10-"&amp;LEFT($B35,4)&amp;"*-0*",DATA!$F:$F)</f>
        <v>0</v>
      </c>
      <c r="D35" s="468"/>
      <c r="E35" s="468"/>
      <c r="F35" s="468"/>
      <c r="G35" s="468"/>
      <c r="H35" s="468"/>
      <c r="I35" s="468"/>
      <c r="J35" s="468"/>
      <c r="K35" s="468"/>
    </row>
    <row r="36" spans="1:11" ht="12.75" customHeight="1" x14ac:dyDescent="0.2">
      <c r="A36" s="463" t="s">
        <v>885</v>
      </c>
      <c r="B36" s="470">
        <v>1351</v>
      </c>
      <c r="C36" s="480">
        <f>SUMIF(DATA!$A:$A,"10-"&amp;LEFT($B36,4)&amp;"*-0*",DATA!$F:$F)</f>
        <v>0</v>
      </c>
      <c r="D36" s="468"/>
      <c r="E36" s="468"/>
      <c r="F36" s="468"/>
      <c r="G36" s="468"/>
      <c r="H36" s="468"/>
      <c r="I36" s="468"/>
      <c r="J36" s="468"/>
      <c r="K36" s="468"/>
    </row>
    <row r="37" spans="1:11" ht="12.75" customHeight="1" x14ac:dyDescent="0.2">
      <c r="A37" s="463" t="s">
        <v>890</v>
      </c>
      <c r="B37" s="470">
        <v>1352</v>
      </c>
      <c r="C37" s="480">
        <f>SUMIF(DATA!$A:$A,"10-"&amp;LEFT($B37,4)&amp;"*-0*",DATA!$F:$F)</f>
        <v>0</v>
      </c>
      <c r="D37" s="468"/>
      <c r="E37" s="468"/>
      <c r="F37" s="468"/>
      <c r="G37" s="468"/>
      <c r="H37" s="468"/>
      <c r="I37" s="468"/>
      <c r="J37" s="468"/>
      <c r="K37" s="468"/>
    </row>
    <row r="38" spans="1:11" ht="12.75" customHeight="1" x14ac:dyDescent="0.2">
      <c r="A38" s="463" t="s">
        <v>613</v>
      </c>
      <c r="B38" s="470">
        <v>1353</v>
      </c>
      <c r="C38" s="480">
        <f>SUMIF(DATA!$A:$A,"10-"&amp;LEFT($B38,4)&amp;"*-0*",DATA!$F:$F)</f>
        <v>0</v>
      </c>
      <c r="D38" s="468"/>
      <c r="E38" s="468"/>
      <c r="F38" s="468"/>
      <c r="G38" s="468"/>
      <c r="H38" s="468"/>
      <c r="I38" s="468"/>
      <c r="J38" s="468"/>
      <c r="K38" s="468"/>
    </row>
    <row r="39" spans="1:11" ht="12.75" customHeight="1" x14ac:dyDescent="0.2">
      <c r="A39" s="1507" t="s">
        <v>614</v>
      </c>
      <c r="B39" s="553">
        <v>1354</v>
      </c>
      <c r="C39" s="480">
        <f>SUMIF(DATA!$A:$A,"10-"&amp;LEFT($B39,4)&amp;"*-0*",DATA!$F:$F)</f>
        <v>0</v>
      </c>
      <c r="D39" s="468"/>
      <c r="E39" s="468"/>
      <c r="F39" s="468"/>
      <c r="G39" s="468"/>
      <c r="H39" s="468"/>
      <c r="I39" s="468"/>
      <c r="J39" s="468"/>
      <c r="K39" s="468"/>
    </row>
    <row r="40" spans="1:11" ht="12.75" customHeight="1" thickBot="1" x14ac:dyDescent="0.25">
      <c r="A40" s="1720" t="s">
        <v>558</v>
      </c>
      <c r="B40" s="1721"/>
      <c r="C40" s="1700">
        <f>SUM(C20:C39)</f>
        <v>6475</v>
      </c>
      <c r="D40" s="468"/>
      <c r="E40" s="468"/>
      <c r="F40" s="468"/>
      <c r="G40" s="468"/>
      <c r="H40" s="468"/>
      <c r="I40" s="468"/>
      <c r="J40" s="468"/>
      <c r="K40" s="468"/>
    </row>
    <row r="41" spans="1:11" ht="15.75" customHeight="1" thickTop="1" x14ac:dyDescent="0.2">
      <c r="A41" s="1604" t="s">
        <v>291</v>
      </c>
      <c r="B41" s="1605">
        <v>1400</v>
      </c>
      <c r="C41" s="468"/>
      <c r="D41" s="468"/>
      <c r="E41" s="468"/>
      <c r="F41" s="520"/>
      <c r="G41" s="468"/>
      <c r="H41" s="468"/>
      <c r="I41" s="468"/>
      <c r="J41" s="468"/>
      <c r="K41" s="468"/>
    </row>
    <row r="42" spans="1:11" ht="12.75" customHeight="1" x14ac:dyDescent="0.2">
      <c r="A42" s="463" t="s">
        <v>1135</v>
      </c>
      <c r="B42" s="470">
        <v>1411</v>
      </c>
      <c r="C42" s="468"/>
      <c r="D42" s="468"/>
      <c r="E42" s="468"/>
      <c r="F42" s="480">
        <f>SUMIF(DATA!$A:$A,"40-"&amp;LEFT($B42,3)&amp;"*-0*",DATA!$F:$F)</f>
        <v>0</v>
      </c>
      <c r="G42" s="468"/>
      <c r="H42" s="468"/>
      <c r="I42" s="468"/>
      <c r="J42" s="468"/>
      <c r="K42" s="468"/>
    </row>
    <row r="43" spans="1:11" ht="12.75" customHeight="1" x14ac:dyDescent="0.2">
      <c r="A43" s="463" t="s">
        <v>891</v>
      </c>
      <c r="B43" s="470">
        <v>1412</v>
      </c>
      <c r="C43" s="468"/>
      <c r="D43" s="468"/>
      <c r="E43" s="468"/>
      <c r="F43" s="480">
        <f>SUMIF(DATA!$A:$A,"40-"&amp;LEFT($B43,3)&amp;"*-0*",DATA!$F:$F)</f>
        <v>0</v>
      </c>
      <c r="G43" s="468"/>
      <c r="H43" s="468"/>
      <c r="I43" s="468"/>
      <c r="J43" s="468"/>
      <c r="K43" s="468"/>
    </row>
    <row r="44" spans="1:11" ht="12.75" customHeight="1" x14ac:dyDescent="0.2">
      <c r="A44" s="463" t="s">
        <v>401</v>
      </c>
      <c r="B44" s="470">
        <v>1413</v>
      </c>
      <c r="C44" s="468"/>
      <c r="D44" s="468"/>
      <c r="E44" s="468"/>
      <c r="F44" s="480">
        <f>SUMIF(DATA!$A:$A,"40-"&amp;LEFT($B44,3)&amp;"*-0*",DATA!$F:$F)</f>
        <v>0</v>
      </c>
      <c r="G44" s="468"/>
      <c r="H44" s="468"/>
      <c r="I44" s="468"/>
      <c r="J44" s="468"/>
      <c r="K44" s="468"/>
    </row>
    <row r="45" spans="1:11" ht="12.75" customHeight="1" x14ac:dyDescent="0.2">
      <c r="A45" s="463" t="s">
        <v>258</v>
      </c>
      <c r="B45" s="470">
        <v>1415</v>
      </c>
      <c r="C45" s="468"/>
      <c r="D45" s="468"/>
      <c r="E45" s="468"/>
      <c r="F45" s="480">
        <f>SUMIF(DATA!$A:$A,"40-"&amp;LEFT($B45,3)&amp;"*-0*",DATA!$F:$F)</f>
        <v>0</v>
      </c>
      <c r="G45" s="468"/>
      <c r="H45" s="468"/>
      <c r="I45" s="468"/>
      <c r="J45" s="468"/>
      <c r="K45" s="468"/>
    </row>
    <row r="46" spans="1:11" ht="12.75" customHeight="1" x14ac:dyDescent="0.2">
      <c r="A46" s="463" t="s">
        <v>1235</v>
      </c>
      <c r="B46" s="470">
        <v>1416</v>
      </c>
      <c r="C46" s="468"/>
      <c r="D46" s="468"/>
      <c r="E46" s="468"/>
      <c r="F46" s="480">
        <f>SUMIF(DATA!$A:$A,"40-"&amp;LEFT($B46,3)&amp;"*-0*",DATA!$F:$F)</f>
        <v>0</v>
      </c>
      <c r="G46" s="468"/>
      <c r="H46" s="468"/>
      <c r="I46" s="468"/>
      <c r="J46" s="468"/>
      <c r="K46" s="468"/>
    </row>
    <row r="47" spans="1:11" ht="12.75" customHeight="1" x14ac:dyDescent="0.2">
      <c r="A47" s="463" t="s">
        <v>59</v>
      </c>
      <c r="B47" s="470">
        <v>1421</v>
      </c>
      <c r="C47" s="468"/>
      <c r="D47" s="468"/>
      <c r="E47" s="468"/>
      <c r="F47" s="480">
        <f>SUMIF(DATA!$A:$A,"40-"&amp;LEFT($B47,3)&amp;"*-0*",DATA!$F:$F)</f>
        <v>0</v>
      </c>
      <c r="G47" s="468"/>
      <c r="H47" s="468"/>
      <c r="I47" s="468"/>
      <c r="J47" s="468"/>
      <c r="K47" s="468"/>
    </row>
    <row r="48" spans="1:11" ht="12.75" customHeight="1" x14ac:dyDescent="0.2">
      <c r="A48" s="463" t="s">
        <v>892</v>
      </c>
      <c r="B48" s="470">
        <v>1422</v>
      </c>
      <c r="C48" s="468"/>
      <c r="D48" s="468"/>
      <c r="E48" s="468"/>
      <c r="F48" s="480">
        <f>SUMIF(DATA!$A:$A,"40-"&amp;LEFT($B48,3)&amp;"*-0*",DATA!$F:$F)</f>
        <v>0</v>
      </c>
      <c r="G48" s="468"/>
      <c r="H48" s="468"/>
      <c r="I48" s="468"/>
      <c r="J48" s="468"/>
      <c r="K48" s="468"/>
    </row>
    <row r="49" spans="1:11" ht="12.75" customHeight="1" x14ac:dyDescent="0.2">
      <c r="A49" s="463" t="s">
        <v>60</v>
      </c>
      <c r="B49" s="470">
        <v>1423</v>
      </c>
      <c r="C49" s="468"/>
      <c r="D49" s="468"/>
      <c r="E49" s="468"/>
      <c r="F49" s="480">
        <f>SUMIF(DATA!$A:$A,"40-"&amp;LEFT($B49,3)&amp;"*-0*",DATA!$F:$F)</f>
        <v>0</v>
      </c>
      <c r="G49" s="468"/>
      <c r="H49" s="468"/>
      <c r="I49" s="468"/>
      <c r="J49" s="468"/>
      <c r="K49" s="468"/>
    </row>
    <row r="50" spans="1:11" ht="12.75" customHeight="1" x14ac:dyDescent="0.2">
      <c r="A50" s="463" t="s">
        <v>61</v>
      </c>
      <c r="B50" s="470">
        <v>1424</v>
      </c>
      <c r="C50" s="468"/>
      <c r="D50" s="468"/>
      <c r="E50" s="468"/>
      <c r="F50" s="480">
        <f>SUMIF(DATA!$A:$A,"40-"&amp;LEFT($B50,3)&amp;"*-0*",DATA!$F:$F)</f>
        <v>0</v>
      </c>
      <c r="G50" s="468"/>
      <c r="H50" s="468"/>
      <c r="I50" s="468"/>
      <c r="J50" s="468"/>
      <c r="K50" s="468"/>
    </row>
    <row r="51" spans="1:11" ht="12.75" customHeight="1" x14ac:dyDescent="0.2">
      <c r="A51" s="1508" t="s">
        <v>62</v>
      </c>
      <c r="B51" s="554">
        <v>1431</v>
      </c>
      <c r="C51" s="468"/>
      <c r="D51" s="468"/>
      <c r="E51" s="468"/>
      <c r="F51" s="480">
        <f>SUMIF(DATA!$A:$A,"40-"&amp;LEFT($B51,3)&amp;"*-0*",DATA!$F:$F)</f>
        <v>0</v>
      </c>
      <c r="G51" s="468"/>
      <c r="H51" s="468"/>
      <c r="I51" s="468"/>
      <c r="J51" s="468"/>
      <c r="K51" s="468"/>
    </row>
    <row r="52" spans="1:11" ht="12.75" customHeight="1" x14ac:dyDescent="0.2">
      <c r="A52" s="1508" t="s">
        <v>1167</v>
      </c>
      <c r="B52" s="554">
        <v>1432</v>
      </c>
      <c r="C52" s="468"/>
      <c r="D52" s="468"/>
      <c r="E52" s="468"/>
      <c r="F52" s="480">
        <f>SUMIF(DATA!$A:$A,"40-"&amp;LEFT($B52,3)&amp;"*-0*",DATA!$F:$F)</f>
        <v>0</v>
      </c>
      <c r="G52" s="468"/>
      <c r="H52" s="468"/>
      <c r="I52" s="468"/>
      <c r="J52" s="468"/>
      <c r="K52" s="468"/>
    </row>
    <row r="53" spans="1:11" ht="12.75" customHeight="1" x14ac:dyDescent="0.2">
      <c r="A53" s="1508" t="s">
        <v>63</v>
      </c>
      <c r="B53" s="554">
        <v>1433</v>
      </c>
      <c r="C53" s="468"/>
      <c r="D53" s="468"/>
      <c r="E53" s="468"/>
      <c r="F53" s="480">
        <f>SUMIF(DATA!$A:$A,"40-"&amp;LEFT($B53,3)&amp;"*-0*",DATA!$F:$F)</f>
        <v>0</v>
      </c>
      <c r="G53" s="468"/>
      <c r="H53" s="468"/>
      <c r="I53" s="468"/>
      <c r="J53" s="468"/>
      <c r="K53" s="468"/>
    </row>
    <row r="54" spans="1:11" ht="12.75" customHeight="1" x14ac:dyDescent="0.2">
      <c r="A54" s="1508" t="s">
        <v>64</v>
      </c>
      <c r="B54" s="554">
        <v>1434</v>
      </c>
      <c r="C54" s="468"/>
      <c r="D54" s="468"/>
      <c r="E54" s="468"/>
      <c r="F54" s="480">
        <f>SUMIF(DATA!$A:$A,"40-"&amp;LEFT($B54,3)&amp;"*-0*",DATA!$F:$F)</f>
        <v>0</v>
      </c>
      <c r="G54" s="468"/>
      <c r="H54" s="468"/>
      <c r="I54" s="468"/>
      <c r="J54" s="468"/>
      <c r="K54" s="468"/>
    </row>
    <row r="55" spans="1:11" ht="12.75" customHeight="1" x14ac:dyDescent="0.2">
      <c r="A55" s="1508" t="s">
        <v>65</v>
      </c>
      <c r="B55" s="554">
        <v>1441</v>
      </c>
      <c r="C55" s="468"/>
      <c r="D55" s="468"/>
      <c r="E55" s="468"/>
      <c r="F55" s="480">
        <f>SUMIF(DATA!$A:$A,"40-"&amp;LEFT($B55,3)&amp;"*-0*",DATA!$F:$F)</f>
        <v>0</v>
      </c>
      <c r="G55" s="468"/>
      <c r="H55" s="468"/>
      <c r="I55" s="468"/>
      <c r="J55" s="468"/>
      <c r="K55" s="468"/>
    </row>
    <row r="56" spans="1:11" ht="12.75" customHeight="1" x14ac:dyDescent="0.2">
      <c r="A56" s="1508" t="s">
        <v>1168</v>
      </c>
      <c r="B56" s="554">
        <v>1442</v>
      </c>
      <c r="C56" s="468"/>
      <c r="D56" s="468"/>
      <c r="E56" s="468"/>
      <c r="F56" s="480">
        <f>SUMIF(DATA!$A:$A,"40-"&amp;LEFT($B56,3)&amp;"*-0*",DATA!$F:$F)</f>
        <v>0</v>
      </c>
      <c r="G56" s="468"/>
      <c r="H56" s="468"/>
      <c r="I56" s="468"/>
      <c r="J56" s="468"/>
      <c r="K56" s="468"/>
    </row>
    <row r="57" spans="1:11" ht="12.75" customHeight="1" x14ac:dyDescent="0.2">
      <c r="A57" s="1508" t="s">
        <v>509</v>
      </c>
      <c r="B57" s="554">
        <v>1443</v>
      </c>
      <c r="C57" s="468"/>
      <c r="D57" s="468"/>
      <c r="E57" s="468"/>
      <c r="F57" s="480">
        <f>SUMIF(DATA!$A:$A,"40-"&amp;LEFT($B57,3)&amp;"*-0*",DATA!$F:$F)</f>
        <v>0</v>
      </c>
      <c r="G57" s="468"/>
      <c r="H57" s="468"/>
      <c r="I57" s="468"/>
      <c r="J57" s="468"/>
      <c r="K57" s="468"/>
    </row>
    <row r="58" spans="1:11" ht="12.75" customHeight="1" x14ac:dyDescent="0.2">
      <c r="A58" s="1508" t="s">
        <v>67</v>
      </c>
      <c r="B58" s="554">
        <v>1444</v>
      </c>
      <c r="C58" s="468"/>
      <c r="D58" s="468"/>
      <c r="E58" s="468"/>
      <c r="F58" s="480">
        <f>SUMIF(DATA!$A:$A,"40-"&amp;LEFT($B58,3)&amp;"*-0*",DATA!$F:$F)</f>
        <v>0</v>
      </c>
      <c r="G58" s="468"/>
      <c r="H58" s="468"/>
      <c r="I58" s="468"/>
      <c r="J58" s="468"/>
      <c r="K58" s="468"/>
    </row>
    <row r="59" spans="1:11" ht="12.75" customHeight="1" x14ac:dyDescent="0.2">
      <c r="A59" s="1508" t="s">
        <v>932</v>
      </c>
      <c r="B59" s="554">
        <v>1451</v>
      </c>
      <c r="C59" s="468"/>
      <c r="D59" s="468"/>
      <c r="E59" s="468"/>
      <c r="F59" s="480">
        <f>SUMIF(DATA!$A:$A,"40-"&amp;LEFT($B59,3)&amp;"*-0*",DATA!$F:$F)</f>
        <v>0</v>
      </c>
      <c r="G59" s="468"/>
      <c r="H59" s="468"/>
      <c r="I59" s="468"/>
      <c r="J59" s="468"/>
      <c r="K59" s="468"/>
    </row>
    <row r="60" spans="1:11" ht="12.75" customHeight="1" x14ac:dyDescent="0.2">
      <c r="A60" s="1508" t="s">
        <v>1169</v>
      </c>
      <c r="B60" s="554">
        <v>1452</v>
      </c>
      <c r="C60" s="468"/>
      <c r="D60" s="468"/>
      <c r="E60" s="468"/>
      <c r="F60" s="480">
        <f>SUMIF(DATA!$A:$A,"40-"&amp;LEFT($B60,3)&amp;"*-0*",DATA!$F:$F)</f>
        <v>0</v>
      </c>
      <c r="G60" s="468"/>
      <c r="H60" s="468"/>
      <c r="I60" s="468"/>
      <c r="J60" s="468"/>
      <c r="K60" s="468"/>
    </row>
    <row r="61" spans="1:11" ht="12.75" customHeight="1" x14ac:dyDescent="0.2">
      <c r="A61" s="560" t="s">
        <v>933</v>
      </c>
      <c r="B61" s="554">
        <v>1453</v>
      </c>
      <c r="C61" s="468"/>
      <c r="D61" s="468"/>
      <c r="E61" s="468"/>
      <c r="F61" s="480">
        <f>SUMIF(DATA!$A:$A,"40-"&amp;LEFT($B61,3)&amp;"*-0*",DATA!$F:$F)</f>
        <v>0</v>
      </c>
      <c r="G61" s="468"/>
      <c r="H61" s="468"/>
      <c r="I61" s="468"/>
      <c r="J61" s="468"/>
      <c r="K61" s="468"/>
    </row>
    <row r="62" spans="1:11" ht="12.75" customHeight="1" x14ac:dyDescent="0.2">
      <c r="A62" s="1509" t="s">
        <v>934</v>
      </c>
      <c r="B62" s="555">
        <v>1454</v>
      </c>
      <c r="C62" s="468"/>
      <c r="D62" s="468"/>
      <c r="E62" s="468"/>
      <c r="F62" s="480">
        <f>SUMIF(DATA!$A:$A,"40-"&amp;LEFT($B62,3)&amp;"*-0*",DATA!$F:$F)</f>
        <v>0</v>
      </c>
      <c r="G62" s="468"/>
      <c r="H62" s="468"/>
      <c r="I62" s="468"/>
      <c r="J62" s="468"/>
      <c r="K62" s="468"/>
    </row>
    <row r="63" spans="1:11" ht="12.75" customHeight="1" thickBot="1" x14ac:dyDescent="0.25">
      <c r="A63" s="1720" t="s">
        <v>505</v>
      </c>
      <c r="B63" s="1721"/>
      <c r="C63" s="468"/>
      <c r="D63" s="468"/>
      <c r="E63" s="468"/>
      <c r="F63" s="1700">
        <f>SUM(F42:F62)</f>
        <v>0</v>
      </c>
      <c r="G63" s="468"/>
      <c r="H63" s="468"/>
      <c r="I63" s="468"/>
      <c r="J63" s="468"/>
      <c r="K63" s="468"/>
    </row>
    <row r="64" spans="1:11" ht="15.75" customHeight="1" thickTop="1" x14ac:dyDescent="0.2">
      <c r="A64" s="1604" t="s">
        <v>473</v>
      </c>
      <c r="B64" s="1605">
        <v>1500</v>
      </c>
      <c r="C64" s="468"/>
      <c r="D64" s="468"/>
      <c r="E64" s="468"/>
      <c r="F64" s="468"/>
      <c r="G64" s="468"/>
      <c r="H64" s="468"/>
      <c r="I64" s="468"/>
      <c r="J64" s="468"/>
      <c r="K64" s="468"/>
    </row>
    <row r="65" spans="1:11" ht="12.75" customHeight="1" x14ac:dyDescent="0.2">
      <c r="A65" s="463" t="s">
        <v>567</v>
      </c>
      <c r="B65" s="470">
        <v>1510</v>
      </c>
      <c r="C65" s="480">
        <f>ROUND(SUMIF(DATA!$A:$A,MID(C$1,2,2)&amp;"-"&amp;LEFT($B65,3)&amp;"*-0*",DATA!$F:$F),0)</f>
        <v>109294</v>
      </c>
      <c r="D65" s="480">
        <f>ROUND(SUMIF(DATA!$A:$A,MID(D$1,2,2)&amp;"-"&amp;LEFT($B65,3)&amp;"*-0*",DATA!$F:$F),0)</f>
        <v>8446</v>
      </c>
      <c r="E65" s="480">
        <f>ROUND(SUMIF(DATA!$A:$A,MID(E$1,2,2)&amp;"-"&amp;LEFT($B65,3)&amp;"*-0*",DATA!$F:$F),0)</f>
        <v>4405</v>
      </c>
      <c r="F65" s="480">
        <f>ROUND(SUMIF(DATA!$A:$A,MID(F$1,2,2)&amp;"-"&amp;LEFT($B65,3)&amp;"*-0*",DATA!$F:$F),0)</f>
        <v>8984</v>
      </c>
      <c r="G65" s="480">
        <f>ROUND(SUMIF(DATA!$A:$A,MID(G$1,2,2)&amp;"-"&amp;LEFT($B65,3)&amp;"*-0*",DATA!$F:$F),0)</f>
        <v>9981</v>
      </c>
      <c r="H65" s="480">
        <f>ROUND(SUMIF(DATA!$A:$A,MID(H$1,2,2)&amp;"-"&amp;LEFT($B65,3)&amp;"*-0*",DATA!$F:$F),0)</f>
        <v>38586</v>
      </c>
      <c r="I65" s="480">
        <f>ROUND(SUMIF(DATA!$A:$A,MID(I$1,2,2)&amp;"-"&amp;LEFT($B65,3)&amp;"*-0*",DATA!$F:$F),0)</f>
        <v>47399</v>
      </c>
      <c r="J65" s="480">
        <f>ROUND(SUMIF(DATA!$A:$A,MID(J$1,2,2)&amp;"-"&amp;LEFT($B65,3)&amp;"*-0*",DATA!$F:$F),0)</f>
        <v>13595</v>
      </c>
      <c r="K65" s="480">
        <f>ROUND(SUMIF(DATA!$A:$A,MID(K$1,2,2)&amp;"-"&amp;LEFT($B65,3)&amp;"*-0*",DATA!$F:$F),0)</f>
        <v>21653</v>
      </c>
    </row>
    <row r="66" spans="1:11" ht="12.75" customHeight="1" x14ac:dyDescent="0.2">
      <c r="A66" s="463" t="s">
        <v>699</v>
      </c>
      <c r="B66" s="470">
        <v>1520</v>
      </c>
      <c r="C66" s="480">
        <f>ROUND(SUMIF(DATA!$A:$A,MID(C$1,2,2)&amp;"-"&amp;LEFT($B66,3)&amp;"*-0*",DATA!$F:$F),0)</f>
        <v>65</v>
      </c>
      <c r="D66" s="480">
        <f>ROUND(SUMIF(DATA!$A:$A,MID(D$1,2,2)&amp;"-"&amp;LEFT($B66,3)&amp;"*-0*",DATA!$F:$F),0)</f>
        <v>0</v>
      </c>
      <c r="E66" s="480">
        <f>ROUND(SUMIF(DATA!$A:$A,MID(E$1,2,2)&amp;"-"&amp;LEFT($B66,3)&amp;"*-0*",DATA!$F:$F),0)</f>
        <v>0</v>
      </c>
      <c r="F66" s="480">
        <f>ROUND(SUMIF(DATA!$A:$A,MID(F$1,2,2)&amp;"-"&amp;LEFT($B66,3)&amp;"*-0*",DATA!$F:$F),0)</f>
        <v>0</v>
      </c>
      <c r="G66" s="480">
        <f>ROUND(SUMIF(DATA!$A:$A,MID(G$1,2,2)&amp;"-"&amp;LEFT($B66,3)&amp;"*-0*",DATA!$F:$F),0)</f>
        <v>0</v>
      </c>
      <c r="H66" s="480">
        <f>SUMIF(DATA!$A:$A,"60-"&amp;LEFT($B66,3)&amp;"*-0*",DATA!$F:$F)</f>
        <v>0</v>
      </c>
      <c r="I66" s="480">
        <f>SUMIF(DATA!$A:$A,"70-"&amp;LEFT($B66,3)&amp;"*-0*",DATA!$F:$F)</f>
        <v>0</v>
      </c>
      <c r="J66" s="480">
        <f>SUMIF(DATA!$A:$A,"80-"&amp;LEFT($B66,3)&amp;"*-0*",DATA!$F:$F)</f>
        <v>0</v>
      </c>
      <c r="K66" s="480">
        <f>SUMIF(DATA!$A:$A,"90-"&amp;LEFT($B66,3)&amp;"*-0*",DATA!$F:$F)</f>
        <v>0</v>
      </c>
    </row>
    <row r="67" spans="1:11" ht="12.75" customHeight="1" thickBot="1" x14ac:dyDescent="0.25">
      <c r="A67" s="1720" t="s">
        <v>506</v>
      </c>
      <c r="B67" s="1721"/>
      <c r="C67" s="1700">
        <f>SUM(C65:C66)</f>
        <v>109359</v>
      </c>
      <c r="D67" s="1700">
        <f t="shared" ref="D67:K67" si="2">SUM(D65:D66)</f>
        <v>8446</v>
      </c>
      <c r="E67" s="1700">
        <f t="shared" si="2"/>
        <v>4405</v>
      </c>
      <c r="F67" s="1700">
        <f t="shared" si="2"/>
        <v>8984</v>
      </c>
      <c r="G67" s="1700">
        <f t="shared" si="2"/>
        <v>9981</v>
      </c>
      <c r="H67" s="1700">
        <f t="shared" si="2"/>
        <v>38586</v>
      </c>
      <c r="I67" s="1700">
        <f t="shared" si="2"/>
        <v>47399</v>
      </c>
      <c r="J67" s="1700">
        <f t="shared" si="2"/>
        <v>13595</v>
      </c>
      <c r="K67" s="1700">
        <f t="shared" si="2"/>
        <v>21653</v>
      </c>
    </row>
    <row r="68" spans="1:11" ht="15.75" customHeight="1" thickTop="1" x14ac:dyDescent="0.2">
      <c r="A68" s="1604" t="s">
        <v>474</v>
      </c>
      <c r="B68" s="1606">
        <v>1600</v>
      </c>
      <c r="C68" s="550"/>
      <c r="D68" s="468"/>
      <c r="E68" s="468"/>
      <c r="F68" s="468"/>
      <c r="G68" s="468"/>
      <c r="H68" s="468"/>
      <c r="I68" s="468"/>
      <c r="J68" s="468"/>
      <c r="K68" s="468"/>
    </row>
    <row r="69" spans="1:11" ht="12.75" customHeight="1" x14ac:dyDescent="0.2">
      <c r="A69" s="463" t="s">
        <v>686</v>
      </c>
      <c r="B69" s="470">
        <v>1611</v>
      </c>
      <c r="C69" s="480">
        <f>ROUND(SUMIF(DATA!$A:$A,MID(C$1,2,2)&amp;"-"&amp;LEFT($B69,4)&amp;"*-0*",DATA!$F:$F),0)</f>
        <v>0</v>
      </c>
      <c r="D69" s="468"/>
      <c r="E69" s="468"/>
      <c r="F69" s="468"/>
      <c r="G69" s="468"/>
      <c r="H69" s="468"/>
      <c r="I69" s="468"/>
      <c r="J69" s="468"/>
      <c r="K69" s="468"/>
    </row>
    <row r="70" spans="1:11" ht="12.75" customHeight="1" x14ac:dyDescent="0.2">
      <c r="A70" s="463" t="s">
        <v>1053</v>
      </c>
      <c r="B70" s="470">
        <v>1612</v>
      </c>
      <c r="C70" s="480">
        <f>ROUND(SUMIF(DATA!$A:$A,MID(C$1,2,2)&amp;"-"&amp;LEFT($B70,4)&amp;"*-0*",DATA!$F:$F),0)</f>
        <v>0</v>
      </c>
      <c r="D70" s="468"/>
      <c r="E70" s="468"/>
      <c r="F70" s="468"/>
      <c r="G70" s="468"/>
      <c r="H70" s="468"/>
      <c r="I70" s="468"/>
      <c r="J70" s="468"/>
      <c r="K70" s="468"/>
    </row>
    <row r="71" spans="1:11" ht="12.75" customHeight="1" x14ac:dyDescent="0.2">
      <c r="A71" s="463" t="s">
        <v>290</v>
      </c>
      <c r="B71" s="470">
        <v>1613</v>
      </c>
      <c r="C71" s="480">
        <f>ROUND(SUMIF(DATA!$A:$A,MID(C$1,2,2)&amp;"-"&amp;LEFT($B71,4)&amp;"*-0*",DATA!$F:$F),0)</f>
        <v>524255</v>
      </c>
      <c r="D71" s="468"/>
      <c r="E71" s="468"/>
      <c r="F71" s="468"/>
      <c r="G71" s="468"/>
      <c r="H71" s="468"/>
      <c r="I71" s="468"/>
      <c r="J71" s="468"/>
      <c r="K71" s="468"/>
    </row>
    <row r="72" spans="1:11" ht="12.75" customHeight="1" x14ac:dyDescent="0.2">
      <c r="A72" s="463" t="s">
        <v>24</v>
      </c>
      <c r="B72" s="470">
        <v>1614</v>
      </c>
      <c r="C72" s="480">
        <f>ROUND(SUMIF(DATA!$A:$A,MID(C$1,2,2)&amp;"-"&amp;LEFT($B72,4)&amp;"*-0*",DATA!$F:$F),0)</f>
        <v>3185</v>
      </c>
      <c r="D72" s="468"/>
      <c r="E72" s="468"/>
      <c r="F72" s="468"/>
      <c r="G72" s="468"/>
      <c r="H72" s="468"/>
      <c r="I72" s="468"/>
      <c r="J72" s="468"/>
      <c r="K72" s="468"/>
    </row>
    <row r="73" spans="1:11" ht="12.75" customHeight="1" x14ac:dyDescent="0.2">
      <c r="A73" s="463" t="s">
        <v>1054</v>
      </c>
      <c r="B73" s="470">
        <v>1620</v>
      </c>
      <c r="C73" s="480">
        <f>ROUND(SUMIF(DATA!$A:$A,MID(C$1,2,2)&amp;"-"&amp;LEFT($B73,4)&amp;"*-0*",DATA!$F:$F),0)</f>
        <v>0</v>
      </c>
      <c r="D73" s="468"/>
      <c r="E73" s="468"/>
      <c r="F73" s="468"/>
      <c r="G73" s="468"/>
      <c r="H73" s="468"/>
      <c r="I73" s="468"/>
      <c r="J73" s="468"/>
      <c r="K73" s="468"/>
    </row>
    <row r="74" spans="1:11" ht="12.75" customHeight="1" x14ac:dyDescent="0.2">
      <c r="A74" s="463" t="s">
        <v>25</v>
      </c>
      <c r="B74" s="470">
        <v>1690</v>
      </c>
      <c r="C74" s="480">
        <f>ROUND(SUMIF(DATA!$A:$A,MID(C$1,2,2)&amp;"-"&amp;LEFT($B74,4)&amp;"*-0*",DATA!$F:$F),0)</f>
        <v>22298</v>
      </c>
      <c r="D74" s="468"/>
      <c r="E74" s="468"/>
      <c r="F74" s="468"/>
      <c r="G74" s="468"/>
      <c r="H74" s="468"/>
      <c r="I74" s="468"/>
      <c r="J74" s="468"/>
      <c r="K74" s="468"/>
    </row>
    <row r="75" spans="1:11" ht="12.75" customHeight="1" thickBot="1" x14ac:dyDescent="0.25">
      <c r="A75" s="1720" t="s">
        <v>568</v>
      </c>
      <c r="B75" s="1721"/>
      <c r="C75" s="1700">
        <f>SUM(C69:C74)</f>
        <v>549738</v>
      </c>
      <c r="D75" s="468"/>
      <c r="E75" s="468"/>
      <c r="F75" s="468"/>
      <c r="G75" s="468"/>
      <c r="H75" s="468"/>
      <c r="I75" s="468"/>
      <c r="J75" s="468"/>
      <c r="K75" s="468"/>
    </row>
    <row r="76" spans="1:11" ht="15.75" customHeight="1" thickTop="1" x14ac:dyDescent="0.2">
      <c r="A76" s="1604" t="s">
        <v>935</v>
      </c>
      <c r="B76" s="1606">
        <v>1700</v>
      </c>
      <c r="C76" s="550"/>
      <c r="D76" s="468"/>
      <c r="E76" s="468"/>
      <c r="F76" s="468"/>
      <c r="G76" s="468"/>
      <c r="H76" s="468"/>
      <c r="I76" s="468"/>
      <c r="J76" s="468"/>
      <c r="K76" s="468"/>
    </row>
    <row r="77" spans="1:11" ht="12.75" customHeight="1" x14ac:dyDescent="0.2">
      <c r="A77" s="463" t="s">
        <v>569</v>
      </c>
      <c r="B77" s="470">
        <v>1711</v>
      </c>
      <c r="C77" s="480">
        <f>ROUND(SUMIF(DATA!$A:$A,MID(C$1,2,2)&amp;"-"&amp;LEFT($B77,4)&amp;"*-0*",DATA!$F:$F),0)</f>
        <v>73986</v>
      </c>
      <c r="D77" s="480">
        <f>ROUND(SUMIF(DATA!$A:$A,MID(D$1,2,2)&amp;"-"&amp;LEFT($B77,3)&amp;"*-0*",DATA!$F:$F),0)</f>
        <v>0</v>
      </c>
      <c r="E77" s="468"/>
      <c r="F77" s="468"/>
      <c r="G77" s="468"/>
      <c r="H77" s="468"/>
      <c r="I77" s="468"/>
      <c r="J77" s="468"/>
      <c r="K77" s="468"/>
    </row>
    <row r="78" spans="1:11" ht="12.75" customHeight="1" x14ac:dyDescent="0.2">
      <c r="A78" s="463" t="s">
        <v>78</v>
      </c>
      <c r="B78" s="470">
        <v>1719</v>
      </c>
      <c r="C78" s="480">
        <f>ROUND(SUMIF(DATA!$A:$A,MID(C$1,2,2)&amp;"-"&amp;LEFT($B78,4)&amp;"*-0*",DATA!$F:$F),0)</f>
        <v>12630</v>
      </c>
      <c r="D78" s="480">
        <f>ROUND(SUMIF(DATA!$A:$A,MID(D$1,2,2)&amp;"-"&amp;LEFT($B78,3)&amp;"*-0*",DATA!$F:$F),0)</f>
        <v>0</v>
      </c>
      <c r="E78" s="468"/>
      <c r="F78" s="468"/>
      <c r="G78" s="468"/>
      <c r="H78" s="468"/>
      <c r="I78" s="468"/>
      <c r="J78" s="468"/>
      <c r="K78" s="468"/>
    </row>
    <row r="79" spans="1:11" ht="12.75" customHeight="1" x14ac:dyDescent="0.2">
      <c r="A79" s="463" t="s">
        <v>570</v>
      </c>
      <c r="B79" s="470">
        <v>1720</v>
      </c>
      <c r="C79" s="480">
        <f>ROUND(SUMIF(DATA!$A:$A,MID(C$1,2,2)&amp;"-"&amp;LEFT($B79,3)&amp;"*-0*",DATA!$F:$F),0)</f>
        <v>52742</v>
      </c>
      <c r="D79" s="480">
        <f>ROUND(SUMIF(DATA!$A:$A,MID(D$1,2,2)&amp;"-"&amp;LEFT($B79,3)&amp;"*-0*",DATA!$F:$F),0)</f>
        <v>12326</v>
      </c>
      <c r="E79" s="468"/>
      <c r="F79" s="468"/>
      <c r="G79" s="468"/>
      <c r="H79" s="468"/>
      <c r="I79" s="468"/>
      <c r="J79" s="468"/>
      <c r="K79" s="468"/>
    </row>
    <row r="80" spans="1:11" ht="12.75" customHeight="1" x14ac:dyDescent="0.2">
      <c r="A80" s="463" t="s">
        <v>571</v>
      </c>
      <c r="B80" s="470">
        <v>1730</v>
      </c>
      <c r="C80" s="480">
        <f>ROUND(SUMIF(DATA!$A:$A,MID(C$1,2,2)&amp;"-"&amp;LEFT($B80,4)&amp;"*-0*",DATA!$F:$F),0)</f>
        <v>4627</v>
      </c>
      <c r="D80" s="480">
        <f>ROUND(SUMIF(DATA!$A:$A,MID(D$1,2,2)&amp;"-"&amp;LEFT($B80,3)&amp;"*-0*",DATA!$F:$F),0)</f>
        <v>0</v>
      </c>
      <c r="E80" s="468"/>
      <c r="F80" s="468"/>
      <c r="G80" s="468"/>
      <c r="H80" s="468"/>
      <c r="I80" s="468"/>
      <c r="J80" s="468"/>
      <c r="K80" s="468"/>
    </row>
    <row r="81" spans="1:11" ht="12.75" customHeight="1" x14ac:dyDescent="0.2">
      <c r="A81" s="463" t="s">
        <v>26</v>
      </c>
      <c r="B81" s="470">
        <v>1790</v>
      </c>
      <c r="C81" s="480">
        <f>ROUND(SUMIF(DATA!$A:$A,MID(C$1,2,2)&amp;"-"&amp;LEFT($B81,4)&amp;"*-0*",DATA!$F:$F),0)</f>
        <v>0</v>
      </c>
      <c r="D81" s="480">
        <f>ROUND(SUMIF(DATA!$A:$A,MID(D$1,2,2)&amp;"-"&amp;LEFT($B81,3)&amp;"*-0*",DATA!$F:$F),0)</f>
        <v>0</v>
      </c>
      <c r="E81" s="468"/>
      <c r="F81" s="468"/>
      <c r="G81" s="468"/>
      <c r="H81" s="468"/>
      <c r="I81" s="468"/>
      <c r="J81" s="468"/>
      <c r="K81" s="468"/>
    </row>
    <row r="82" spans="1:11" ht="12.75" customHeight="1" thickBot="1" x14ac:dyDescent="0.25">
      <c r="A82" s="1720" t="s">
        <v>259</v>
      </c>
      <c r="B82" s="1721"/>
      <c r="C82" s="1719">
        <f>SUM(C77:C81)</f>
        <v>143985</v>
      </c>
      <c r="D82" s="1700">
        <f>SUM(D77:D81)</f>
        <v>12326</v>
      </c>
      <c r="E82" s="468"/>
      <c r="F82" s="468"/>
      <c r="G82" s="468"/>
      <c r="H82" s="468"/>
      <c r="I82" s="468"/>
      <c r="J82" s="468"/>
      <c r="K82" s="468"/>
    </row>
    <row r="83" spans="1:11" ht="15.75" customHeight="1" thickTop="1" x14ac:dyDescent="0.2">
      <c r="A83" s="1604" t="s">
        <v>260</v>
      </c>
      <c r="B83" s="1606">
        <v>1800</v>
      </c>
      <c r="C83" s="550"/>
      <c r="D83" s="468"/>
      <c r="E83" s="468"/>
      <c r="F83" s="468"/>
      <c r="G83" s="468"/>
      <c r="H83" s="468"/>
      <c r="I83" s="468"/>
      <c r="J83" s="468"/>
      <c r="K83" s="468"/>
    </row>
    <row r="84" spans="1:11" ht="12.75" customHeight="1" x14ac:dyDescent="0.2">
      <c r="A84" s="463" t="s">
        <v>572</v>
      </c>
      <c r="B84" s="470">
        <v>1811</v>
      </c>
      <c r="C84" s="480">
        <f>ROUND(SUMIF(DATA!$A:$A,MID(C$1,2,2)&amp;"-"&amp;LEFT($B84,4)&amp;"*-0*",DATA!$F:$F),0)</f>
        <v>118345</v>
      </c>
      <c r="D84" s="468"/>
      <c r="E84" s="468"/>
      <c r="F84" s="468"/>
      <c r="G84" s="468"/>
      <c r="H84" s="468"/>
      <c r="I84" s="468"/>
      <c r="J84" s="468"/>
      <c r="K84" s="468"/>
    </row>
    <row r="85" spans="1:11" ht="12.75" customHeight="1" x14ac:dyDescent="0.2">
      <c r="A85" s="463" t="s">
        <v>573</v>
      </c>
      <c r="B85" s="470">
        <v>1812</v>
      </c>
      <c r="C85" s="480">
        <f>ROUND(SUMIF(DATA!$A:$A,MID(C$1,2,2)&amp;"-"&amp;LEFT($B85,4)&amp;"*-0*",DATA!$F:$F),0)</f>
        <v>0</v>
      </c>
      <c r="D85" s="468"/>
      <c r="E85" s="468"/>
      <c r="F85" s="468"/>
      <c r="G85" s="468"/>
      <c r="H85" s="468"/>
      <c r="I85" s="468"/>
      <c r="J85" s="468"/>
      <c r="K85" s="468"/>
    </row>
    <row r="86" spans="1:11" ht="12.75" customHeight="1" x14ac:dyDescent="0.2">
      <c r="A86" s="463" t="s">
        <v>1055</v>
      </c>
      <c r="B86" s="470">
        <v>1813</v>
      </c>
      <c r="C86" s="480">
        <f>ROUND(SUMIF(DATA!$A:$A,MID(C$1,2,2)&amp;"-"&amp;LEFT($B86,4)&amp;"*-0*",DATA!$F:$F),0)</f>
        <v>0</v>
      </c>
      <c r="D86" s="468"/>
      <c r="E86" s="468"/>
      <c r="F86" s="468"/>
      <c r="G86" s="468"/>
      <c r="H86" s="468"/>
      <c r="I86" s="468"/>
      <c r="J86" s="468"/>
      <c r="K86" s="468"/>
    </row>
    <row r="87" spans="1:11" ht="12.75" customHeight="1" x14ac:dyDescent="0.2">
      <c r="A87" s="463" t="s">
        <v>79</v>
      </c>
      <c r="B87" s="470">
        <v>1819</v>
      </c>
      <c r="C87" s="480">
        <f>ROUND(SUMIF(DATA!$A:$A,MID(C$1,2,2)&amp;"-"&amp;LEFT($B87,4)&amp;"*-0*",DATA!$F:$F),0)</f>
        <v>0</v>
      </c>
      <c r="D87" s="468"/>
      <c r="E87" s="468"/>
      <c r="F87" s="468"/>
      <c r="G87" s="468"/>
      <c r="H87" s="468"/>
      <c r="I87" s="468"/>
      <c r="J87" s="468"/>
      <c r="K87" s="468"/>
    </row>
    <row r="88" spans="1:11" ht="12.75" customHeight="1" x14ac:dyDescent="0.2">
      <c r="A88" s="463" t="s">
        <v>574</v>
      </c>
      <c r="B88" s="470">
        <v>1821</v>
      </c>
      <c r="C88" s="480">
        <f>ROUND(SUMIF(DATA!$A:$A,MID(C$1,2,2)&amp;"-"&amp;LEFT($B88,4)&amp;"*-0*",DATA!$F:$F),0)</f>
        <v>665</v>
      </c>
      <c r="D88" s="468"/>
      <c r="E88" s="468"/>
      <c r="F88" s="468"/>
      <c r="G88" s="468"/>
      <c r="H88" s="468"/>
      <c r="I88" s="468"/>
      <c r="J88" s="468"/>
      <c r="K88" s="468"/>
    </row>
    <row r="89" spans="1:11" ht="12.75" customHeight="1" x14ac:dyDescent="0.2">
      <c r="A89" s="463" t="s">
        <v>737</v>
      </c>
      <c r="B89" s="470">
        <v>1822</v>
      </c>
      <c r="C89" s="480">
        <f>ROUND(SUMIF(DATA!$A:$A,MID(C$1,2,2)&amp;"-"&amp;LEFT($B89,4)&amp;"*-0*",DATA!$F:$F),0)</f>
        <v>0</v>
      </c>
      <c r="D89" s="468"/>
      <c r="E89" s="468"/>
      <c r="F89" s="468"/>
      <c r="G89" s="468"/>
      <c r="H89" s="468"/>
      <c r="I89" s="468"/>
      <c r="J89" s="468"/>
      <c r="K89" s="468"/>
    </row>
    <row r="90" spans="1:11" ht="12.75" customHeight="1" x14ac:dyDescent="0.2">
      <c r="A90" s="463" t="s">
        <v>141</v>
      </c>
      <c r="B90" s="470">
        <v>1823</v>
      </c>
      <c r="C90" s="480">
        <f>ROUND(SUMIF(DATA!$A:$A,MID(C$1,2,2)&amp;"-"&amp;LEFT($B90,4)&amp;"*-0*",DATA!$F:$F),0)</f>
        <v>0</v>
      </c>
      <c r="D90" s="468"/>
      <c r="E90" s="468"/>
      <c r="F90" s="468"/>
      <c r="G90" s="468"/>
      <c r="H90" s="468"/>
      <c r="I90" s="468"/>
      <c r="J90" s="468"/>
      <c r="K90" s="468"/>
    </row>
    <row r="91" spans="1:11" ht="12.75" customHeight="1" x14ac:dyDescent="0.2">
      <c r="A91" s="463" t="s">
        <v>27</v>
      </c>
      <c r="B91" s="470">
        <v>1829</v>
      </c>
      <c r="C91" s="480">
        <f>ROUND(SUMIF(DATA!$A:$A,MID(C$1,2,2)&amp;"-"&amp;LEFT($B91,4)&amp;"*-0*",DATA!$F:$F),0)</f>
        <v>0</v>
      </c>
      <c r="D91" s="468"/>
      <c r="E91" s="468"/>
      <c r="F91" s="468"/>
      <c r="G91" s="468"/>
      <c r="H91" s="468"/>
      <c r="I91" s="468"/>
      <c r="J91" s="468"/>
      <c r="K91" s="468"/>
    </row>
    <row r="92" spans="1:11" ht="12.75" customHeight="1" x14ac:dyDescent="0.2">
      <c r="A92" s="463" t="s">
        <v>785</v>
      </c>
      <c r="B92" s="470">
        <v>1890</v>
      </c>
      <c r="C92" s="480">
        <f>ROUND(SUMIF(DATA!$A:$A,MID(C$1,2,2)&amp;"-"&amp;LEFT($B92,4)&amp;"*-0*",DATA!$F:$F),0)</f>
        <v>0</v>
      </c>
      <c r="D92" s="468"/>
      <c r="E92" s="468"/>
      <c r="F92" s="468"/>
      <c r="G92" s="468"/>
      <c r="H92" s="468"/>
      <c r="I92" s="468"/>
      <c r="J92" s="468"/>
      <c r="K92" s="468"/>
    </row>
    <row r="93" spans="1:11" ht="12.75" customHeight="1" thickBot="1" x14ac:dyDescent="0.25">
      <c r="A93" s="1720" t="s">
        <v>261</v>
      </c>
      <c r="B93" s="1721"/>
      <c r="C93" s="1700">
        <f>SUM(C84:C92)</f>
        <v>119010</v>
      </c>
      <c r="D93" s="468"/>
      <c r="E93" s="468"/>
      <c r="F93" s="468"/>
      <c r="G93" s="468"/>
      <c r="H93" s="468"/>
      <c r="I93" s="468"/>
      <c r="J93" s="468"/>
      <c r="K93" s="468"/>
    </row>
    <row r="94" spans="1:11" ht="15.75" customHeight="1" thickTop="1" x14ac:dyDescent="0.2">
      <c r="A94" s="1604" t="s">
        <v>1198</v>
      </c>
      <c r="B94" s="1606">
        <v>1900</v>
      </c>
      <c r="C94" s="550"/>
      <c r="D94" s="520"/>
      <c r="E94" s="468"/>
      <c r="F94" s="468"/>
      <c r="G94" s="468"/>
      <c r="H94" s="468"/>
      <c r="I94" s="468"/>
      <c r="J94" s="468"/>
      <c r="K94" s="468"/>
    </row>
    <row r="95" spans="1:11" ht="12.75" customHeight="1" x14ac:dyDescent="0.2">
      <c r="A95" s="463" t="s">
        <v>1123</v>
      </c>
      <c r="B95" s="470">
        <v>1910</v>
      </c>
      <c r="C95" s="480">
        <f>ROUND(SUMIF(DATA!$A:$A,MID(C$1,2,2)&amp;"-"&amp;LEFT($B95,4)&amp;"*-0*",DATA!$F:$F),0)</f>
        <v>0</v>
      </c>
      <c r="D95" s="480">
        <f>ROUND(SUMIF(DATA!$A:$A,MID(D$1,2,2)&amp;"-"&amp;LEFT($B95,3)&amp;"*-0*",DATA!$F:$F),0)</f>
        <v>13598</v>
      </c>
      <c r="E95" s="520"/>
      <c r="F95" s="520"/>
      <c r="G95" s="520"/>
      <c r="H95" s="520"/>
      <c r="I95" s="520"/>
      <c r="J95" s="520"/>
      <c r="K95" s="520"/>
    </row>
    <row r="96" spans="1:11" ht="12.75" customHeight="1" x14ac:dyDescent="0.2">
      <c r="A96" s="463" t="s">
        <v>408</v>
      </c>
      <c r="B96" s="470">
        <v>1920</v>
      </c>
      <c r="C96" s="480">
        <f>ROUND(SUMIF(DATA!$A:$A,MID(C$1,2,2)&amp;"-"&amp;LEFT($B96,4)&amp;"*-0*",DATA!$F:$F),0)</f>
        <v>9554</v>
      </c>
      <c r="D96" s="480">
        <f>ROUND(SUMIF(DATA!$A:$A,MID(D$1,2,2)&amp;"-"&amp;LEFT($B96,3)&amp;"*-0*",DATA!$F:$F),0)</f>
        <v>0</v>
      </c>
      <c r="E96" s="478"/>
      <c r="F96" s="480">
        <f>SUMIF(DATA!$A:$A,"40-"&amp;LEFT($B96,3)&amp;"*-0*",DATA!$F:$F)</f>
        <v>0</v>
      </c>
      <c r="G96" s="477"/>
      <c r="H96" s="480">
        <f>SUMIF(DATA!$A:$A,"60-"&amp;LEFT($B96,3)&amp;"*-0*",DATA!$F:$F)</f>
        <v>0</v>
      </c>
      <c r="I96" s="477"/>
      <c r="J96" s="480">
        <f>SUMIF(DATA!$A:$A,"80-"&amp;LEFT($B96,3)&amp;"*-0*",DATA!$F:$F)</f>
        <v>0</v>
      </c>
      <c r="K96" s="477"/>
    </row>
    <row r="97" spans="1:12" ht="12.75" customHeight="1" x14ac:dyDescent="0.2">
      <c r="A97" s="1507" t="s">
        <v>262</v>
      </c>
      <c r="B97" s="556">
        <v>1930</v>
      </c>
      <c r="C97" s="480">
        <f>ROUND(SUMIF(DATA!$A:$A,MID(C$1,2,2)&amp;"-"&amp;LEFT($B97,4)&amp;"*-0*",DATA!$F:$F),0)</f>
        <v>0</v>
      </c>
      <c r="D97" s="480">
        <f>ROUND(SUMIF(DATA!$A:$A,MID(D$1,2,2)&amp;"-"&amp;LEFT($B97,3)&amp;"*-0*",DATA!$F:$F),0)</f>
        <v>10975</v>
      </c>
      <c r="E97" s="474"/>
      <c r="F97" s="480">
        <f>SUMIF(DATA!$A:$A,"40-"&amp;LEFT($B97,3)&amp;"*-0*",DATA!$F:$F)</f>
        <v>0</v>
      </c>
      <c r="G97" s="467"/>
      <c r="H97" s="480">
        <f>SUMIF(DATA!$A:$A,"60-"&amp;LEFT($B97,3)&amp;"*-0*",DATA!$F:$F)</f>
        <v>0</v>
      </c>
      <c r="I97" s="467"/>
      <c r="J97" s="480">
        <f>SUMIF(DATA!$A:$A,"80-"&amp;LEFT($B97,3)&amp;"*-0*",DATA!$F:$F)</f>
        <v>0</v>
      </c>
      <c r="K97" s="467"/>
    </row>
    <row r="98" spans="1:12" ht="12.75" customHeight="1" x14ac:dyDescent="0.2">
      <c r="A98" s="463" t="s">
        <v>198</v>
      </c>
      <c r="B98" s="470">
        <v>1940</v>
      </c>
      <c r="C98" s="480">
        <f>ROUND(SUMIF(DATA!$A:$A,MID(C$1,2,2)&amp;"-"&amp;LEFT($B98,4)&amp;"*-0*",DATA!$F:$F),0)</f>
        <v>0</v>
      </c>
      <c r="D98" s="480">
        <f>ROUND(SUMIF(DATA!$A:$A,MID(D$1,2,2)&amp;"-"&amp;LEFT($B98,3)&amp;"*-0*",DATA!$F:$F),0)</f>
        <v>0</v>
      </c>
      <c r="E98" s="511"/>
      <c r="F98" s="480">
        <f>SUMIF(DATA!$A:$A,"40-"&amp;LEFT($B98,3)&amp;"*-0*",DATA!$F:$F)</f>
        <v>0</v>
      </c>
      <c r="G98" s="511"/>
      <c r="H98" s="511"/>
      <c r="I98" s="509"/>
      <c r="J98" s="511"/>
      <c r="K98" s="511"/>
    </row>
    <row r="99" spans="1:12" ht="12.75" customHeight="1" x14ac:dyDescent="0.2">
      <c r="A99" s="463" t="s">
        <v>874</v>
      </c>
      <c r="B99" s="470">
        <v>1950</v>
      </c>
      <c r="C99" s="480">
        <f>ROUND(SUMIF(DATA!$A:$A,MID(C$1,2,2)&amp;"-"&amp;LEFT($B99,4)&amp;"*-0*",DATA!$F:$F),0)</f>
        <v>23930</v>
      </c>
      <c r="D99" s="480">
        <f>ROUND(SUMIF(DATA!$A:$A,MID(D$1,2,2)&amp;"-"&amp;LEFT($B99,3)&amp;"*-0*",DATA!$F:$F),0)</f>
        <v>111068</v>
      </c>
      <c r="E99" s="466"/>
      <c r="F99" s="480">
        <f>SUMIF(DATA!$A:$A,"40-"&amp;LEFT($B99,3)&amp;"*-0*",DATA!$F:$F)</f>
        <v>0</v>
      </c>
      <c r="G99" s="466"/>
      <c r="H99" s="480">
        <f>SUMIF(DATA!$A:$A,"60-"&amp;LEFT($B99,3)&amp;"*-0*",DATA!$F:$F)</f>
        <v>0</v>
      </c>
      <c r="I99" s="468"/>
      <c r="J99" s="480">
        <f>ROUND(SUMIF(DATA!$A:$A,MID(J$1,2,2)&amp;"-"&amp;LEFT($B99,3)&amp;"*-0*",DATA!$F:$F),0)</f>
        <v>23631</v>
      </c>
      <c r="K99" s="466"/>
    </row>
    <row r="100" spans="1:12" ht="12.75" customHeight="1" x14ac:dyDescent="0.2">
      <c r="A100" s="463" t="s">
        <v>263</v>
      </c>
      <c r="B100" s="470">
        <v>1960</v>
      </c>
      <c r="C100" s="480">
        <f>ROUND(SUMIF(DATA!$A:$A,MID(C$1,2,2)&amp;"-"&amp;LEFT($B100,4)&amp;"*-0*",DATA!$F:$F),0)</f>
        <v>0</v>
      </c>
      <c r="D100" s="480">
        <f>ROUND(SUMIF(DATA!$A:$A,MID(D$1,2,2)&amp;"-"&amp;LEFT($B100,3)&amp;"*-0*",DATA!$F:$F),0)</f>
        <v>0</v>
      </c>
      <c r="E100" s="488"/>
      <c r="F100" s="480">
        <f>SUMIF(DATA!$A:$A,"40-"&amp;LEFT($B100,3)&amp;"*-0*",DATA!$F:$F)</f>
        <v>0</v>
      </c>
      <c r="G100" s="488"/>
      <c r="H100" s="480">
        <f>ROUND(SUMIF(DATA!$A:$A,MID(H$1,2,2)&amp;"-"&amp;LEFT($B100,3)&amp;"*-0*",DATA!$F:$F),0)</f>
        <v>584458</v>
      </c>
      <c r="I100" s="467"/>
      <c r="J100" s="480">
        <f>SUMIF(DATA!$A:$A,"80-"&amp;LEFT($B100,3)&amp;"*-0*",DATA!$F:$F)</f>
        <v>0</v>
      </c>
      <c r="K100" s="467"/>
    </row>
    <row r="101" spans="1:12" ht="12.75" customHeight="1" x14ac:dyDescent="0.2">
      <c r="A101" s="463" t="s">
        <v>264</v>
      </c>
      <c r="B101" s="470">
        <v>1970</v>
      </c>
      <c r="C101" s="480">
        <f>ROUND(SUMIF(DATA!$A:$A,MID(C$1,2,2)&amp;"-"&amp;LEFT($B101,4)&amp;"*-0*",DATA!$F:$F),0)</f>
        <v>21650</v>
      </c>
      <c r="D101" s="525"/>
      <c r="E101" s="479"/>
      <c r="F101" s="525"/>
      <c r="G101" s="475"/>
      <c r="H101" s="525"/>
      <c r="I101" s="468"/>
      <c r="J101" s="475"/>
      <c r="K101" s="475"/>
    </row>
    <row r="102" spans="1:12" ht="12.75" customHeight="1" x14ac:dyDescent="0.2">
      <c r="A102" s="463" t="s">
        <v>265</v>
      </c>
      <c r="B102" s="470">
        <v>1980</v>
      </c>
      <c r="C102" s="480">
        <f>ROUND(SUMIF(DATA!$A:$A,MID(C$1,2,2)&amp;"-"&amp;LEFT($B102,4)&amp;"*-0*",DATA!$F:$F),0)</f>
        <v>4000</v>
      </c>
      <c r="D102" s="466">
        <f>SUMIF(DATA!$A:$A,"20-"&amp;LEFT($B102,3)&amp;"*-0*",DATA!$F:$F)</f>
        <v>0</v>
      </c>
      <c r="E102" s="488"/>
      <c r="F102" s="480">
        <f>SUMIF(DATA!$A:$A,"40-"&amp;LEFT($B102,3)&amp;"*-0*",DATA!$F:$F)</f>
        <v>0</v>
      </c>
      <c r="G102" s="488"/>
      <c r="H102" s="480">
        <f>SUMIF(DATA!$A:$A,"60-"&amp;LEFT($B102,3)&amp;"*-0*",DATA!$F:$F)</f>
        <v>0</v>
      </c>
      <c r="I102" s="467"/>
      <c r="J102" s="480">
        <f>SUMIF(DATA!$A:$A,"80-"&amp;LEFT($B102,3)&amp;"*-0*",DATA!$F:$F)</f>
        <v>0</v>
      </c>
      <c r="K102" s="467"/>
    </row>
    <row r="103" spans="1:12" ht="12.75" customHeight="1" x14ac:dyDescent="0.2">
      <c r="A103" s="463" t="s">
        <v>362</v>
      </c>
      <c r="B103" s="470">
        <v>1983</v>
      </c>
      <c r="C103" s="468"/>
      <c r="D103" s="468"/>
      <c r="E103" s="557"/>
      <c r="F103" s="468"/>
      <c r="G103" s="468"/>
      <c r="H103" s="480">
        <f>SUMIF(DATA!$A:$A,"60-"&amp;LEFT($B103,3)&amp;"*-0*",DATA!$F:$F)</f>
        <v>0</v>
      </c>
      <c r="I103" s="468"/>
      <c r="J103" s="509"/>
      <c r="K103" s="509"/>
    </row>
    <row r="104" spans="1:12" ht="12.75" customHeight="1" x14ac:dyDescent="0.2">
      <c r="A104" s="463" t="s">
        <v>884</v>
      </c>
      <c r="B104" s="470">
        <v>1991</v>
      </c>
      <c r="C104" s="480">
        <f>ROUND(SUMIF(DATA!$A:$A,MID(C$1,2,2)&amp;"-"&amp;LEFT($B104,4)&amp;"*-0*",DATA!$F:$F),0)</f>
        <v>0</v>
      </c>
      <c r="D104" s="480">
        <f>ROUND(SUMIF(DATA!$A:$A,MID(D$1,2,2)&amp;"-"&amp;LEFT($B104,3)&amp;"*-0*",DATA!$F:$F),0)</f>
        <v>1338</v>
      </c>
      <c r="E104" s="480"/>
      <c r="F104" s="480">
        <f>SUMIF(DATA!$A:$A,"40-"&amp;LEFT($B104,3)&amp;"*-0*",DATA!$F:$F)</f>
        <v>0</v>
      </c>
      <c r="G104" s="467"/>
      <c r="H104" s="480">
        <f>SUMIF(DATA!$A:$A,"60-"&amp;LEFT($B104,3)&amp;"*-0*",DATA!$F:$F)</f>
        <v>0</v>
      </c>
      <c r="I104" s="468"/>
      <c r="J104" s="468"/>
      <c r="K104" s="468"/>
    </row>
    <row r="105" spans="1:12" ht="12.75" customHeight="1" x14ac:dyDescent="0.2">
      <c r="A105" s="463" t="s">
        <v>875</v>
      </c>
      <c r="B105" s="470">
        <v>1992</v>
      </c>
      <c r="C105" s="480">
        <f>ROUND(SUMIF(DATA!$A:$A,MID(C$1,2,2)&amp;"-"&amp;LEFT($B105,4)&amp;"*-0*",DATA!$F:$F),0)</f>
        <v>0</v>
      </c>
      <c r="D105" s="558"/>
      <c r="E105" s="468"/>
      <c r="F105" s="468"/>
      <c r="G105" s="468"/>
      <c r="H105" s="509"/>
      <c r="I105" s="468"/>
      <c r="J105" s="468"/>
      <c r="K105" s="468"/>
    </row>
    <row r="106" spans="1:12" ht="12.75" customHeight="1" x14ac:dyDescent="0.2">
      <c r="A106" s="463" t="s">
        <v>1504</v>
      </c>
      <c r="B106" s="470">
        <v>1993</v>
      </c>
      <c r="C106" s="480">
        <f>ROUND(SUMIF(DATA!$A:$A,MID(C$1,2,2)&amp;"-"&amp;LEFT($B106,4)&amp;"*-0*",DATA!$F:$F),0)</f>
        <v>1892</v>
      </c>
      <c r="D106" s="488"/>
      <c r="E106" s="467"/>
      <c r="F106" s="480">
        <f>SUMIF(DATA!$A:$A,"40-"&amp;LEFT($B106,3)&amp;"*-0*",DATA!$F:$F)</f>
        <v>0</v>
      </c>
      <c r="G106" s="467"/>
      <c r="H106" s="480">
        <f>SUMIF(DATA!$A:$A,"60-"&amp;LEFT($B106,3)&amp;"*-0*",DATA!$F:$F)</f>
        <v>0</v>
      </c>
      <c r="I106" s="520"/>
      <c r="J106" s="480">
        <f>SUMIF(DATA!$A:$A,"80-"&amp;LEFT($B106,3)&amp;"*-0*",DATA!$F:$F)</f>
        <v>0</v>
      </c>
      <c r="K106" s="467"/>
    </row>
    <row r="107" spans="1:12" ht="12.75" customHeight="1" x14ac:dyDescent="0.2">
      <c r="A107" s="463" t="s">
        <v>80</v>
      </c>
      <c r="B107" s="470">
        <v>1999</v>
      </c>
      <c r="C107" s="480">
        <f>ROUND(SUMIF(DATA!$A:$A,MID(C$1,2,2)&amp;"-"&amp;LEFT($B107,4)&amp;"*-0*",DATA!$F:$F),0)</f>
        <v>7198</v>
      </c>
      <c r="D107" s="466"/>
      <c r="E107" s="466"/>
      <c r="F107" s="480">
        <f>SUMIF(DATA!$A:$A,"40-"&amp;LEFT($B107,3)&amp;"*-0*",DATA!$F:$F)</f>
        <v>0</v>
      </c>
      <c r="G107" s="466"/>
      <c r="H107" s="480">
        <f>SUMIF(DATA!$A:$A,"60-"&amp;LEFT($B107,3)&amp;"*-0*",DATA!$F:$F)</f>
        <v>0</v>
      </c>
      <c r="I107" s="466"/>
      <c r="J107" s="480">
        <f>SUMIF(DATA!$A:$A,"80-"&amp;LEFT($B107,3)&amp;"*-0*",DATA!$F:$F)</f>
        <v>0</v>
      </c>
      <c r="K107" s="466"/>
    </row>
    <row r="108" spans="1:12" ht="12.75" customHeight="1" thickBot="1" x14ac:dyDescent="0.25">
      <c r="A108" s="1720" t="s">
        <v>507</v>
      </c>
      <c r="B108" s="1724"/>
      <c r="C108" s="1719">
        <f>SUM(C95:C107)</f>
        <v>68224</v>
      </c>
      <c r="D108" s="1719">
        <f t="shared" ref="D108:K108" si="3">SUM(D95:D107)</f>
        <v>136979</v>
      </c>
      <c r="E108" s="1719">
        <f t="shared" si="3"/>
        <v>0</v>
      </c>
      <c r="F108" s="1719">
        <f t="shared" si="3"/>
        <v>0</v>
      </c>
      <c r="G108" s="1719">
        <f t="shared" si="3"/>
        <v>0</v>
      </c>
      <c r="H108" s="1719">
        <f t="shared" si="3"/>
        <v>584458</v>
      </c>
      <c r="I108" s="1719">
        <f t="shared" si="3"/>
        <v>0</v>
      </c>
      <c r="J108" s="1719">
        <f t="shared" si="3"/>
        <v>23631</v>
      </c>
      <c r="K108" s="1700">
        <f t="shared" si="3"/>
        <v>0</v>
      </c>
    </row>
    <row r="109" spans="1:12" ht="14.25" thickTop="1" thickBot="1" x14ac:dyDescent="0.25">
      <c r="A109" s="1725" t="s">
        <v>266</v>
      </c>
      <c r="B109" s="1726" t="s">
        <v>590</v>
      </c>
      <c r="C109" s="1727">
        <f t="shared" ref="C109:K109" si="4">SUM(C12,C18,C40,C63,C67,C75,C82,C93,C108,)</f>
        <v>9463768</v>
      </c>
      <c r="D109" s="1727">
        <f t="shared" si="4"/>
        <v>1752057</v>
      </c>
      <c r="E109" s="1727">
        <f t="shared" si="4"/>
        <v>2728658</v>
      </c>
      <c r="F109" s="1727">
        <f t="shared" si="4"/>
        <v>678252</v>
      </c>
      <c r="G109" s="1727">
        <f t="shared" si="4"/>
        <v>613957</v>
      </c>
      <c r="H109" s="1727">
        <f t="shared" si="4"/>
        <v>623044</v>
      </c>
      <c r="I109" s="1727">
        <f t="shared" si="4"/>
        <v>326258</v>
      </c>
      <c r="J109" s="1727">
        <f t="shared" si="4"/>
        <v>661542</v>
      </c>
      <c r="K109" s="1714">
        <f t="shared" si="4"/>
        <v>300512</v>
      </c>
    </row>
    <row r="110" spans="1:12" ht="30" customHeight="1" thickTop="1" x14ac:dyDescent="0.2">
      <c r="A110" s="1597" t="s">
        <v>363</v>
      </c>
      <c r="B110" s="1598"/>
      <c r="C110" s="1583"/>
      <c r="D110" s="1583"/>
      <c r="E110" s="1583"/>
      <c r="F110" s="1583"/>
      <c r="G110" s="1583"/>
      <c r="H110" s="1583"/>
      <c r="I110" s="1583"/>
      <c r="J110" s="1583"/>
      <c r="K110" s="1584"/>
    </row>
    <row r="111" spans="1:12" ht="12.75" customHeight="1" x14ac:dyDescent="0.2">
      <c r="A111" s="492" t="s">
        <v>876</v>
      </c>
      <c r="B111" s="490">
        <v>2100</v>
      </c>
      <c r="C111" s="480">
        <f>SUMIF(DATA!$A:$A,"10-"&amp;LEFT($B111,4)&amp;"*-0*",DATA!$F:$F)</f>
        <v>0</v>
      </c>
      <c r="D111" s="480"/>
      <c r="E111" s="558"/>
      <c r="F111" s="480">
        <f>SUMIF(DATA!$A:$A,"40-"&amp;LEFT($B111,3)&amp;"*-0*",DATA!$F:$F)</f>
        <v>0</v>
      </c>
      <c r="G111" s="480"/>
      <c r="H111" s="558"/>
      <c r="I111" s="468"/>
      <c r="J111" s="468"/>
      <c r="K111" s="468"/>
    </row>
    <row r="112" spans="1:12" ht="12.75" customHeight="1" x14ac:dyDescent="0.2">
      <c r="A112" s="463" t="s">
        <v>877</v>
      </c>
      <c r="B112" s="470">
        <v>2200</v>
      </c>
      <c r="C112" s="480">
        <f>SUMIF(DATA!$A:$A,"10-"&amp;LEFT($B112,4)&amp;"*-0*",DATA!$F:$F)</f>
        <v>0</v>
      </c>
      <c r="D112" s="466"/>
      <c r="E112" s="558"/>
      <c r="F112" s="480">
        <f>SUMIF(DATA!$A:$A,"40-"&amp;LEFT($B112,3)&amp;"*-0*",DATA!$F:$F)</f>
        <v>0</v>
      </c>
      <c r="G112" s="466"/>
      <c r="H112" s="558"/>
      <c r="I112" s="468"/>
      <c r="J112" s="468"/>
      <c r="K112" s="468"/>
      <c r="L112" s="549"/>
    </row>
    <row r="113" spans="1:11" ht="12.75" customHeight="1" x14ac:dyDescent="0.2">
      <c r="A113" s="463" t="s">
        <v>28</v>
      </c>
      <c r="B113" s="470">
        <v>2300</v>
      </c>
      <c r="C113" s="480">
        <f>SUMIF(DATA!$A:$A,"10-"&amp;LEFT($B113,4)&amp;"*-0*",DATA!$F:$F)</f>
        <v>0</v>
      </c>
      <c r="D113" s="466"/>
      <c r="E113" s="558"/>
      <c r="F113" s="480">
        <f>SUMIF(DATA!$A:$A,"40-"&amp;LEFT($B113,3)&amp;"*-0*",DATA!$F:$F)</f>
        <v>0</v>
      </c>
      <c r="G113" s="466"/>
      <c r="H113" s="558"/>
      <c r="I113" s="468"/>
      <c r="J113" s="468"/>
      <c r="K113" s="468"/>
    </row>
    <row r="114" spans="1:11" ht="13.5" thickBot="1" x14ac:dyDescent="0.25">
      <c r="A114" s="1728" t="s">
        <v>838</v>
      </c>
      <c r="B114" s="1729" t="s">
        <v>589</v>
      </c>
      <c r="C114" s="1730">
        <f>SUM(C111:C113)</f>
        <v>0</v>
      </c>
      <c r="D114" s="1730">
        <f>SUM(D111:D113)</f>
        <v>0</v>
      </c>
      <c r="E114" s="558" t="s">
        <v>1230</v>
      </c>
      <c r="F114" s="1730">
        <f>SUM(F111:F113)</f>
        <v>0</v>
      </c>
      <c r="G114" s="1730">
        <f>SUM(G111:G113)</f>
        <v>0</v>
      </c>
      <c r="H114" s="558"/>
      <c r="I114" s="468"/>
      <c r="J114" s="468"/>
      <c r="K114" s="468"/>
    </row>
    <row r="115" spans="1:11" ht="16.7" customHeight="1" thickTop="1" x14ac:dyDescent="0.2">
      <c r="A115" s="1599" t="s">
        <v>835</v>
      </c>
      <c r="B115" s="1600"/>
      <c r="C115" s="1582"/>
      <c r="D115" s="1583"/>
      <c r="E115" s="1583"/>
      <c r="F115" s="1583"/>
      <c r="G115" s="1583"/>
      <c r="H115" s="1583"/>
      <c r="I115" s="1583"/>
      <c r="J115" s="1583"/>
      <c r="K115" s="1584"/>
    </row>
    <row r="116" spans="1:11" ht="18" customHeight="1" x14ac:dyDescent="0.2">
      <c r="A116" s="1607" t="s">
        <v>1570</v>
      </c>
      <c r="B116" s="1608"/>
      <c r="C116" s="521"/>
      <c r="D116" s="520"/>
      <c r="E116" s="558"/>
      <c r="F116" s="520"/>
      <c r="G116" s="520"/>
      <c r="H116" s="558"/>
      <c r="I116" s="468"/>
      <c r="J116" s="520"/>
      <c r="K116" s="520"/>
    </row>
    <row r="117" spans="1:11" ht="12.75" customHeight="1" x14ac:dyDescent="0.2">
      <c r="A117" s="463" t="s">
        <v>1765</v>
      </c>
      <c r="B117" s="559">
        <v>3001</v>
      </c>
      <c r="C117" s="480">
        <f>ROUND(SUMIF(DATA!$A:$A,MID(C$1,2,2)&amp;"-"&amp;LEFT($B117,4)&amp;"*-0*",DATA!$F:$F),0)</f>
        <v>2307554</v>
      </c>
      <c r="D117" s="480"/>
      <c r="E117" s="466"/>
      <c r="F117" s="480">
        <f>SUMIF(DATA!$A:$A,"40-"&amp;LEFT($B117,3)&amp;"*-0*",DATA!$F:$F)</f>
        <v>0</v>
      </c>
      <c r="G117" s="480"/>
      <c r="H117" s="466"/>
      <c r="I117" s="468"/>
      <c r="J117" s="467"/>
      <c r="K117" s="466"/>
    </row>
    <row r="118" spans="1:11" ht="12.75" customHeight="1" x14ac:dyDescent="0.2">
      <c r="A118" s="463" t="s">
        <v>1901</v>
      </c>
      <c r="B118" s="559">
        <v>3002</v>
      </c>
      <c r="C118" s="480">
        <f>SUMIF(DATA!$A:$A,"10-"&amp;LEFT($B118,4)&amp;"*-0*",DATA!$F:$F)</f>
        <v>0</v>
      </c>
      <c r="D118" s="466"/>
      <c r="E118" s="466"/>
      <c r="F118" s="480">
        <f>SUMIF(DATA!$A:$A,"40-"&amp;LEFT($B118,3)&amp;"*-0*",DATA!$F:$F)</f>
        <v>0</v>
      </c>
      <c r="G118" s="466"/>
      <c r="H118" s="466"/>
      <c r="I118" s="468"/>
      <c r="J118" s="467"/>
      <c r="K118" s="466"/>
    </row>
    <row r="119" spans="1:11" ht="12.75" customHeight="1" x14ac:dyDescent="0.2">
      <c r="A119" s="463" t="s">
        <v>1902</v>
      </c>
      <c r="B119" s="559">
        <v>3005</v>
      </c>
      <c r="C119" s="480">
        <f>SUMIF(DATA!$A:$A,"10-"&amp;LEFT($B119,4)&amp;"*-0*",DATA!$F:$F)</f>
        <v>0</v>
      </c>
      <c r="D119" s="466"/>
      <c r="E119" s="466"/>
      <c r="F119" s="480">
        <f>SUMIF(DATA!$A:$A,"40-"&amp;LEFT($B119,3)&amp;"*-0*",DATA!$F:$F)</f>
        <v>0</v>
      </c>
      <c r="G119" s="466"/>
      <c r="H119" s="466"/>
      <c r="I119" s="468"/>
      <c r="J119" s="467"/>
      <c r="K119" s="466"/>
    </row>
    <row r="120" spans="1:11" x14ac:dyDescent="0.2">
      <c r="A120" s="1508" t="s">
        <v>1903</v>
      </c>
      <c r="B120" s="561">
        <v>3099</v>
      </c>
      <c r="C120" s="480">
        <f>SUMIF(DATA!$A:$A,"10-"&amp;LEFT($B120,4)&amp;"*-0*",DATA!$F:$F)</f>
        <v>0</v>
      </c>
      <c r="D120" s="466"/>
      <c r="E120" s="466"/>
      <c r="F120" s="480">
        <f>ROUND(SUMIF(DATA!$A:$A,MID(F$1,2,2)&amp;"-"&amp;LEFT($B120,3)&amp;"*-0*",DATA!$F:$F),0)</f>
        <v>279</v>
      </c>
      <c r="G120" s="466"/>
      <c r="H120" s="466"/>
      <c r="I120" s="468"/>
      <c r="J120" s="467"/>
      <c r="K120" s="466"/>
    </row>
    <row r="121" spans="1:11" ht="12.6" customHeight="1" thickBot="1" x14ac:dyDescent="0.25">
      <c r="A121" s="1720" t="s">
        <v>508</v>
      </c>
      <c r="B121" s="1731"/>
      <c r="C121" s="1719">
        <f t="shared" ref="C121:H121" si="5">SUM(C117:C120)</f>
        <v>2307554</v>
      </c>
      <c r="D121" s="1719">
        <f t="shared" si="5"/>
        <v>0</v>
      </c>
      <c r="E121" s="1719">
        <f t="shared" si="5"/>
        <v>0</v>
      </c>
      <c r="F121" s="1719">
        <f t="shared" si="5"/>
        <v>279</v>
      </c>
      <c r="G121" s="1719">
        <f t="shared" si="5"/>
        <v>0</v>
      </c>
      <c r="H121" s="1719">
        <f t="shared" si="5"/>
        <v>0</v>
      </c>
      <c r="I121" s="468"/>
      <c r="J121" s="1719">
        <f>SUM(J117:J120)</f>
        <v>0</v>
      </c>
      <c r="K121" s="1700">
        <f>SUM(K117:K120)</f>
        <v>0</v>
      </c>
    </row>
    <row r="122" spans="1:11" ht="15.75" customHeight="1" thickTop="1" x14ac:dyDescent="0.2">
      <c r="A122" s="1604" t="s">
        <v>1569</v>
      </c>
      <c r="B122" s="1609"/>
      <c r="C122" s="562"/>
      <c r="D122" s="508"/>
      <c r="E122" s="468"/>
      <c r="F122" s="563"/>
      <c r="G122" s="468"/>
      <c r="H122" s="468"/>
      <c r="I122" s="468"/>
      <c r="J122" s="468"/>
      <c r="K122" s="468"/>
    </row>
    <row r="123" spans="1:11" ht="15" customHeight="1" x14ac:dyDescent="0.2">
      <c r="A123" s="1610" t="s">
        <v>687</v>
      </c>
      <c r="B123" s="1611"/>
      <c r="C123" s="520"/>
      <c r="D123" s="508"/>
      <c r="E123" s="468"/>
      <c r="F123" s="520"/>
      <c r="G123" s="468"/>
      <c r="H123" s="468"/>
      <c r="I123" s="468"/>
      <c r="J123" s="468"/>
      <c r="K123" s="468"/>
    </row>
    <row r="124" spans="1:11" ht="12.75" customHeight="1" x14ac:dyDescent="0.2">
      <c r="A124" s="463" t="s">
        <v>920</v>
      </c>
      <c r="B124" s="564">
        <v>3100</v>
      </c>
      <c r="C124" s="480">
        <f>ROUND(SUMIF(DATA!$A:$A,MID(C$1,2,2)&amp;"-"&amp;LEFT($B124,4)&amp;"*-0*",DATA!$F:$F),0)</f>
        <v>292673</v>
      </c>
      <c r="D124" s="558"/>
      <c r="E124" s="468"/>
      <c r="F124" s="480">
        <f>SUMIF(DATA!$A:$A,"40-"&amp;LEFT($B124,3)&amp;"*-0*",DATA!$F:$F)</f>
        <v>0</v>
      </c>
      <c r="G124" s="468"/>
      <c r="H124" s="468"/>
      <c r="I124" s="468"/>
      <c r="J124" s="468"/>
      <c r="K124" s="468"/>
    </row>
    <row r="125" spans="1:11" ht="12.75" customHeight="1" x14ac:dyDescent="0.2">
      <c r="A125" s="463" t="s">
        <v>1520</v>
      </c>
      <c r="B125" s="559">
        <v>3105</v>
      </c>
      <c r="C125" s="480">
        <f>ROUND(SUMIF(DATA!$A:$A,MID(C$1,2,2)&amp;"-"&amp;LEFT($B125,4)&amp;"*-0*",DATA!$F:$F),0)</f>
        <v>93537</v>
      </c>
      <c r="D125" s="558"/>
      <c r="E125" s="468"/>
      <c r="F125" s="480">
        <f>SUMIF(DATA!$A:$A,"40-"&amp;LEFT($B125,3)&amp;"*-0*",DATA!$F:$F)</f>
        <v>0</v>
      </c>
      <c r="G125" s="468"/>
      <c r="H125" s="468"/>
      <c r="I125" s="468"/>
      <c r="J125" s="468"/>
      <c r="K125" s="468"/>
    </row>
    <row r="126" spans="1:11" ht="12.75" customHeight="1" x14ac:dyDescent="0.2">
      <c r="A126" s="463" t="s">
        <v>921</v>
      </c>
      <c r="B126" s="559">
        <v>3110</v>
      </c>
      <c r="C126" s="480">
        <f>ROUND(SUMIF(DATA!$A:$A,MID(C$1,2,2)&amp;"-"&amp;LEFT($B126,4)&amp;"*-0*",DATA!$F:$F),0)</f>
        <v>147353</v>
      </c>
      <c r="D126" s="466"/>
      <c r="E126" s="468"/>
      <c r="F126" s="480">
        <f>SUMIF(DATA!$A:$A,"40-"&amp;LEFT($B126,3)&amp;"*-0*",DATA!$F:$F)</f>
        <v>0</v>
      </c>
      <c r="G126" s="468"/>
      <c r="H126" s="468"/>
      <c r="I126" s="468"/>
      <c r="J126" s="468"/>
      <c r="K126" s="468"/>
    </row>
    <row r="127" spans="1:11" ht="12.75" customHeight="1" x14ac:dyDescent="0.2">
      <c r="A127" s="463" t="s">
        <v>107</v>
      </c>
      <c r="B127" s="559">
        <v>3120</v>
      </c>
      <c r="C127" s="480">
        <f>ROUND(SUMIF(DATA!$A:$A,MID(C$1,2,2)&amp;"-"&amp;LEFT($B127,4)&amp;"*-0*",DATA!$F:$F),0)</f>
        <v>7971</v>
      </c>
      <c r="D127" s="558"/>
      <c r="E127" s="468"/>
      <c r="F127" s="480">
        <f>SUMIF(DATA!$A:$A,"40-"&amp;LEFT($B127,3)&amp;"*-0*",DATA!$F:$F)</f>
        <v>0</v>
      </c>
      <c r="G127" s="468"/>
      <c r="H127" s="468"/>
      <c r="I127" s="468"/>
      <c r="J127" s="468"/>
      <c r="K127" s="468"/>
    </row>
    <row r="128" spans="1:11" ht="12.75" customHeight="1" x14ac:dyDescent="0.2">
      <c r="A128" s="463" t="s">
        <v>1521</v>
      </c>
      <c r="B128" s="559">
        <v>3130</v>
      </c>
      <c r="C128" s="480">
        <f>ROUND(SUMIF(DATA!$A:$A,MID(C$1,2,2)&amp;"-"&amp;LEFT($B128,4)&amp;"*-0*",DATA!$F:$F),0)</f>
        <v>0</v>
      </c>
      <c r="D128" s="558"/>
      <c r="E128" s="468"/>
      <c r="F128" s="480">
        <f>SUMIF(DATA!$A:$A,"40-"&amp;LEFT($B128,3)&amp;"*-0*",DATA!$F:$F)</f>
        <v>0</v>
      </c>
      <c r="G128" s="468"/>
      <c r="H128" s="468"/>
      <c r="I128" s="468"/>
      <c r="J128" s="468"/>
      <c r="K128" s="468"/>
    </row>
    <row r="129" spans="1:11" ht="12.75" customHeight="1" x14ac:dyDescent="0.2">
      <c r="A129" s="463" t="s">
        <v>139</v>
      </c>
      <c r="B129" s="559">
        <v>3145</v>
      </c>
      <c r="C129" s="480">
        <f>ROUND(SUMIF(DATA!$A:$A,MID(C$1,2,2)&amp;"-"&amp;LEFT($B129,4)&amp;"*-0*",DATA!$F:$F),0)</f>
        <v>2363</v>
      </c>
      <c r="D129" s="558"/>
      <c r="E129" s="468"/>
      <c r="F129" s="480">
        <f>SUMIF(DATA!$A:$A,"40-"&amp;LEFT($B129,3)&amp;"*-0*",DATA!$F:$F)</f>
        <v>0</v>
      </c>
      <c r="G129" s="468"/>
      <c r="H129" s="468"/>
      <c r="I129" s="468"/>
      <c r="J129" s="468"/>
      <c r="K129" s="468"/>
    </row>
    <row r="130" spans="1:11" ht="12.75" customHeight="1" x14ac:dyDescent="0.2">
      <c r="A130" s="463" t="s">
        <v>68</v>
      </c>
      <c r="B130" s="559">
        <v>3199</v>
      </c>
      <c r="C130" s="480">
        <f>ROUND(SUMIF(DATA!$A:$A,MID(C$1,2,2)&amp;"-"&amp;LEFT($B130,4)&amp;"*-0*",DATA!$F:$F),0)</f>
        <v>0</v>
      </c>
      <c r="D130" s="467"/>
      <c r="E130" s="468"/>
      <c r="F130" s="480">
        <f>SUMIF(DATA!$A:$A,"40-"&amp;LEFT($B130,3)&amp;"*-0*",DATA!$F:$F)</f>
        <v>0</v>
      </c>
      <c r="G130" s="468"/>
      <c r="H130" s="468"/>
      <c r="I130" s="468"/>
      <c r="J130" s="468"/>
      <c r="K130" s="468"/>
    </row>
    <row r="131" spans="1:11" ht="12.75" customHeight="1" thickBot="1" x14ac:dyDescent="0.25">
      <c r="A131" s="1720" t="s">
        <v>1091</v>
      </c>
      <c r="B131" s="1732"/>
      <c r="C131" s="1719">
        <f>SUM(C124:C130)</f>
        <v>543897</v>
      </c>
      <c r="D131" s="1719">
        <f>SUM(D124:D130)</f>
        <v>0</v>
      </c>
      <c r="E131" s="469" t="s">
        <v>1230</v>
      </c>
      <c r="F131" s="1719">
        <f>SUM(F124:F130)</f>
        <v>0</v>
      </c>
      <c r="G131" s="468" t="s">
        <v>1230</v>
      </c>
      <c r="H131" s="468" t="s">
        <v>1230</v>
      </c>
      <c r="I131" s="468" t="s">
        <v>1230</v>
      </c>
      <c r="J131" s="468" t="s">
        <v>1230</v>
      </c>
      <c r="K131" s="468" t="s">
        <v>1230</v>
      </c>
    </row>
    <row r="132" spans="1:11" ht="15.75" customHeight="1" thickTop="1" x14ac:dyDescent="0.2">
      <c r="A132" s="1612" t="s">
        <v>268</v>
      </c>
      <c r="B132" s="1613"/>
      <c r="C132" s="550"/>
      <c r="D132" s="550"/>
      <c r="E132" s="508"/>
      <c r="F132" s="550"/>
      <c r="G132" s="468"/>
      <c r="H132" s="468"/>
      <c r="I132" s="468"/>
      <c r="J132" s="468"/>
      <c r="K132" s="468"/>
    </row>
    <row r="133" spans="1:11" x14ac:dyDescent="0.2">
      <c r="A133" s="463" t="s">
        <v>619</v>
      </c>
      <c r="B133" s="559">
        <v>3200</v>
      </c>
      <c r="C133" s="480">
        <f>ROUND(SUMIF(DATA!$A:$A,MID(C$1,2,2)&amp;"-"&amp;LEFT($B133,4)&amp;"*-0*",DATA!$F:$F),0)</f>
        <v>0</v>
      </c>
      <c r="D133" s="466"/>
      <c r="E133" s="558"/>
      <c r="F133" s="468"/>
      <c r="G133" s="466"/>
      <c r="H133" s="468"/>
      <c r="I133" s="468"/>
      <c r="J133" s="468"/>
      <c r="K133" s="468"/>
    </row>
    <row r="134" spans="1:11" ht="12.75" customHeight="1" x14ac:dyDescent="0.2">
      <c r="A134" s="463" t="s">
        <v>689</v>
      </c>
      <c r="B134" s="559">
        <v>3220</v>
      </c>
      <c r="C134" s="480">
        <f>ROUND(SUMIF(DATA!$A:$A,MID(C$1,2,2)&amp;"-"&amp;LEFT($B134,4)&amp;"*-0*",DATA!$F:$F),0)</f>
        <v>11958</v>
      </c>
      <c r="D134" s="466"/>
      <c r="E134" s="558"/>
      <c r="F134" s="468"/>
      <c r="G134" s="467"/>
      <c r="H134" s="468"/>
      <c r="I134" s="468"/>
      <c r="J134" s="468"/>
      <c r="K134" s="468"/>
    </row>
    <row r="135" spans="1:11" ht="12.75" customHeight="1" x14ac:dyDescent="0.2">
      <c r="A135" s="463" t="s">
        <v>267</v>
      </c>
      <c r="B135" s="559">
        <v>3225</v>
      </c>
      <c r="C135" s="480">
        <f>ROUND(SUMIF(DATA!$A:$A,MID(C$1,2,2)&amp;"-"&amp;LEFT($B135,4)&amp;"*-0*",DATA!$F:$F),0)</f>
        <v>0</v>
      </c>
      <c r="D135" s="466"/>
      <c r="E135" s="558"/>
      <c r="F135" s="468"/>
      <c r="G135" s="467"/>
      <c r="H135" s="468"/>
      <c r="I135" s="468"/>
      <c r="J135" s="468"/>
      <c r="K135" s="468"/>
    </row>
    <row r="136" spans="1:11" ht="12.75" customHeight="1" x14ac:dyDescent="0.2">
      <c r="A136" s="463" t="s">
        <v>620</v>
      </c>
      <c r="B136" s="559">
        <v>3235</v>
      </c>
      <c r="C136" s="480">
        <f>ROUND(SUMIF(DATA!$A:$A,MID(C$1,2,2)&amp;"-"&amp;LEFT($B136,4)&amp;"*-0*",DATA!$F:$F),0)</f>
        <v>3717</v>
      </c>
      <c r="D136" s="467"/>
      <c r="E136" s="558"/>
      <c r="F136" s="468"/>
      <c r="G136" s="467"/>
      <c r="H136" s="468"/>
      <c r="I136" s="468"/>
      <c r="J136" s="468"/>
      <c r="K136" s="468"/>
    </row>
    <row r="137" spans="1:11" ht="12.75" customHeight="1" x14ac:dyDescent="0.2">
      <c r="A137" s="463" t="s">
        <v>621</v>
      </c>
      <c r="B137" s="559">
        <v>3240</v>
      </c>
      <c r="C137" s="480">
        <f>ROUND(SUMIF(DATA!$A:$A,MID(C$1,2,2)&amp;"-"&amp;LEFT($B137,4)&amp;"*-0*",DATA!$F:$F),0)</f>
        <v>0</v>
      </c>
      <c r="D137" s="467"/>
      <c r="E137" s="558"/>
      <c r="F137" s="468"/>
      <c r="G137" s="467"/>
      <c r="H137" s="468"/>
      <c r="I137" s="468"/>
      <c r="J137" s="468"/>
      <c r="K137" s="468"/>
    </row>
    <row r="138" spans="1:11" ht="12.75" customHeight="1" x14ac:dyDescent="0.2">
      <c r="A138" s="463" t="s">
        <v>622</v>
      </c>
      <c r="B138" s="559">
        <v>3270</v>
      </c>
      <c r="C138" s="480">
        <f>ROUND(SUMIF(DATA!$A:$A,MID(C$1,2,2)&amp;"-"&amp;LEFT($B138,4)&amp;"*-0*",DATA!$F:$F),0)</f>
        <v>0</v>
      </c>
      <c r="D138" s="467"/>
      <c r="E138" s="558"/>
      <c r="F138" s="468"/>
      <c r="G138" s="467"/>
      <c r="H138" s="468"/>
      <c r="I138" s="468"/>
      <c r="J138" s="468"/>
      <c r="K138" s="468"/>
    </row>
    <row r="139" spans="1:11" ht="12.75" customHeight="1" x14ac:dyDescent="0.2">
      <c r="A139" s="463" t="s">
        <v>69</v>
      </c>
      <c r="B139" s="559">
        <v>3299</v>
      </c>
      <c r="C139" s="480">
        <f>ROUND(SUMIF(DATA!$A:$A,MID(C$1,2,2)&amp;"-"&amp;LEFT($B139,4)&amp;"*-0*",DATA!$F:$F),0)</f>
        <v>0</v>
      </c>
      <c r="D139" s="466"/>
      <c r="E139" s="558"/>
      <c r="F139" s="476"/>
      <c r="G139" s="467"/>
      <c r="H139" s="468"/>
      <c r="I139" s="468"/>
      <c r="J139" s="468"/>
      <c r="K139" s="468"/>
    </row>
    <row r="140" spans="1:11" ht="12.75" customHeight="1" thickBot="1" x14ac:dyDescent="0.25">
      <c r="A140" s="1720" t="s">
        <v>623</v>
      </c>
      <c r="B140" s="1732"/>
      <c r="C140" s="1719">
        <f>SUM(C133:C139)</f>
        <v>15675</v>
      </c>
      <c r="D140" s="1719">
        <f>SUM(D133:D139)</f>
        <v>0</v>
      </c>
      <c r="E140" s="558" t="s">
        <v>1230</v>
      </c>
      <c r="F140" s="476"/>
      <c r="G140" s="1719">
        <f>SUM(G133:G139)</f>
        <v>0</v>
      </c>
      <c r="H140" s="468" t="s">
        <v>1230</v>
      </c>
      <c r="I140" s="468" t="s">
        <v>1230</v>
      </c>
      <c r="J140" s="468" t="s">
        <v>1230</v>
      </c>
      <c r="K140" s="468" t="s">
        <v>1230</v>
      </c>
    </row>
    <row r="141" spans="1:11" ht="15.75" customHeight="1" thickTop="1" x14ac:dyDescent="0.2">
      <c r="A141" s="1612" t="s">
        <v>690</v>
      </c>
      <c r="B141" s="1613"/>
      <c r="C141" s="550"/>
      <c r="D141" s="563"/>
      <c r="E141" s="558"/>
      <c r="F141" s="550"/>
      <c r="G141" s="550"/>
      <c r="H141" s="468"/>
      <c r="I141" s="468"/>
      <c r="J141" s="468"/>
      <c r="K141" s="468"/>
    </row>
    <row r="142" spans="1:11" ht="12.75" customHeight="1" x14ac:dyDescent="0.2">
      <c r="A142" s="463" t="s">
        <v>624</v>
      </c>
      <c r="B142" s="559">
        <v>3305</v>
      </c>
      <c r="C142" s="480">
        <f>ROUND(SUMIF(DATA!$A:$A,MID(C$1,2,2)&amp;"-"&amp;LEFT($B142,4)&amp;"*-0*",DATA!$F:$F),0)</f>
        <v>1036</v>
      </c>
      <c r="D142" s="468"/>
      <c r="E142" s="558"/>
      <c r="F142" s="468"/>
      <c r="G142" s="466"/>
      <c r="H142" s="468"/>
      <c r="I142" s="468"/>
      <c r="J142" s="468"/>
      <c r="K142" s="468"/>
    </row>
    <row r="143" spans="1:11" ht="12.75" customHeight="1" x14ac:dyDescent="0.2">
      <c r="A143" s="463" t="s">
        <v>364</v>
      </c>
      <c r="B143" s="559">
        <v>3310</v>
      </c>
      <c r="C143" s="480">
        <f>ROUND(SUMIF(DATA!$A:$A,MID(C$1,2,2)&amp;"-"&amp;LEFT($B143,4)&amp;"*-0*",DATA!$F:$F),0)</f>
        <v>0</v>
      </c>
      <c r="D143" s="468"/>
      <c r="E143" s="558"/>
      <c r="F143" s="468"/>
      <c r="G143" s="466"/>
      <c r="H143" s="468"/>
      <c r="I143" s="468"/>
      <c r="J143" s="468"/>
      <c r="K143" s="468"/>
    </row>
    <row r="144" spans="1:11" s="202" customFormat="1" ht="13.5" thickBot="1" x14ac:dyDescent="0.25">
      <c r="A144" s="1720" t="s">
        <v>413</v>
      </c>
      <c r="B144" s="1732"/>
      <c r="C144" s="1700">
        <f>SUM(C142:C143)</f>
        <v>1036</v>
      </c>
      <c r="D144" s="468"/>
      <c r="E144" s="508"/>
      <c r="F144" s="468"/>
      <c r="G144" s="1733">
        <f>SUM(G142:G143)</f>
        <v>0</v>
      </c>
      <c r="H144" s="468"/>
      <c r="I144" s="468"/>
      <c r="J144" s="468"/>
      <c r="K144" s="468"/>
    </row>
    <row r="145" spans="1:11" s="202" customFormat="1" ht="12.75" customHeight="1" thickTop="1" x14ac:dyDescent="0.2">
      <c r="A145" s="1510" t="s">
        <v>1115</v>
      </c>
      <c r="B145" s="565">
        <v>3360</v>
      </c>
      <c r="C145" s="480">
        <f>ROUND(SUMIF(DATA!$A:$A,MID(C$1,2,2)&amp;"-"&amp;LEFT($B145,4)&amp;"*-0*",DATA!$F:$F),0)</f>
        <v>1065</v>
      </c>
      <c r="D145" s="567"/>
      <c r="E145" s="508"/>
      <c r="F145" s="468"/>
      <c r="G145" s="568"/>
      <c r="H145" s="468"/>
      <c r="I145" s="468"/>
      <c r="J145" s="468"/>
      <c r="K145" s="468"/>
    </row>
    <row r="146" spans="1:11" ht="12.75" customHeight="1" thickBot="1" x14ac:dyDescent="0.25">
      <c r="A146" s="1511" t="s">
        <v>978</v>
      </c>
      <c r="B146" s="569">
        <v>3365</v>
      </c>
      <c r="C146" s="480">
        <f>ROUND(SUMIF(DATA!$A:$A,MID(C$1,2,2)&amp;"-"&amp;LEFT($B146,4)&amp;"*-0*",DATA!$F:$F),0)</f>
        <v>0</v>
      </c>
      <c r="D146" s="531"/>
      <c r="E146" s="558"/>
      <c r="F146" s="468"/>
      <c r="G146" s="531"/>
      <c r="H146" s="468"/>
      <c r="I146" s="468"/>
      <c r="J146" s="468"/>
      <c r="K146" s="468"/>
    </row>
    <row r="147" spans="1:11" ht="12.75" customHeight="1" thickTop="1" thickBot="1" x14ac:dyDescent="0.25">
      <c r="A147" s="1512" t="s">
        <v>140</v>
      </c>
      <c r="B147" s="571">
        <v>3370</v>
      </c>
      <c r="C147" s="480">
        <f>ROUND(SUMIF(DATA!$A:$A,MID(C$1,2,2)&amp;"-"&amp;LEFT($B147,4)&amp;"*-0*",DATA!$F:$F),0)</f>
        <v>41998</v>
      </c>
      <c r="D147" s="570"/>
      <c r="E147" s="508"/>
      <c r="F147" s="468"/>
      <c r="G147" s="468"/>
      <c r="H147" s="468"/>
      <c r="I147" s="468"/>
      <c r="J147" s="468"/>
      <c r="K147" s="468"/>
    </row>
    <row r="148" spans="1:11" ht="12.75" customHeight="1" thickTop="1" thickBot="1" x14ac:dyDescent="0.25">
      <c r="A148" s="1512" t="s">
        <v>790</v>
      </c>
      <c r="B148" s="571">
        <v>3410</v>
      </c>
      <c r="C148" s="480">
        <f>ROUND(SUMIF(DATA!$A:$A,MID(C$1,2,2)&amp;"-"&amp;LEFT($B148,4)&amp;"*-0*",DATA!$F:$F),0)</f>
        <v>0</v>
      </c>
      <c r="D148" s="572"/>
      <c r="E148" s="573"/>
      <c r="F148" s="529"/>
      <c r="G148" s="529"/>
      <c r="H148" s="529"/>
      <c r="I148" s="529"/>
      <c r="J148" s="529"/>
      <c r="K148" s="529"/>
    </row>
    <row r="149" spans="1:11" ht="12.75" customHeight="1" thickTop="1" thickBot="1" x14ac:dyDescent="0.25">
      <c r="A149" s="1512" t="s">
        <v>70</v>
      </c>
      <c r="B149" s="571">
        <v>3499</v>
      </c>
      <c r="C149" s="480">
        <f>ROUND(SUMIF(DATA!$A:$A,MID(C$1,2,2)&amp;"-"&amp;LEFT($B149,4)&amp;"*-0*",DATA!$F:$F),0)</f>
        <v>0</v>
      </c>
      <c r="D149" s="572"/>
      <c r="E149" s="531"/>
      <c r="F149" s="531"/>
      <c r="G149" s="531"/>
      <c r="H149" s="531"/>
      <c r="I149" s="531"/>
      <c r="J149" s="531"/>
      <c r="K149" s="531"/>
    </row>
    <row r="150" spans="1:11" ht="15.75" customHeight="1" thickTop="1" x14ac:dyDescent="0.2">
      <c r="A150" s="1612" t="s">
        <v>472</v>
      </c>
      <c r="B150" s="1614"/>
      <c r="C150" s="550"/>
      <c r="D150" s="468"/>
      <c r="E150" s="558"/>
      <c r="F150" s="468"/>
      <c r="G150" s="468"/>
      <c r="H150" s="468"/>
      <c r="I150" s="468"/>
      <c r="J150" s="468"/>
      <c r="K150" s="468"/>
    </row>
    <row r="151" spans="1:11" ht="12.75" customHeight="1" x14ac:dyDescent="0.2">
      <c r="A151" s="463" t="s">
        <v>1522</v>
      </c>
      <c r="B151" s="559">
        <v>3500</v>
      </c>
      <c r="C151" s="480">
        <f>SUMIF(DATA!$A:$A,"10-"&amp;LEFT($B151,4)&amp;"*-0*",DATA!$F:$F)</f>
        <v>0</v>
      </c>
      <c r="D151" s="466"/>
      <c r="E151" s="558"/>
      <c r="F151" s="480">
        <f>ROUND(SUMIF(DATA!$A:$A,MID(F$1,2,2)&amp;"-"&amp;LEFT($B151,3)&amp;"*-0*",DATA!$F:$F),0)</f>
        <v>109419</v>
      </c>
      <c r="G151" s="467"/>
      <c r="H151" s="468"/>
      <c r="I151" s="468"/>
      <c r="J151" s="468"/>
      <c r="K151" s="468"/>
    </row>
    <row r="152" spans="1:11" ht="12.75" customHeight="1" x14ac:dyDescent="0.2">
      <c r="A152" s="463" t="s">
        <v>1116</v>
      </c>
      <c r="B152" s="559">
        <v>3510</v>
      </c>
      <c r="C152" s="480">
        <f>SUMIF(DATA!$A:$A,"10-"&amp;LEFT($B152,4)&amp;"*-0*",DATA!$F:$F)</f>
        <v>0</v>
      </c>
      <c r="D152" s="466"/>
      <c r="E152" s="558"/>
      <c r="F152" s="480">
        <f>ROUND(SUMIF(DATA!$A:$A,MID(F$1,2,2)&amp;"-"&amp;LEFT($B152,3)&amp;"*-0*",DATA!$F:$F),0)</f>
        <v>446254</v>
      </c>
      <c r="G152" s="467"/>
      <c r="H152" s="468"/>
      <c r="I152" s="468"/>
      <c r="J152" s="468"/>
      <c r="K152" s="468"/>
    </row>
    <row r="153" spans="1:11" ht="12.75" customHeight="1" x14ac:dyDescent="0.2">
      <c r="A153" s="463" t="s">
        <v>71</v>
      </c>
      <c r="B153" s="559">
        <v>3599</v>
      </c>
      <c r="C153" s="480">
        <f>SUMIF(DATA!$A:$A,"10-"&amp;LEFT($B153,4)&amp;"*-0*",DATA!$F:$F)</f>
        <v>0</v>
      </c>
      <c r="D153" s="466"/>
      <c r="E153" s="558"/>
      <c r="F153" s="480">
        <f>ROUND(SUMIF(DATA!$A:$A,MID(F$1,2,2)&amp;"-"&amp;LEFT($B153,3)&amp;"*-0*",DATA!$F:$F),0)</f>
        <v>0</v>
      </c>
      <c r="G153" s="467"/>
      <c r="H153" s="468"/>
      <c r="I153" s="468"/>
      <c r="J153" s="468"/>
      <c r="K153" s="468"/>
    </row>
    <row r="154" spans="1:11" ht="12.75" customHeight="1" thickBot="1" x14ac:dyDescent="0.25">
      <c r="A154" s="1720" t="s">
        <v>96</v>
      </c>
      <c r="B154" s="1732"/>
      <c r="C154" s="1719">
        <f>SUM(C151:C153)</f>
        <v>0</v>
      </c>
      <c r="D154" s="1719">
        <f>SUM(D151:D153)</f>
        <v>0</v>
      </c>
      <c r="E154" s="558"/>
      <c r="F154" s="1719">
        <f>SUM(F151:F153)</f>
        <v>555673</v>
      </c>
      <c r="G154" s="1719">
        <f>SUM(G151:G153)</f>
        <v>0</v>
      </c>
      <c r="H154" s="468"/>
      <c r="I154" s="468"/>
      <c r="J154" s="468"/>
      <c r="K154" s="468"/>
    </row>
    <row r="155" spans="1:11" ht="12.75" customHeight="1" thickTop="1" thickBot="1" x14ac:dyDescent="0.25">
      <c r="A155" s="1512" t="s">
        <v>397</v>
      </c>
      <c r="B155" s="571">
        <v>3610</v>
      </c>
      <c r="C155" s="480">
        <f>SUMIF(DATA!$A:$A,"10-"&amp;LEFT($B155,4)&amp;"*-0*",DATA!$F:$F)</f>
        <v>0</v>
      </c>
      <c r="D155" s="468"/>
      <c r="E155" s="508"/>
      <c r="F155" s="468"/>
      <c r="G155" s="468"/>
      <c r="H155" s="468"/>
      <c r="I155" s="468"/>
      <c r="J155" s="468"/>
      <c r="K155" s="468"/>
    </row>
    <row r="156" spans="1:11" ht="12.75" customHeight="1" thickTop="1" thickBot="1" x14ac:dyDescent="0.25">
      <c r="A156" s="1512" t="s">
        <v>52</v>
      </c>
      <c r="B156" s="571">
        <v>3660</v>
      </c>
      <c r="C156" s="480">
        <f>SUMIF(DATA!$A:$A,"10-"&amp;LEFT($B156,4)&amp;"*-0*",DATA!$F:$F)</f>
        <v>0</v>
      </c>
      <c r="D156" s="574"/>
      <c r="E156" s="558"/>
      <c r="F156" s="480">
        <f>SUMIF(DATA!$A:$A,"40-"&amp;LEFT($B156,3)&amp;"*-0*",DATA!$F:$F)</f>
        <v>0</v>
      </c>
      <c r="G156" s="574"/>
      <c r="H156" s="468"/>
      <c r="I156" s="468"/>
      <c r="J156" s="468"/>
      <c r="K156" s="468"/>
    </row>
    <row r="157" spans="1:11" ht="12.75" customHeight="1" thickTop="1" thickBot="1" x14ac:dyDescent="0.25">
      <c r="A157" s="1512" t="s">
        <v>1056</v>
      </c>
      <c r="B157" s="571">
        <v>3695</v>
      </c>
      <c r="C157" s="480">
        <f>SUMIF(DATA!$A:$A,"10-"&amp;LEFT($B157,4)&amp;"*-0*",DATA!$F:$F)</f>
        <v>0</v>
      </c>
      <c r="D157" s="468"/>
      <c r="E157" s="558"/>
      <c r="F157" s="480">
        <f>SUMIF(DATA!$A:$A,"40-"&amp;LEFT($B157,3)&amp;"*-0*",DATA!$F:$F)</f>
        <v>0</v>
      </c>
      <c r="G157" s="572"/>
      <c r="H157" s="468"/>
      <c r="I157" s="468"/>
      <c r="J157" s="468"/>
      <c r="K157" s="468"/>
    </row>
    <row r="158" spans="1:11" ht="12.75" customHeight="1" thickTop="1" thickBot="1" x14ac:dyDescent="0.25">
      <c r="A158" s="1512" t="s">
        <v>1110</v>
      </c>
      <c r="B158" s="571">
        <v>3705</v>
      </c>
      <c r="C158" s="480">
        <f>SUMIF(DATA!$A:$A,"10-"&amp;LEFT($B158,4)&amp;"*-0*",DATA!$F:$F)</f>
        <v>0</v>
      </c>
      <c r="D158" s="574"/>
      <c r="E158" s="558"/>
      <c r="F158" s="480">
        <f>SUMIF(DATA!$A:$A,"40-"&amp;LEFT($B158,3)&amp;"*-0*",DATA!$F:$F)</f>
        <v>0</v>
      </c>
      <c r="G158" s="572"/>
      <c r="H158" s="468"/>
      <c r="I158" s="468"/>
      <c r="J158" s="468"/>
      <c r="K158" s="468"/>
    </row>
    <row r="159" spans="1:11" ht="12.75" customHeight="1" thickTop="1" thickBot="1" x14ac:dyDescent="0.25">
      <c r="A159" s="1512" t="s">
        <v>39</v>
      </c>
      <c r="B159" s="571">
        <v>3715</v>
      </c>
      <c r="C159" s="480">
        <f>SUMIF(DATA!$A:$A,"10-"&amp;LEFT($B159,4)&amp;"*-0*",DATA!$F:$F)</f>
        <v>0</v>
      </c>
      <c r="D159" s="468"/>
      <c r="E159" s="558"/>
      <c r="F159" s="480">
        <f>SUMIF(DATA!$A:$A,"40-"&amp;LEFT($B159,3)&amp;"*-0*",DATA!$F:$F)</f>
        <v>0</v>
      </c>
      <c r="G159" s="572"/>
      <c r="H159" s="468"/>
      <c r="I159" s="468"/>
      <c r="J159" s="468"/>
      <c r="K159" s="468"/>
    </row>
    <row r="160" spans="1:11" ht="12.75" customHeight="1" thickTop="1" thickBot="1" x14ac:dyDescent="0.25">
      <c r="A160" s="1512" t="s">
        <v>40</v>
      </c>
      <c r="B160" s="571">
        <v>3720</v>
      </c>
      <c r="C160" s="480">
        <f>SUMIF(DATA!$A:$A,"10-"&amp;LEFT($B160,4)&amp;"*-0*",DATA!$F:$F)</f>
        <v>0</v>
      </c>
      <c r="D160" s="468"/>
      <c r="E160" s="558"/>
      <c r="F160" s="480">
        <f>SUMIF(DATA!$A:$A,"40-"&amp;LEFT($B160,3)&amp;"*-0*",DATA!$F:$F)</f>
        <v>0</v>
      </c>
      <c r="G160" s="572"/>
      <c r="H160" s="468"/>
      <c r="I160" s="468"/>
      <c r="J160" s="468"/>
      <c r="K160" s="468"/>
    </row>
    <row r="161" spans="1:11" ht="12.75" customHeight="1" thickTop="1" thickBot="1" x14ac:dyDescent="0.25">
      <c r="A161" s="1512" t="s">
        <v>414</v>
      </c>
      <c r="B161" s="571">
        <v>3725</v>
      </c>
      <c r="C161" s="480">
        <f>SUMIF(DATA!$A:$A,"10-"&amp;LEFT($B161,4)&amp;"*-0*",DATA!$F:$F)</f>
        <v>0</v>
      </c>
      <c r="D161" s="468"/>
      <c r="E161" s="558"/>
      <c r="F161" s="480">
        <f>SUMIF(DATA!$A:$A,"40-"&amp;LEFT($B161,3)&amp;"*-0*",DATA!$F:$F)</f>
        <v>0</v>
      </c>
      <c r="G161" s="530"/>
      <c r="H161" s="468"/>
      <c r="I161" s="468"/>
      <c r="J161" s="468"/>
      <c r="K161" s="468"/>
    </row>
    <row r="162" spans="1:11" ht="12.75" customHeight="1" thickTop="1" thickBot="1" x14ac:dyDescent="0.25">
      <c r="A162" s="1512" t="s">
        <v>415</v>
      </c>
      <c r="B162" s="571">
        <v>3726</v>
      </c>
      <c r="C162" s="480">
        <f>SUMIF(DATA!$A:$A,"10-"&amp;LEFT($B162,4)&amp;"*-0*",DATA!$F:$F)</f>
        <v>0</v>
      </c>
      <c r="D162" s="468"/>
      <c r="E162" s="558"/>
      <c r="F162" s="480">
        <f>SUMIF(DATA!$A:$A,"40-"&amp;LEFT($B162,3)&amp;"*-0*",DATA!$F:$F)</f>
        <v>0</v>
      </c>
      <c r="G162" s="530"/>
      <c r="H162" s="468"/>
      <c r="I162" s="468"/>
      <c r="J162" s="468"/>
      <c r="K162" s="468"/>
    </row>
    <row r="163" spans="1:11" ht="12.75" customHeight="1" thickTop="1" thickBot="1" x14ac:dyDescent="0.25">
      <c r="A163" s="1512" t="s">
        <v>41</v>
      </c>
      <c r="B163" s="571">
        <v>3766</v>
      </c>
      <c r="C163" s="480">
        <f>SUMIF(DATA!$A:$A,"10-"&amp;LEFT($B163,4)&amp;"*-0*",DATA!$F:$F)</f>
        <v>0</v>
      </c>
      <c r="D163" s="574"/>
      <c r="E163" s="558"/>
      <c r="F163" s="480">
        <f>SUMIF(DATA!$A:$A,"40-"&amp;LEFT($B163,3)&amp;"*-0*",DATA!$F:$F)</f>
        <v>0</v>
      </c>
      <c r="G163" s="530"/>
      <c r="H163" s="468"/>
      <c r="I163" s="468"/>
      <c r="J163" s="468"/>
      <c r="K163" s="468"/>
    </row>
    <row r="164" spans="1:11" ht="12.75" customHeight="1" thickTop="1" thickBot="1" x14ac:dyDescent="0.25">
      <c r="A164" s="1512" t="s">
        <v>1041</v>
      </c>
      <c r="B164" s="571">
        <v>3767</v>
      </c>
      <c r="C164" s="480">
        <f>SUMIF(DATA!$A:$A,"10-"&amp;LEFT($B164,4)&amp;"*-0*",DATA!$F:$F)</f>
        <v>0</v>
      </c>
      <c r="D164" s="530"/>
      <c r="E164" s="558"/>
      <c r="F164" s="480">
        <f>SUMIF(DATA!$A:$A,"40-"&amp;LEFT($B164,3)&amp;"*-0*",DATA!$F:$F)</f>
        <v>0</v>
      </c>
      <c r="G164" s="530"/>
      <c r="H164" s="468"/>
      <c r="I164" s="468"/>
      <c r="J164" s="468"/>
      <c r="K164" s="468"/>
    </row>
    <row r="165" spans="1:11" ht="12.75" customHeight="1" thickTop="1" thickBot="1" x14ac:dyDescent="0.25">
      <c r="A165" s="1512" t="s">
        <v>1042</v>
      </c>
      <c r="B165" s="571">
        <v>3775</v>
      </c>
      <c r="C165" s="480">
        <f>SUMIF(DATA!$A:$A,"10-"&amp;LEFT($B165,4)&amp;"*-0*",DATA!$F:$F)</f>
        <v>0</v>
      </c>
      <c r="D165" s="570"/>
      <c r="E165" s="529"/>
      <c r="F165" s="480">
        <f>SUMIF(DATA!$A:$A,"40-"&amp;LEFT($B165,3)&amp;"*-0*",DATA!$F:$F)</f>
        <v>0</v>
      </c>
      <c r="G165" s="531"/>
      <c r="H165" s="529"/>
      <c r="I165" s="468"/>
      <c r="J165" s="468"/>
      <c r="K165" s="529"/>
    </row>
    <row r="166" spans="1:11" ht="12.75" customHeight="1" thickTop="1" thickBot="1" x14ac:dyDescent="0.25">
      <c r="A166" s="1512" t="s">
        <v>1523</v>
      </c>
      <c r="B166" s="571">
        <v>3780</v>
      </c>
      <c r="C166" s="480">
        <f>SUMIF(DATA!$A:$A,"10-"&amp;LEFT($B166,4)&amp;"*-0*",DATA!$F:$F)</f>
        <v>0</v>
      </c>
      <c r="D166" s="529"/>
      <c r="E166" s="530"/>
      <c r="F166" s="480">
        <f>SUMIF(DATA!$A:$A,"40-"&amp;LEFT($B166,3)&amp;"*-0*",DATA!$F:$F)</f>
        <v>0</v>
      </c>
      <c r="G166" s="530"/>
      <c r="H166" s="530"/>
      <c r="I166" s="468"/>
      <c r="J166" s="468"/>
      <c r="K166" s="530"/>
    </row>
    <row r="167" spans="1:11" ht="12.75" customHeight="1" thickTop="1" thickBot="1" x14ac:dyDescent="0.25">
      <c r="A167" s="1512" t="s">
        <v>912</v>
      </c>
      <c r="B167" s="571">
        <v>3815</v>
      </c>
      <c r="C167" s="480">
        <f>SUMIF(DATA!$A:$A,"10-"&amp;LEFT($B167,4)&amp;"*-0*",DATA!$F:$F)</f>
        <v>0</v>
      </c>
      <c r="D167" s="468"/>
      <c r="E167" s="558"/>
      <c r="F167" s="480">
        <f>SUMIF(DATA!$A:$A,"40-"&amp;LEFT($B167,3)&amp;"*-0*",DATA!$F:$F)</f>
        <v>0</v>
      </c>
      <c r="G167" s="468"/>
      <c r="H167" s="468"/>
      <c r="I167" s="468"/>
      <c r="J167" s="468"/>
      <c r="K167" s="468"/>
    </row>
    <row r="168" spans="1:11" ht="12.75" customHeight="1" thickTop="1" thickBot="1" x14ac:dyDescent="0.25">
      <c r="A168" s="1512" t="s">
        <v>416</v>
      </c>
      <c r="B168" s="571">
        <v>3825</v>
      </c>
      <c r="C168" s="480">
        <f>SUMIF(DATA!$A:$A,"10-"&amp;LEFT($B168,4)&amp;"*-0*",DATA!$F:$F)</f>
        <v>0</v>
      </c>
      <c r="D168" s="468"/>
      <c r="E168" s="558"/>
      <c r="F168" s="480">
        <f>SUMIF(DATA!$A:$A,"40-"&amp;LEFT($B168,3)&amp;"*-0*",DATA!$F:$F)</f>
        <v>0</v>
      </c>
      <c r="G168" s="468"/>
      <c r="H168" s="468"/>
      <c r="I168" s="468"/>
      <c r="J168" s="468"/>
      <c r="K168" s="468"/>
    </row>
    <row r="169" spans="1:11" ht="12.75" customHeight="1" thickTop="1" thickBot="1" x14ac:dyDescent="0.25">
      <c r="A169" s="1512" t="s">
        <v>365</v>
      </c>
      <c r="B169" s="571">
        <v>3920</v>
      </c>
      <c r="C169" s="563"/>
      <c r="D169" s="574"/>
      <c r="E169" s="468"/>
      <c r="F169" s="563"/>
      <c r="G169" s="468"/>
      <c r="H169" s="529"/>
      <c r="I169" s="468"/>
      <c r="J169" s="468"/>
      <c r="K169" s="468"/>
    </row>
    <row r="170" spans="1:11" ht="12.75" customHeight="1" thickTop="1" thickBot="1" x14ac:dyDescent="0.25">
      <c r="A170" s="1512" t="s">
        <v>366</v>
      </c>
      <c r="B170" s="571">
        <v>3925</v>
      </c>
      <c r="C170" s="520"/>
      <c r="D170" s="572"/>
      <c r="E170" s="520"/>
      <c r="F170" s="520"/>
      <c r="G170" s="468"/>
      <c r="H170" s="530"/>
      <c r="I170" s="468"/>
      <c r="J170" s="468"/>
      <c r="K170" s="529"/>
    </row>
    <row r="171" spans="1:11" ht="14.25" thickTop="1" thickBot="1" x14ac:dyDescent="0.25">
      <c r="A171" s="1512" t="s">
        <v>72</v>
      </c>
      <c r="B171" s="571">
        <v>3999</v>
      </c>
      <c r="C171" s="480">
        <f>ROUND(SUMIF(DATA!$A:$A,MID(C$1,2,2)&amp;"-"&amp;LEFT($B171,4)&amp;"*-0*",DATA!$F:$F),0)</f>
        <v>225711</v>
      </c>
      <c r="D171" s="575"/>
      <c r="E171" s="575"/>
      <c r="F171" s="575"/>
      <c r="G171" s="576"/>
      <c r="H171" s="577"/>
      <c r="I171" s="576"/>
      <c r="J171" s="576"/>
      <c r="K171" s="577"/>
    </row>
    <row r="172" spans="1:11" ht="12.75" customHeight="1" thickTop="1" thickBot="1" x14ac:dyDescent="0.25">
      <c r="A172" s="2175" t="s">
        <v>417</v>
      </c>
      <c r="B172" s="2176"/>
      <c r="C172" s="1734">
        <f t="shared" ref="C172:K172" si="6">SUM(C131,C140,C144,C145:C149,C154,C155:C170,C171)</f>
        <v>829382</v>
      </c>
      <c r="D172" s="1734">
        <f t="shared" si="6"/>
        <v>0</v>
      </c>
      <c r="E172" s="1734">
        <f t="shared" si="6"/>
        <v>0</v>
      </c>
      <c r="F172" s="1734">
        <f t="shared" si="6"/>
        <v>555673</v>
      </c>
      <c r="G172" s="1734">
        <f t="shared" si="6"/>
        <v>0</v>
      </c>
      <c r="H172" s="1734">
        <f t="shared" si="6"/>
        <v>0</v>
      </c>
      <c r="I172" s="1734">
        <f t="shared" si="6"/>
        <v>0</v>
      </c>
      <c r="J172" s="1734">
        <f t="shared" si="6"/>
        <v>0</v>
      </c>
      <c r="K172" s="1715">
        <f t="shared" si="6"/>
        <v>0</v>
      </c>
    </row>
    <row r="173" spans="1:11" ht="12.75" customHeight="1" thickTop="1" thickBot="1" x14ac:dyDescent="0.25">
      <c r="A173" s="1720" t="s">
        <v>418</v>
      </c>
      <c r="B173" s="1726" t="s">
        <v>595</v>
      </c>
      <c r="C173" s="1727">
        <f>SUM(C121,C172)</f>
        <v>3136936</v>
      </c>
      <c r="D173" s="1727">
        <f>SUM(D121,D172)</f>
        <v>0</v>
      </c>
      <c r="E173" s="1727">
        <f>SUM(E121,E172)</f>
        <v>0</v>
      </c>
      <c r="F173" s="1727">
        <f t="shared" ref="F173:K173" si="7">SUM(F121,F172)</f>
        <v>555952</v>
      </c>
      <c r="G173" s="1727">
        <f t="shared" si="7"/>
        <v>0</v>
      </c>
      <c r="H173" s="1727">
        <f t="shared" si="7"/>
        <v>0</v>
      </c>
      <c r="I173" s="1727">
        <f t="shared" si="7"/>
        <v>0</v>
      </c>
      <c r="J173" s="1727">
        <f t="shared" si="7"/>
        <v>0</v>
      </c>
      <c r="K173" s="1714">
        <f t="shared" si="7"/>
        <v>0</v>
      </c>
    </row>
    <row r="174" spans="1:11" ht="16.7" customHeight="1" thickTop="1" x14ac:dyDescent="0.2">
      <c r="A174" s="1601" t="s">
        <v>836</v>
      </c>
      <c r="B174" s="1579"/>
      <c r="C174" s="1582"/>
      <c r="D174" s="1583"/>
      <c r="E174" s="1583"/>
      <c r="F174" s="1583"/>
      <c r="G174" s="1583"/>
      <c r="H174" s="1583"/>
      <c r="I174" s="1583"/>
      <c r="J174" s="1583"/>
      <c r="K174" s="1584"/>
    </row>
    <row r="175" spans="1:11" ht="15.75" customHeight="1" x14ac:dyDescent="0.2">
      <c r="A175" s="2177" t="s">
        <v>1571</v>
      </c>
      <c r="B175" s="2178"/>
      <c r="C175" s="519"/>
      <c r="D175" s="519"/>
      <c r="E175" s="508"/>
      <c r="F175" s="468"/>
      <c r="G175" s="468"/>
      <c r="H175" s="468"/>
      <c r="I175" s="468"/>
      <c r="J175" s="468"/>
      <c r="K175" s="468"/>
    </row>
    <row r="176" spans="1:11" ht="12.6" customHeight="1" x14ac:dyDescent="0.2">
      <c r="A176" s="492" t="s">
        <v>1103</v>
      </c>
      <c r="B176" s="490">
        <v>4001</v>
      </c>
      <c r="C176" s="480">
        <f>SUMIF(DATA!$A:$A,"10-"&amp;LEFT($B176,4)&amp;"*-0*",DATA!$F:$F)</f>
        <v>0</v>
      </c>
      <c r="D176" s="480"/>
      <c r="E176" s="467"/>
      <c r="F176" s="466"/>
      <c r="G176" s="466"/>
      <c r="H176" s="467"/>
      <c r="I176" s="467"/>
      <c r="J176" s="467"/>
      <c r="K176" s="467"/>
    </row>
    <row r="177" spans="1:11" ht="22.5" x14ac:dyDescent="0.2">
      <c r="A177" s="560" t="s">
        <v>837</v>
      </c>
      <c r="B177" s="578">
        <v>4009</v>
      </c>
      <c r="C177" s="480">
        <f>SUMIF(DATA!$A:$A,"10-"&amp;LEFT($B177,4)&amp;"*-0*",DATA!$F:$F)</f>
        <v>0</v>
      </c>
      <c r="D177" s="466"/>
      <c r="E177" s="467"/>
      <c r="F177" s="466"/>
      <c r="G177" s="466"/>
      <c r="H177" s="467"/>
      <c r="I177" s="467"/>
      <c r="J177" s="467"/>
      <c r="K177" s="467"/>
    </row>
    <row r="178" spans="1:11" ht="13.5" thickBot="1" x14ac:dyDescent="0.25">
      <c r="A178" s="2181" t="s">
        <v>1763</v>
      </c>
      <c r="B178" s="2182"/>
      <c r="C178" s="1719">
        <f>SUM(C176:C177)</f>
        <v>0</v>
      </c>
      <c r="D178" s="1719">
        <f t="shared" ref="D178:K178" si="8">SUM(D176:D177)</f>
        <v>0</v>
      </c>
      <c r="E178" s="1719">
        <f t="shared" si="8"/>
        <v>0</v>
      </c>
      <c r="F178" s="1719">
        <f t="shared" si="8"/>
        <v>0</v>
      </c>
      <c r="G178" s="1719">
        <f t="shared" si="8"/>
        <v>0</v>
      </c>
      <c r="H178" s="1719">
        <f t="shared" si="8"/>
        <v>0</v>
      </c>
      <c r="I178" s="1719">
        <f t="shared" si="8"/>
        <v>0</v>
      </c>
      <c r="J178" s="1719">
        <f t="shared" si="8"/>
        <v>0</v>
      </c>
      <c r="K178" s="1700">
        <f t="shared" si="8"/>
        <v>0</v>
      </c>
    </row>
    <row r="179" spans="1:11" s="457" customFormat="1" ht="15.75" customHeight="1" thickTop="1" x14ac:dyDescent="0.2">
      <c r="A179" s="2185" t="s">
        <v>1762</v>
      </c>
      <c r="B179" s="2186"/>
      <c r="C179" s="592"/>
      <c r="D179" s="593"/>
      <c r="E179" s="594"/>
      <c r="F179" s="595"/>
      <c r="G179" s="595"/>
      <c r="H179" s="595"/>
      <c r="I179" s="595"/>
      <c r="J179" s="595"/>
      <c r="K179" s="595"/>
    </row>
    <row r="180" spans="1:11" ht="12.75" customHeight="1" x14ac:dyDescent="0.2">
      <c r="A180" s="463" t="s">
        <v>1104</v>
      </c>
      <c r="B180" s="470">
        <v>4045</v>
      </c>
      <c r="C180" s="480">
        <f>SUMIF(DATA!$A:$A,"10-"&amp;LEFT($B180,4)&amp;"*-0*",DATA!$F:$F)</f>
        <v>0</v>
      </c>
      <c r="D180" s="468"/>
      <c r="E180" s="558"/>
      <c r="F180" s="468"/>
      <c r="G180" s="468"/>
      <c r="H180" s="468"/>
      <c r="I180" s="468"/>
      <c r="J180" s="468"/>
      <c r="K180" s="468"/>
    </row>
    <row r="181" spans="1:11" ht="12.75" customHeight="1" x14ac:dyDescent="0.2">
      <c r="A181" s="463" t="s">
        <v>1105</v>
      </c>
      <c r="B181" s="470">
        <v>4050</v>
      </c>
      <c r="C181" s="480">
        <f>SUMIF(DATA!$A:$A,"10-"&amp;LEFT($B181,4)&amp;"*-0*",DATA!$F:$F)</f>
        <v>0</v>
      </c>
      <c r="D181" s="467"/>
      <c r="E181" s="558"/>
      <c r="F181" s="468"/>
      <c r="G181" s="468"/>
      <c r="H181" s="467"/>
      <c r="I181" s="468"/>
      <c r="J181" s="468"/>
      <c r="K181" s="468"/>
    </row>
    <row r="182" spans="1:11" ht="12.75" customHeight="1" x14ac:dyDescent="0.2">
      <c r="A182" s="463" t="s">
        <v>278</v>
      </c>
      <c r="B182" s="470">
        <v>4060</v>
      </c>
      <c r="C182" s="480">
        <f>SUMIF(DATA!$A:$A,"10-"&amp;LEFT($B182,4)&amp;"*-0*",DATA!$F:$F)</f>
        <v>0</v>
      </c>
      <c r="D182" s="466"/>
      <c r="E182" s="468"/>
      <c r="F182" s="466"/>
      <c r="G182" s="466"/>
      <c r="H182" s="466"/>
      <c r="I182" s="468"/>
      <c r="J182" s="468"/>
      <c r="K182" s="520"/>
    </row>
    <row r="183" spans="1:11" ht="22.5" x14ac:dyDescent="0.2">
      <c r="A183" s="560" t="s">
        <v>818</v>
      </c>
      <c r="B183" s="578">
        <v>4090</v>
      </c>
      <c r="C183" s="480">
        <f>SUMIF(DATA!$A:$A,"10-"&amp;LEFT($B183,4)&amp;"*-0*",DATA!$F:$F)</f>
        <v>0</v>
      </c>
      <c r="D183" s="466"/>
      <c r="E183" s="468"/>
      <c r="F183" s="466"/>
      <c r="G183" s="466"/>
      <c r="H183" s="466"/>
      <c r="I183" s="468"/>
      <c r="J183" s="468"/>
      <c r="K183" s="466"/>
    </row>
    <row r="184" spans="1:11" ht="13.5" thickBot="1" x14ac:dyDescent="0.25">
      <c r="A184" s="2183" t="s">
        <v>817</v>
      </c>
      <c r="B184" s="2184"/>
      <c r="C184" s="1719">
        <f>SUM(C180:C183)</f>
        <v>0</v>
      </c>
      <c r="D184" s="1719">
        <f>SUM(D180:D183)</f>
        <v>0</v>
      </c>
      <c r="E184" s="468"/>
      <c r="F184" s="1719">
        <f>SUM(F180:F183)</f>
        <v>0</v>
      </c>
      <c r="G184" s="1719">
        <f>SUM(G180:G183)</f>
        <v>0</v>
      </c>
      <c r="H184" s="1719">
        <f>SUM(H180:H183)</f>
        <v>0</v>
      </c>
      <c r="I184" s="468"/>
      <c r="J184" s="468"/>
      <c r="K184" s="1700">
        <f>SUM(K180:K183)</f>
        <v>0</v>
      </c>
    </row>
    <row r="185" spans="1:11" ht="22.5" customHeight="1" thickTop="1" x14ac:dyDescent="0.2">
      <c r="A185" s="2179" t="s">
        <v>1905</v>
      </c>
      <c r="B185" s="2180"/>
      <c r="C185" s="579"/>
      <c r="D185" s="563"/>
      <c r="E185" s="508"/>
      <c r="F185" s="563"/>
      <c r="G185" s="563"/>
      <c r="H185" s="468"/>
      <c r="I185" s="468"/>
      <c r="J185" s="468"/>
      <c r="K185" s="468"/>
    </row>
    <row r="186" spans="1:11" ht="15.75" customHeight="1" x14ac:dyDescent="0.2">
      <c r="A186" s="1615" t="s">
        <v>1691</v>
      </c>
      <c r="B186" s="1616"/>
      <c r="C186" s="521"/>
      <c r="D186" s="520"/>
      <c r="E186" s="508"/>
      <c r="F186" s="520"/>
      <c r="G186" s="520"/>
      <c r="H186" s="468"/>
      <c r="I186" s="468"/>
      <c r="J186" s="468"/>
      <c r="K186" s="468"/>
    </row>
    <row r="187" spans="1:11" ht="12.75" customHeight="1" x14ac:dyDescent="0.2">
      <c r="A187" s="463" t="s">
        <v>1692</v>
      </c>
      <c r="B187" s="470">
        <v>4100</v>
      </c>
      <c r="C187" s="480">
        <f>SUMIF(DATA!$A:$A,"10-"&amp;LEFT($B187,4)&amp;"*-0*",DATA!$F:$F)</f>
        <v>0</v>
      </c>
      <c r="D187" s="480"/>
      <c r="E187" s="558"/>
      <c r="F187" s="480"/>
      <c r="G187" s="480"/>
      <c r="H187" s="468"/>
      <c r="I187" s="468"/>
      <c r="J187" s="468"/>
      <c r="K187" s="468"/>
    </row>
    <row r="188" spans="1:11" ht="12.75" customHeight="1" x14ac:dyDescent="0.2">
      <c r="A188" s="463" t="s">
        <v>1693</v>
      </c>
      <c r="B188" s="470">
        <v>4105</v>
      </c>
      <c r="C188" s="480">
        <f>SUMIF(DATA!$A:$A,"10-"&amp;LEFT($B188,4)&amp;"*-0*",DATA!$F:$F)</f>
        <v>0</v>
      </c>
      <c r="D188" s="466"/>
      <c r="E188" s="558"/>
      <c r="F188" s="466"/>
      <c r="G188" s="466"/>
      <c r="H188" s="468"/>
      <c r="I188" s="468"/>
      <c r="J188" s="468"/>
      <c r="K188" s="468"/>
    </row>
    <row r="189" spans="1:11" ht="12.75" customHeight="1" x14ac:dyDescent="0.2">
      <c r="A189" s="463" t="s">
        <v>1695</v>
      </c>
      <c r="B189" s="470">
        <v>4107</v>
      </c>
      <c r="C189" s="480">
        <f>SUMIF(DATA!$A:$A,"10-"&amp;LEFT($B189,4)&amp;"*-0*",DATA!$F:$F)</f>
        <v>0</v>
      </c>
      <c r="D189" s="466"/>
      <c r="E189" s="558"/>
      <c r="F189" s="466"/>
      <c r="G189" s="466"/>
      <c r="H189" s="468"/>
      <c r="I189" s="468"/>
      <c r="J189" s="468"/>
      <c r="K189" s="468"/>
    </row>
    <row r="190" spans="1:11" ht="12.75" customHeight="1" x14ac:dyDescent="0.2">
      <c r="A190" s="463" t="s">
        <v>1694</v>
      </c>
      <c r="B190" s="470">
        <v>4199</v>
      </c>
      <c r="C190" s="480">
        <f>SUMIF(DATA!$A:$A,"10-"&amp;LEFT($B190,4)&amp;"*-0*",DATA!$F:$F)</f>
        <v>0</v>
      </c>
      <c r="D190" s="466"/>
      <c r="E190" s="558"/>
      <c r="F190" s="466"/>
      <c r="G190" s="466"/>
      <c r="H190" s="468"/>
      <c r="I190" s="468"/>
      <c r="J190" s="468"/>
      <c r="K190" s="468"/>
    </row>
    <row r="191" spans="1:11" ht="12.75" customHeight="1" thickBot="1" x14ac:dyDescent="0.25">
      <c r="A191" s="1720" t="s">
        <v>1696</v>
      </c>
      <c r="B191" s="1721"/>
      <c r="C191" s="1719">
        <f>SUM(C187:C190)</f>
        <v>0</v>
      </c>
      <c r="D191" s="1719">
        <f>SUM(D187:D190)</f>
        <v>0</v>
      </c>
      <c r="E191" s="558"/>
      <c r="F191" s="1719">
        <f>SUM(F187:F190)</f>
        <v>0</v>
      </c>
      <c r="G191" s="1719">
        <f>SUM(G187:G190)</f>
        <v>0</v>
      </c>
      <c r="H191" s="468"/>
      <c r="I191" s="468"/>
      <c r="J191" s="468"/>
      <c r="K191" s="468"/>
    </row>
    <row r="192" spans="1:11" ht="15.75" customHeight="1" thickTop="1" x14ac:dyDescent="0.2">
      <c r="A192" s="1612" t="s">
        <v>474</v>
      </c>
      <c r="B192" s="1617"/>
      <c r="C192" s="550"/>
      <c r="D192" s="563"/>
      <c r="E192" s="558"/>
      <c r="F192" s="550"/>
      <c r="G192" s="550"/>
      <c r="H192" s="468"/>
      <c r="I192" s="468"/>
      <c r="J192" s="468"/>
      <c r="K192" s="468"/>
    </row>
    <row r="193" spans="1:11" x14ac:dyDescent="0.2">
      <c r="A193" s="463" t="s">
        <v>1524</v>
      </c>
      <c r="B193" s="470">
        <v>4200</v>
      </c>
      <c r="C193" s="480">
        <f>SUMIF(DATA!$A:$A,"10-"&amp;LEFT($B193,4)&amp;"*-0*",DATA!$F:$F)</f>
        <v>0</v>
      </c>
      <c r="D193" s="468"/>
      <c r="E193" s="558"/>
      <c r="F193" s="550"/>
      <c r="G193" s="580"/>
      <c r="H193" s="468"/>
      <c r="I193" s="468"/>
      <c r="J193" s="468"/>
      <c r="K193" s="468"/>
    </row>
    <row r="194" spans="1:11" ht="12.75" customHeight="1" x14ac:dyDescent="0.2">
      <c r="A194" s="463" t="s">
        <v>1117</v>
      </c>
      <c r="B194" s="470">
        <v>4210</v>
      </c>
      <c r="C194" s="480">
        <f>SUMIF(DATA!$A:$A,"10-"&amp;LEFT($B194,4)&amp;"*-0*",DATA!$F:$F)</f>
        <v>0</v>
      </c>
      <c r="D194" s="468"/>
      <c r="E194" s="558"/>
      <c r="F194" s="468"/>
      <c r="G194" s="580"/>
      <c r="H194" s="468"/>
      <c r="I194" s="468"/>
      <c r="J194" s="468"/>
      <c r="K194" s="468"/>
    </row>
    <row r="195" spans="1:11" ht="12.75" customHeight="1" x14ac:dyDescent="0.2">
      <c r="A195" s="463" t="s">
        <v>1106</v>
      </c>
      <c r="B195" s="470">
        <v>4215</v>
      </c>
      <c r="C195" s="480">
        <f>ROUND(SUMIF(DATA!$A:$A,MID(C$1,2,2)&amp;"-"&amp;LEFT($B195,4)&amp;"*-0*",DATA!$F:$F),0)</f>
        <v>11623</v>
      </c>
      <c r="D195" s="468"/>
      <c r="E195" s="558"/>
      <c r="F195" s="468"/>
      <c r="G195" s="580"/>
      <c r="H195" s="468"/>
      <c r="I195" s="468"/>
      <c r="J195" s="468"/>
      <c r="K195" s="468"/>
    </row>
    <row r="196" spans="1:11" ht="12.75" customHeight="1" x14ac:dyDescent="0.2">
      <c r="A196" s="463" t="s">
        <v>1118</v>
      </c>
      <c r="B196" s="470">
        <v>4220</v>
      </c>
      <c r="C196" s="480">
        <f>SUMIF(DATA!$A:$A,"10-"&amp;LEFT($B196,4)&amp;"*-0*",DATA!$F:$F)</f>
        <v>0</v>
      </c>
      <c r="D196" s="468"/>
      <c r="E196" s="558"/>
      <c r="F196" s="468"/>
      <c r="G196" s="580"/>
      <c r="H196" s="468"/>
      <c r="I196" s="468"/>
      <c r="J196" s="468"/>
      <c r="K196" s="468"/>
    </row>
    <row r="197" spans="1:11" ht="12.75" customHeight="1" x14ac:dyDescent="0.2">
      <c r="A197" s="463" t="s">
        <v>1525</v>
      </c>
      <c r="B197" s="470">
        <v>4225</v>
      </c>
      <c r="C197" s="480">
        <f>SUMIF(DATA!$A:$A,"10-"&amp;LEFT($B197,4)&amp;"*-0*",DATA!$F:$F)</f>
        <v>0</v>
      </c>
      <c r="D197" s="468"/>
      <c r="E197" s="558"/>
      <c r="F197" s="468"/>
      <c r="G197" s="580"/>
      <c r="H197" s="468"/>
      <c r="I197" s="468"/>
      <c r="J197" s="468"/>
      <c r="K197" s="468"/>
    </row>
    <row r="198" spans="1:11" ht="12.75" customHeight="1" x14ac:dyDescent="0.2">
      <c r="A198" s="463" t="s">
        <v>1526</v>
      </c>
      <c r="B198" s="470">
        <v>4226</v>
      </c>
      <c r="C198" s="480">
        <f>SUMIF(DATA!$A:$A,"10-"&amp;LEFT($B198,4)&amp;"*-0*",DATA!$F:$F)</f>
        <v>0</v>
      </c>
      <c r="D198" s="468"/>
      <c r="E198" s="558"/>
      <c r="F198" s="468"/>
      <c r="G198" s="580"/>
      <c r="H198" s="468"/>
      <c r="I198" s="468"/>
      <c r="J198" s="468"/>
      <c r="K198" s="468"/>
    </row>
    <row r="199" spans="1:11" ht="12.75" customHeight="1" x14ac:dyDescent="0.2">
      <c r="A199" s="463" t="s">
        <v>824</v>
      </c>
      <c r="B199" s="470">
        <v>4240</v>
      </c>
      <c r="C199" s="480">
        <f>SUMIF(DATA!$A:$A,"10-"&amp;LEFT($B199,4)&amp;"*-0*",DATA!$F:$F)</f>
        <v>0</v>
      </c>
      <c r="D199" s="468"/>
      <c r="E199" s="558"/>
      <c r="F199" s="468"/>
      <c r="G199" s="581"/>
      <c r="H199" s="468"/>
      <c r="I199" s="468"/>
      <c r="J199" s="468"/>
      <c r="K199" s="468"/>
    </row>
    <row r="200" spans="1:11" ht="12.75" customHeight="1" x14ac:dyDescent="0.2">
      <c r="A200" s="463" t="s">
        <v>73</v>
      </c>
      <c r="B200" s="470">
        <v>4299</v>
      </c>
      <c r="C200" s="480">
        <f>SUMIF(DATA!$A:$A,"10-"&amp;LEFT($B200,4)&amp;"*-0*",DATA!$F:$F)</f>
        <v>0</v>
      </c>
      <c r="D200" s="468"/>
      <c r="E200" s="558"/>
      <c r="F200" s="468"/>
      <c r="G200" s="580"/>
      <c r="H200" s="468"/>
      <c r="I200" s="468"/>
      <c r="J200" s="468"/>
      <c r="K200" s="468"/>
    </row>
    <row r="201" spans="1:11" ht="12.75" customHeight="1" thickBot="1" x14ac:dyDescent="0.25">
      <c r="A201" s="1720" t="s">
        <v>568</v>
      </c>
      <c r="B201" s="1721"/>
      <c r="C201" s="1700">
        <f>SUM(C193:C200)</f>
        <v>11623</v>
      </c>
      <c r="D201" s="468"/>
      <c r="E201" s="468"/>
      <c r="F201" s="468"/>
      <c r="G201" s="1700">
        <f>SUM(G193:G200)</f>
        <v>0</v>
      </c>
      <c r="H201" s="468"/>
      <c r="I201" s="468"/>
      <c r="J201" s="468"/>
      <c r="K201" s="468"/>
    </row>
    <row r="202" spans="1:11" ht="15.75" customHeight="1" thickTop="1" x14ac:dyDescent="0.2">
      <c r="A202" s="1612" t="s">
        <v>1199</v>
      </c>
      <c r="B202" s="1617"/>
      <c r="C202" s="550"/>
      <c r="D202" s="468"/>
      <c r="E202" s="468"/>
      <c r="F202" s="468"/>
      <c r="G202" s="468"/>
      <c r="H202" s="468"/>
      <c r="I202" s="468"/>
      <c r="J202" s="468"/>
      <c r="K202" s="468"/>
    </row>
    <row r="203" spans="1:11" ht="12.75" customHeight="1" x14ac:dyDescent="0.2">
      <c r="A203" s="463" t="s">
        <v>973</v>
      </c>
      <c r="B203" s="470">
        <v>4300</v>
      </c>
      <c r="C203" s="480">
        <f>ROUND(SUMIF(DATA!$A:$A,MID(C$1,2,2)&amp;"-"&amp;LEFT($B203,4)&amp;"*-0*",DATA!$F:$F),0)</f>
        <v>276273</v>
      </c>
      <c r="D203" s="466"/>
      <c r="E203" s="468"/>
      <c r="F203" s="466"/>
      <c r="G203" s="466"/>
      <c r="H203" s="468"/>
      <c r="I203" s="468"/>
      <c r="J203" s="468"/>
      <c r="K203" s="468"/>
    </row>
    <row r="204" spans="1:11" ht="12.75" customHeight="1" x14ac:dyDescent="0.2">
      <c r="A204" s="463" t="s">
        <v>974</v>
      </c>
      <c r="B204" s="470">
        <v>4305</v>
      </c>
      <c r="C204" s="480">
        <f>SUMIF(DATA!$A:$A,"10-"&amp;LEFT($B204,4)&amp;"*-0*",DATA!$F:$F)</f>
        <v>0</v>
      </c>
      <c r="D204" s="466"/>
      <c r="E204" s="468"/>
      <c r="F204" s="466"/>
      <c r="G204" s="466"/>
      <c r="H204" s="468"/>
      <c r="I204" s="468"/>
      <c r="J204" s="468"/>
      <c r="K204" s="468"/>
    </row>
    <row r="205" spans="1:11" ht="12.75" customHeight="1" x14ac:dyDescent="0.2">
      <c r="A205" s="463" t="s">
        <v>975</v>
      </c>
      <c r="B205" s="470">
        <v>4332</v>
      </c>
      <c r="C205" s="480">
        <f>SUMIF(DATA!$A:$A,"10-"&amp;LEFT($B205,4)&amp;"*-0*",DATA!$F:$F)</f>
        <v>0</v>
      </c>
      <c r="D205" s="466"/>
      <c r="E205" s="468"/>
      <c r="F205" s="466"/>
      <c r="G205" s="466"/>
      <c r="H205" s="468"/>
      <c r="I205" s="468"/>
      <c r="J205" s="468"/>
      <c r="K205" s="468"/>
    </row>
    <row r="206" spans="1:11" ht="12.75" customHeight="1" x14ac:dyDescent="0.2">
      <c r="A206" s="463" t="s">
        <v>1088</v>
      </c>
      <c r="B206" s="470">
        <v>4334</v>
      </c>
      <c r="C206" s="480">
        <f>SUMIF(DATA!$A:$A,"10-"&amp;LEFT($B206,4)&amp;"*-0*",DATA!$F:$F)</f>
        <v>0</v>
      </c>
      <c r="D206" s="466"/>
      <c r="E206" s="468"/>
      <c r="F206" s="466"/>
      <c r="G206" s="466"/>
      <c r="H206" s="468"/>
      <c r="I206" s="468"/>
      <c r="J206" s="468"/>
      <c r="K206" s="468"/>
    </row>
    <row r="207" spans="1:11" ht="12.75" customHeight="1" x14ac:dyDescent="0.2">
      <c r="A207" s="463" t="s">
        <v>1089</v>
      </c>
      <c r="B207" s="470">
        <v>4335</v>
      </c>
      <c r="C207" s="480">
        <f>SUMIF(DATA!$A:$A,"10-"&amp;LEFT($B207,4)&amp;"*-0*",DATA!$F:$F)</f>
        <v>0</v>
      </c>
      <c r="D207" s="466"/>
      <c r="E207" s="468"/>
      <c r="F207" s="466"/>
      <c r="G207" s="466"/>
      <c r="H207" s="468"/>
      <c r="I207" s="468"/>
      <c r="J207" s="468"/>
      <c r="K207" s="468"/>
    </row>
    <row r="208" spans="1:11" ht="12.75" customHeight="1" x14ac:dyDescent="0.2">
      <c r="A208" s="463" t="s">
        <v>1152</v>
      </c>
      <c r="B208" s="470">
        <v>4337</v>
      </c>
      <c r="C208" s="480">
        <f>SUMIF(DATA!$A:$A,"10-"&amp;LEFT($B208,4)&amp;"*-0*",DATA!$F:$F)</f>
        <v>0</v>
      </c>
      <c r="D208" s="467"/>
      <c r="E208" s="468"/>
      <c r="F208" s="467"/>
      <c r="G208" s="467"/>
      <c r="H208" s="468"/>
      <c r="I208" s="468"/>
      <c r="J208" s="468"/>
      <c r="K208" s="468"/>
    </row>
    <row r="209" spans="1:11" ht="12.75" customHeight="1" x14ac:dyDescent="0.2">
      <c r="A209" s="463" t="s">
        <v>1090</v>
      </c>
      <c r="B209" s="470">
        <v>4340</v>
      </c>
      <c r="C209" s="480">
        <f>SUMIF(DATA!$A:$A,"10-"&amp;LEFT($B209,4)&amp;"*-0*",DATA!$F:$F)</f>
        <v>0</v>
      </c>
      <c r="D209" s="466"/>
      <c r="E209" s="468"/>
      <c r="F209" s="466"/>
      <c r="G209" s="466"/>
      <c r="H209" s="468"/>
      <c r="I209" s="468"/>
      <c r="J209" s="468"/>
      <c r="K209" s="468"/>
    </row>
    <row r="210" spans="1:11" ht="12.75" customHeight="1" x14ac:dyDescent="0.2">
      <c r="A210" s="463" t="s">
        <v>74</v>
      </c>
      <c r="B210" s="470">
        <v>4399</v>
      </c>
      <c r="C210" s="480">
        <f>SUMIF(DATA!$A:$A,"10-"&amp;LEFT($B210,4)&amp;"*-0*",DATA!$F:$F)</f>
        <v>0</v>
      </c>
      <c r="D210" s="466"/>
      <c r="E210" s="468"/>
      <c r="F210" s="466"/>
      <c r="G210" s="466"/>
      <c r="H210" s="468"/>
      <c r="I210" s="468"/>
      <c r="J210" s="468"/>
      <c r="K210" s="468"/>
    </row>
    <row r="211" spans="1:11" ht="12.75" customHeight="1" thickBot="1" x14ac:dyDescent="0.25">
      <c r="A211" s="1720" t="s">
        <v>419</v>
      </c>
      <c r="B211" s="1721"/>
      <c r="C211" s="1719">
        <f>SUM(C203:C210)</f>
        <v>276273</v>
      </c>
      <c r="D211" s="1719">
        <f>SUM(D203:D210)</f>
        <v>0</v>
      </c>
      <c r="E211" s="468"/>
      <c r="F211" s="1719">
        <f>SUM(F203:F210)</f>
        <v>0</v>
      </c>
      <c r="G211" s="1719">
        <f>SUM(G203:G210)</f>
        <v>0</v>
      </c>
      <c r="H211" s="468"/>
      <c r="I211" s="468"/>
      <c r="J211" s="468"/>
      <c r="K211" s="468"/>
    </row>
    <row r="212" spans="1:11" ht="15.75" customHeight="1" thickTop="1" x14ac:dyDescent="0.2">
      <c r="A212" s="1612" t="s">
        <v>1200</v>
      </c>
      <c r="B212" s="1617"/>
      <c r="C212" s="550"/>
      <c r="D212" s="550"/>
      <c r="E212" s="468"/>
      <c r="F212" s="550"/>
      <c r="G212" s="550"/>
      <c r="H212" s="468"/>
      <c r="I212" s="468"/>
      <c r="J212" s="468"/>
      <c r="K212" s="468"/>
    </row>
    <row r="213" spans="1:11" ht="12.75" customHeight="1" x14ac:dyDescent="0.2">
      <c r="A213" s="463" t="s">
        <v>782</v>
      </c>
      <c r="B213" s="470">
        <v>4400</v>
      </c>
      <c r="C213" s="480">
        <f>SUMIF(DATA!$A:$A,"10-"&amp;LEFT($B213,4)&amp;"*-0*",DATA!$F:$F)</f>
        <v>0</v>
      </c>
      <c r="D213" s="466"/>
      <c r="E213" s="468"/>
      <c r="F213" s="466"/>
      <c r="G213" s="466"/>
      <c r="H213" s="468"/>
      <c r="I213" s="468"/>
      <c r="J213" s="468"/>
      <c r="K213" s="468"/>
    </row>
    <row r="214" spans="1:11" ht="12.75" customHeight="1" x14ac:dyDescent="0.2">
      <c r="A214" s="463" t="s">
        <v>1527</v>
      </c>
      <c r="B214" s="470">
        <v>4421</v>
      </c>
      <c r="C214" s="480">
        <f>SUMIF(DATA!$A:$A,"10-"&amp;LEFT($B214,4)&amp;"*-0*",DATA!$F:$F)</f>
        <v>0</v>
      </c>
      <c r="D214" s="466"/>
      <c r="E214" s="468"/>
      <c r="F214" s="466"/>
      <c r="G214" s="466"/>
      <c r="H214" s="468"/>
      <c r="I214" s="468"/>
      <c r="J214" s="468"/>
      <c r="K214" s="468"/>
    </row>
    <row r="215" spans="1:11" ht="12.75" customHeight="1" x14ac:dyDescent="0.2">
      <c r="A215" s="463" t="s">
        <v>75</v>
      </c>
      <c r="B215" s="470">
        <v>4499</v>
      </c>
      <c r="C215" s="480">
        <f>SUMIF(DATA!$A:$A,"10-"&amp;LEFT($B215,4)&amp;"*-0*",DATA!$F:$F)</f>
        <v>0</v>
      </c>
      <c r="D215" s="466"/>
      <c r="E215" s="468"/>
      <c r="F215" s="466"/>
      <c r="G215" s="466"/>
      <c r="H215" s="468"/>
      <c r="I215" s="468"/>
      <c r="J215" s="468"/>
      <c r="K215" s="468"/>
    </row>
    <row r="216" spans="1:11" ht="12.75" customHeight="1" thickBot="1" x14ac:dyDescent="0.25">
      <c r="A216" s="1720" t="s">
        <v>943</v>
      </c>
      <c r="B216" s="1721"/>
      <c r="C216" s="1719">
        <f>SUM(C213:C215)</f>
        <v>0</v>
      </c>
      <c r="D216" s="1719">
        <f>SUM(D213:D215)</f>
        <v>0</v>
      </c>
      <c r="E216" s="468" t="s">
        <v>1230</v>
      </c>
      <c r="F216" s="1719">
        <f>SUM(F213:F215)</f>
        <v>0</v>
      </c>
      <c r="G216" s="1719">
        <f>SUM(G213:G215)</f>
        <v>0</v>
      </c>
      <c r="H216" s="468"/>
      <c r="I216" s="468"/>
      <c r="J216" s="468"/>
      <c r="K216" s="468"/>
    </row>
    <row r="217" spans="1:11" ht="15.75" customHeight="1" thickTop="1" x14ac:dyDescent="0.2">
      <c r="A217" s="1612" t="s">
        <v>1153</v>
      </c>
      <c r="B217" s="1617"/>
      <c r="C217" s="550"/>
      <c r="D217" s="550"/>
      <c r="E217" s="468"/>
      <c r="F217" s="550"/>
      <c r="G217" s="550"/>
      <c r="H217" s="468"/>
      <c r="I217" s="468"/>
      <c r="J217" s="468"/>
      <c r="K217" s="468"/>
    </row>
    <row r="218" spans="1:11" ht="12.75" customHeight="1" x14ac:dyDescent="0.2">
      <c r="A218" s="463" t="s">
        <v>1111</v>
      </c>
      <c r="B218" s="470">
        <v>4600</v>
      </c>
      <c r="C218" s="480">
        <f>ROUND(SUMIF(DATA!$A:$A,MID(C$1,2,2)&amp;"-"&amp;LEFT($B218,4)&amp;"*-0*",DATA!$F:$F),0)</f>
        <v>0</v>
      </c>
      <c r="D218" s="466"/>
      <c r="E218" s="468"/>
      <c r="F218" s="466"/>
      <c r="G218" s="466"/>
      <c r="H218" s="468"/>
      <c r="I218" s="468"/>
      <c r="J218" s="468"/>
      <c r="K218" s="468"/>
    </row>
    <row r="219" spans="1:11" ht="12.75" customHeight="1" x14ac:dyDescent="0.2">
      <c r="A219" s="463" t="s">
        <v>1112</v>
      </c>
      <c r="B219" s="470">
        <v>4605</v>
      </c>
      <c r="C219" s="480">
        <f>ROUND(SUMIF(DATA!$A:$A,MID(C$1,2,2)&amp;"-"&amp;LEFT($B219,4)&amp;"*-0*",DATA!$F:$F),0)</f>
        <v>0</v>
      </c>
      <c r="D219" s="466"/>
      <c r="E219" s="468"/>
      <c r="F219" s="466"/>
      <c r="G219" s="466"/>
      <c r="H219" s="468"/>
      <c r="I219" s="468"/>
      <c r="J219" s="468"/>
      <c r="K219" s="468"/>
    </row>
    <row r="220" spans="1:11" ht="12.75" customHeight="1" x14ac:dyDescent="0.2">
      <c r="A220" s="463" t="s">
        <v>1528</v>
      </c>
      <c r="B220" s="554">
        <v>4620</v>
      </c>
      <c r="C220" s="480">
        <f>ROUND(SUMIF(DATA!$A:$A,MID(C$1,2,2)&amp;"-"&amp;LEFT($B220,4)&amp;"*-0*",DATA!$F:$F),0)</f>
        <v>200141</v>
      </c>
      <c r="D220" s="466"/>
      <c r="E220" s="468"/>
      <c r="F220" s="466"/>
      <c r="G220" s="466"/>
      <c r="H220" s="468"/>
      <c r="I220" s="468"/>
      <c r="J220" s="468"/>
      <c r="K220" s="468"/>
    </row>
    <row r="221" spans="1:11" ht="12.75" customHeight="1" x14ac:dyDescent="0.2">
      <c r="A221" s="463" t="s">
        <v>1113</v>
      </c>
      <c r="B221" s="470">
        <v>4625</v>
      </c>
      <c r="C221" s="480">
        <f>ROUND(SUMIF(DATA!$A:$A,MID(C$1,2,2)&amp;"-"&amp;LEFT($B221,4)&amp;"*-0*",DATA!$F:$F),0)</f>
        <v>40346</v>
      </c>
      <c r="D221" s="466"/>
      <c r="E221" s="468"/>
      <c r="F221" s="466"/>
      <c r="G221" s="466"/>
      <c r="H221" s="468"/>
      <c r="I221" s="468"/>
      <c r="J221" s="468"/>
      <c r="K221" s="468"/>
    </row>
    <row r="222" spans="1:11" ht="12.75" customHeight="1" x14ac:dyDescent="0.2">
      <c r="A222" s="463" t="s">
        <v>1114</v>
      </c>
      <c r="B222" s="470">
        <v>4630</v>
      </c>
      <c r="C222" s="480">
        <f>ROUND(SUMIF(DATA!$A:$A,MID(C$1,2,2)&amp;"-"&amp;LEFT($B222,4)&amp;"*-0*",DATA!$F:$F),0)</f>
        <v>0</v>
      </c>
      <c r="D222" s="466"/>
      <c r="E222" s="468"/>
      <c r="F222" s="466"/>
      <c r="G222" s="466"/>
      <c r="H222" s="468"/>
      <c r="I222" s="468"/>
      <c r="J222" s="468"/>
      <c r="K222" s="468"/>
    </row>
    <row r="223" spans="1:11" ht="12.75" customHeight="1" x14ac:dyDescent="0.2">
      <c r="A223" s="1513" t="s">
        <v>76</v>
      </c>
      <c r="B223" s="554">
        <v>4699</v>
      </c>
      <c r="C223" s="480">
        <f>ROUND(SUMIF(DATA!$A:$A,MID(C$1,2,2)&amp;"-"&amp;LEFT($B223,4)&amp;"*-0*",DATA!$F:$F),0)</f>
        <v>0</v>
      </c>
      <c r="D223" s="466"/>
      <c r="E223" s="468"/>
      <c r="F223" s="466"/>
      <c r="G223" s="466"/>
      <c r="H223" s="468"/>
      <c r="I223" s="468"/>
      <c r="J223" s="468"/>
      <c r="K223" s="468"/>
    </row>
    <row r="224" spans="1:11" ht="12.75" customHeight="1" thickBot="1" x14ac:dyDescent="0.25">
      <c r="A224" s="1720" t="s">
        <v>466</v>
      </c>
      <c r="B224" s="1721"/>
      <c r="C224" s="1719">
        <f>SUM(C218:C223)</f>
        <v>240487</v>
      </c>
      <c r="D224" s="1719">
        <f>SUM(D218:D223)</f>
        <v>0</v>
      </c>
      <c r="E224" s="468"/>
      <c r="F224" s="1719">
        <f>SUM(F218:F223)</f>
        <v>0</v>
      </c>
      <c r="G224" s="1719">
        <f>SUM(G218:G223)</f>
        <v>0</v>
      </c>
      <c r="H224" s="468"/>
      <c r="I224" s="468"/>
      <c r="J224" s="468"/>
      <c r="K224" s="468"/>
    </row>
    <row r="225" spans="1:11" ht="15.75" customHeight="1" thickTop="1" x14ac:dyDescent="0.2">
      <c r="A225" s="1612" t="s">
        <v>1154</v>
      </c>
      <c r="B225" s="1617"/>
      <c r="C225" s="550"/>
      <c r="D225" s="550"/>
      <c r="E225" s="468"/>
      <c r="F225" s="550"/>
      <c r="G225" s="550"/>
      <c r="H225" s="468"/>
      <c r="I225" s="468"/>
      <c r="J225" s="468"/>
      <c r="K225" s="468"/>
    </row>
    <row r="226" spans="1:11" ht="12.75" customHeight="1" x14ac:dyDescent="0.2">
      <c r="A226" s="463" t="s">
        <v>819</v>
      </c>
      <c r="B226" s="470">
        <v>4770</v>
      </c>
      <c r="C226" s="480">
        <f>SUMIF(DATA!$A:$A,"10-"&amp;LEFT($B226,4)&amp;"*-0*",DATA!$F:$F)</f>
        <v>0</v>
      </c>
      <c r="D226" s="466"/>
      <c r="E226" s="468"/>
      <c r="F226" s="468"/>
      <c r="G226" s="466"/>
      <c r="H226" s="468"/>
      <c r="I226" s="468"/>
      <c r="J226" s="468"/>
      <c r="K226" s="468"/>
    </row>
    <row r="227" spans="1:11" ht="12.75" customHeight="1" x14ac:dyDescent="0.2">
      <c r="A227" s="463" t="s">
        <v>69</v>
      </c>
      <c r="B227" s="470">
        <v>4799</v>
      </c>
      <c r="C227" s="480">
        <f>SUMIF(DATA!$A:$A,"10-"&amp;LEFT($B227,4)&amp;"*-0*",DATA!$F:$F)</f>
        <v>0</v>
      </c>
      <c r="D227" s="466"/>
      <c r="E227" s="468"/>
      <c r="F227" s="468"/>
      <c r="G227" s="466"/>
      <c r="H227" s="468"/>
      <c r="I227" s="468"/>
      <c r="J227" s="468"/>
      <c r="K227" s="468"/>
    </row>
    <row r="228" spans="1:11" ht="12.75" customHeight="1" thickBot="1" x14ac:dyDescent="0.25">
      <c r="A228" s="1735" t="s">
        <v>1144</v>
      </c>
      <c r="B228" s="1736"/>
      <c r="C228" s="1719">
        <f>SUM(C226:C227)</f>
        <v>0</v>
      </c>
      <c r="D228" s="1719">
        <f>SUM(D226:D227)</f>
        <v>0</v>
      </c>
      <c r="E228" s="468"/>
      <c r="F228" s="468"/>
      <c r="G228" s="1719">
        <f>SUM(G226:G227)</f>
        <v>0</v>
      </c>
      <c r="H228" s="468"/>
      <c r="I228" s="468"/>
      <c r="J228" s="468"/>
      <c r="K228" s="468"/>
    </row>
    <row r="229" spans="1:11" ht="12.75" customHeight="1" thickTop="1" thickBot="1" x14ac:dyDescent="0.25">
      <c r="A229" s="492" t="s">
        <v>780</v>
      </c>
      <c r="B229" s="490">
        <v>4810</v>
      </c>
      <c r="C229" s="480"/>
      <c r="D229" s="572"/>
      <c r="E229" s="468"/>
      <c r="F229" s="468"/>
      <c r="G229" s="572"/>
      <c r="H229" s="468"/>
      <c r="I229" s="468"/>
      <c r="J229" s="468"/>
      <c r="K229" s="468"/>
    </row>
    <row r="230" spans="1:11" ht="12.75" customHeight="1" thickTop="1" x14ac:dyDescent="0.2">
      <c r="A230" s="492" t="s">
        <v>367</v>
      </c>
      <c r="B230" s="490">
        <v>4850</v>
      </c>
      <c r="C230" s="480">
        <f>SUMIF(DATA!$A:$A,"10-"&amp;LEFT($B230,4)&amp;"*-0*",DATA!$F:$F)</f>
        <v>0</v>
      </c>
      <c r="D230" s="467"/>
      <c r="E230" s="467"/>
      <c r="F230" s="467"/>
      <c r="G230" s="467"/>
      <c r="H230" s="467"/>
      <c r="I230" s="468"/>
      <c r="J230" s="467"/>
      <c r="K230" s="467"/>
    </row>
    <row r="231" spans="1:11" ht="12.75" customHeight="1" x14ac:dyDescent="0.2">
      <c r="A231" s="492" t="s">
        <v>368</v>
      </c>
      <c r="B231" s="490">
        <v>4851</v>
      </c>
      <c r="C231" s="480">
        <f>SUMIF(DATA!$A:$A,"10-"&amp;LEFT($B231,4)&amp;"*-0*",DATA!$F:$F)</f>
        <v>0</v>
      </c>
      <c r="D231" s="467"/>
      <c r="E231" s="468"/>
      <c r="F231" s="474"/>
      <c r="G231" s="467"/>
      <c r="H231" s="468"/>
      <c r="I231" s="468"/>
      <c r="J231" s="468"/>
      <c r="K231" s="468"/>
    </row>
    <row r="232" spans="1:11" ht="12.75" customHeight="1" x14ac:dyDescent="0.2">
      <c r="A232" s="492" t="s">
        <v>369</v>
      </c>
      <c r="B232" s="490">
        <v>4852</v>
      </c>
      <c r="C232" s="480">
        <f>SUMIF(DATA!$A:$A,"10-"&amp;LEFT($B232,4)&amp;"*-0*",DATA!$F:$F)</f>
        <v>0</v>
      </c>
      <c r="D232" s="467"/>
      <c r="E232" s="467"/>
      <c r="F232" s="467"/>
      <c r="G232" s="467"/>
      <c r="H232" s="467"/>
      <c r="I232" s="468"/>
      <c r="J232" s="467"/>
      <c r="K232" s="467"/>
    </row>
    <row r="233" spans="1:11" ht="12.75" customHeight="1" x14ac:dyDescent="0.2">
      <c r="A233" s="492" t="s">
        <v>370</v>
      </c>
      <c r="B233" s="490">
        <v>4853</v>
      </c>
      <c r="C233" s="480">
        <f>SUMIF(DATA!$A:$A,"10-"&amp;LEFT($B233,4)&amp;"*-0*",DATA!$F:$F)</f>
        <v>0</v>
      </c>
      <c r="D233" s="467"/>
      <c r="E233" s="467"/>
      <c r="F233" s="467"/>
      <c r="G233" s="467"/>
      <c r="H233" s="467"/>
      <c r="I233" s="468"/>
      <c r="J233" s="467"/>
      <c r="K233" s="467"/>
    </row>
    <row r="234" spans="1:11" ht="12.75" customHeight="1" x14ac:dyDescent="0.2">
      <c r="A234" s="492" t="s">
        <v>371</v>
      </c>
      <c r="B234" s="490">
        <v>4854</v>
      </c>
      <c r="C234" s="480">
        <f>SUMIF(DATA!$A:$A,"10-"&amp;LEFT($B234,4)&amp;"*-0*",DATA!$F:$F)</f>
        <v>0</v>
      </c>
      <c r="D234" s="467"/>
      <c r="E234" s="467"/>
      <c r="F234" s="467"/>
      <c r="G234" s="467"/>
      <c r="H234" s="467"/>
      <c r="I234" s="468"/>
      <c r="J234" s="467"/>
      <c r="K234" s="467"/>
    </row>
    <row r="235" spans="1:11" ht="12.75" customHeight="1" x14ac:dyDescent="0.2">
      <c r="A235" s="492" t="s">
        <v>483</v>
      </c>
      <c r="B235" s="490">
        <v>4855</v>
      </c>
      <c r="C235" s="480">
        <f>SUMIF(DATA!$A:$A,"10-"&amp;LEFT($B235,4)&amp;"*-0*",DATA!$F:$F)</f>
        <v>0</v>
      </c>
      <c r="D235" s="467"/>
      <c r="E235" s="467"/>
      <c r="F235" s="467"/>
      <c r="G235" s="467"/>
      <c r="H235" s="467"/>
      <c r="I235" s="468"/>
      <c r="J235" s="467"/>
      <c r="K235" s="467"/>
    </row>
    <row r="236" spans="1:11" ht="12.75" customHeight="1" x14ac:dyDescent="0.2">
      <c r="A236" s="492" t="s">
        <v>372</v>
      </c>
      <c r="B236" s="490">
        <v>4856</v>
      </c>
      <c r="C236" s="480">
        <f>SUMIF(DATA!$A:$A,"10-"&amp;LEFT($B236,4)&amp;"*-0*",DATA!$F:$F)</f>
        <v>0</v>
      </c>
      <c r="D236" s="467"/>
      <c r="E236" s="467"/>
      <c r="F236" s="467"/>
      <c r="G236" s="467"/>
      <c r="H236" s="467"/>
      <c r="I236" s="468"/>
      <c r="J236" s="467"/>
      <c r="K236" s="467"/>
    </row>
    <row r="237" spans="1:11" ht="12.75" customHeight="1" x14ac:dyDescent="0.2">
      <c r="A237" s="492" t="s">
        <v>373</v>
      </c>
      <c r="B237" s="490">
        <v>4857</v>
      </c>
      <c r="C237" s="480">
        <f>SUMIF(DATA!$A:$A,"10-"&amp;LEFT($B237,4)&amp;"*-0*",DATA!$F:$F)</f>
        <v>0</v>
      </c>
      <c r="D237" s="467"/>
      <c r="E237" s="467"/>
      <c r="F237" s="467"/>
      <c r="G237" s="467"/>
      <c r="H237" s="467"/>
      <c r="I237" s="468"/>
      <c r="J237" s="467"/>
      <c r="K237" s="467"/>
    </row>
    <row r="238" spans="1:11" ht="12.75" customHeight="1" x14ac:dyDescent="0.2">
      <c r="A238" s="492" t="s">
        <v>374</v>
      </c>
      <c r="B238" s="490">
        <v>4860</v>
      </c>
      <c r="C238" s="480">
        <f>SUMIF(DATA!$A:$A,"10-"&amp;LEFT($B238,4)&amp;"*-0*",DATA!$F:$F)</f>
        <v>0</v>
      </c>
      <c r="D238" s="467"/>
      <c r="E238" s="467"/>
      <c r="F238" s="467"/>
      <c r="G238" s="467"/>
      <c r="H238" s="467"/>
      <c r="I238" s="468"/>
      <c r="J238" s="467"/>
      <c r="K238" s="467"/>
    </row>
    <row r="239" spans="1:11" ht="12.75" customHeight="1" x14ac:dyDescent="0.2">
      <c r="A239" s="492" t="s">
        <v>375</v>
      </c>
      <c r="B239" s="490">
        <v>4861</v>
      </c>
      <c r="C239" s="480">
        <f>SUMIF(DATA!$A:$A,"10-"&amp;LEFT($B239,4)&amp;"*-0*",DATA!$F:$F)</f>
        <v>0</v>
      </c>
      <c r="D239" s="467"/>
      <c r="E239" s="467"/>
      <c r="F239" s="467"/>
      <c r="G239" s="467"/>
      <c r="H239" s="467"/>
      <c r="I239" s="468"/>
      <c r="J239" s="467"/>
      <c r="K239" s="467"/>
    </row>
    <row r="240" spans="1:11" ht="12.75" customHeight="1" x14ac:dyDescent="0.2">
      <c r="A240" s="492" t="s">
        <v>376</v>
      </c>
      <c r="B240" s="490">
        <v>4862</v>
      </c>
      <c r="C240" s="480">
        <f>SUMIF(DATA!$A:$A,"10-"&amp;LEFT($B240,4)&amp;"*-0*",DATA!$F:$F)</f>
        <v>0</v>
      </c>
      <c r="D240" s="467"/>
      <c r="E240" s="475"/>
      <c r="F240" s="467"/>
      <c r="G240" s="467"/>
      <c r="H240" s="475"/>
      <c r="I240" s="468"/>
      <c r="J240" s="475"/>
      <c r="K240" s="475"/>
    </row>
    <row r="241" spans="1:11" ht="12.75" customHeight="1" x14ac:dyDescent="0.2">
      <c r="A241" s="492" t="s">
        <v>377</v>
      </c>
      <c r="B241" s="490">
        <v>4863</v>
      </c>
      <c r="C241" s="480">
        <f>SUMIF(DATA!$A:$A,"10-"&amp;LEFT($B241,4)&amp;"*-0*",DATA!$F:$F)</f>
        <v>0</v>
      </c>
      <c r="D241" s="467"/>
      <c r="E241" s="468"/>
      <c r="F241" s="475"/>
      <c r="G241" s="525"/>
      <c r="H241" s="468"/>
      <c r="I241" s="468"/>
      <c r="J241" s="468"/>
      <c r="K241" s="468"/>
    </row>
    <row r="242" spans="1:11" ht="12.75" customHeight="1" x14ac:dyDescent="0.2">
      <c r="A242" s="492" t="s">
        <v>488</v>
      </c>
      <c r="B242" s="490">
        <v>4864</v>
      </c>
      <c r="C242" s="480">
        <f>SUMIF(DATA!$A:$A,"10-"&amp;LEFT($B242,4)&amp;"*-0*",DATA!$F:$F)</f>
        <v>0</v>
      </c>
      <c r="D242" s="467"/>
      <c r="E242" s="467"/>
      <c r="F242" s="467"/>
      <c r="G242" s="467"/>
      <c r="H242" s="467"/>
      <c r="I242" s="468"/>
      <c r="J242" s="467"/>
      <c r="K242" s="467"/>
    </row>
    <row r="243" spans="1:11" ht="12.75" customHeight="1" x14ac:dyDescent="0.2">
      <c r="A243" s="492" t="s">
        <v>489</v>
      </c>
      <c r="B243" s="490">
        <v>4865</v>
      </c>
      <c r="C243" s="480">
        <f>SUMIF(DATA!$A:$A,"10-"&amp;LEFT($B243,4)&amp;"*-0*",DATA!$F:$F)</f>
        <v>0</v>
      </c>
      <c r="D243" s="467"/>
      <c r="E243" s="467"/>
      <c r="F243" s="467"/>
      <c r="G243" s="467"/>
      <c r="H243" s="467"/>
      <c r="I243" s="468"/>
      <c r="J243" s="467"/>
      <c r="K243" s="467"/>
    </row>
    <row r="244" spans="1:11" ht="12.75" customHeight="1" x14ac:dyDescent="0.2">
      <c r="A244" s="492" t="s">
        <v>487</v>
      </c>
      <c r="B244" s="490">
        <v>4866</v>
      </c>
      <c r="C244" s="480">
        <f>SUMIF(DATA!$A:$A,"10-"&amp;LEFT($B244,4)&amp;"*-0*",DATA!$F:$F)</f>
        <v>0</v>
      </c>
      <c r="D244" s="467"/>
      <c r="E244" s="467"/>
      <c r="F244" s="467"/>
      <c r="G244" s="467"/>
      <c r="H244" s="467"/>
      <c r="I244" s="468"/>
      <c r="J244" s="467"/>
      <c r="K244" s="467"/>
    </row>
    <row r="245" spans="1:11" ht="12.75" customHeight="1" x14ac:dyDescent="0.2">
      <c r="A245" s="492" t="s">
        <v>486</v>
      </c>
      <c r="B245" s="490">
        <v>4867</v>
      </c>
      <c r="C245" s="480">
        <f>SUMIF(DATA!$A:$A,"10-"&amp;LEFT($B245,4)&amp;"*-0*",DATA!$F:$F)</f>
        <v>0</v>
      </c>
      <c r="D245" s="467"/>
      <c r="E245" s="467"/>
      <c r="F245" s="467"/>
      <c r="G245" s="467"/>
      <c r="H245" s="467"/>
      <c r="I245" s="468"/>
      <c r="J245" s="467"/>
      <c r="K245" s="467"/>
    </row>
    <row r="246" spans="1:11" ht="12.75" customHeight="1" x14ac:dyDescent="0.2">
      <c r="A246" s="492" t="s">
        <v>485</v>
      </c>
      <c r="B246" s="490">
        <v>4868</v>
      </c>
      <c r="C246" s="480">
        <f>SUMIF(DATA!$A:$A,"10-"&amp;LEFT($B246,4)&amp;"*-0*",DATA!$F:$F)</f>
        <v>0</v>
      </c>
      <c r="D246" s="467"/>
      <c r="E246" s="467"/>
      <c r="F246" s="467"/>
      <c r="G246" s="467"/>
      <c r="H246" s="467"/>
      <c r="I246" s="468"/>
      <c r="J246" s="467"/>
      <c r="K246" s="467"/>
    </row>
    <row r="247" spans="1:11" ht="12.75" customHeight="1" x14ac:dyDescent="0.2">
      <c r="A247" s="492" t="s">
        <v>484</v>
      </c>
      <c r="B247" s="490">
        <v>4869</v>
      </c>
      <c r="C247" s="480">
        <f>SUMIF(DATA!$A:$A,"10-"&amp;LEFT($B247,4)&amp;"*-0*",DATA!$F:$F)</f>
        <v>0</v>
      </c>
      <c r="D247" s="467"/>
      <c r="E247" s="467"/>
      <c r="F247" s="467"/>
      <c r="G247" s="467"/>
      <c r="H247" s="467"/>
      <c r="I247" s="468"/>
      <c r="J247" s="467"/>
      <c r="K247" s="467"/>
    </row>
    <row r="248" spans="1:11" ht="12.75" customHeight="1" x14ac:dyDescent="0.2">
      <c r="A248" s="492" t="s">
        <v>1189</v>
      </c>
      <c r="B248" s="490">
        <v>4870</v>
      </c>
      <c r="C248" s="480">
        <f>SUMIF(DATA!$A:$A,"10-"&amp;LEFT($B248,4)&amp;"*-0*",DATA!$F:$F)</f>
        <v>0</v>
      </c>
      <c r="D248" s="467"/>
      <c r="E248" s="467"/>
      <c r="F248" s="467"/>
      <c r="G248" s="467"/>
      <c r="H248" s="467"/>
      <c r="I248" s="468"/>
      <c r="J248" s="467"/>
      <c r="K248" s="467"/>
    </row>
    <row r="249" spans="1:11" ht="12.75" customHeight="1" x14ac:dyDescent="0.2">
      <c r="A249" s="492" t="s">
        <v>820</v>
      </c>
      <c r="B249" s="490">
        <v>4871</v>
      </c>
      <c r="C249" s="480">
        <f>SUMIF(DATA!$A:$A,"10-"&amp;LEFT($B249,4)&amp;"*-0*",DATA!$F:$F)</f>
        <v>0</v>
      </c>
      <c r="D249" s="467"/>
      <c r="E249" s="467"/>
      <c r="F249" s="467"/>
      <c r="G249" s="467"/>
      <c r="H249" s="467"/>
      <c r="I249" s="468"/>
      <c r="J249" s="467"/>
      <c r="K249" s="467"/>
    </row>
    <row r="250" spans="1:11" ht="12.75" customHeight="1" x14ac:dyDescent="0.2">
      <c r="A250" s="492" t="s">
        <v>821</v>
      </c>
      <c r="B250" s="490">
        <v>4872</v>
      </c>
      <c r="C250" s="480">
        <f>SUMIF(DATA!$A:$A,"10-"&amp;LEFT($B250,4)&amp;"*-0*",DATA!$F:$F)</f>
        <v>0</v>
      </c>
      <c r="D250" s="467"/>
      <c r="E250" s="467"/>
      <c r="F250" s="467"/>
      <c r="G250" s="467"/>
      <c r="H250" s="467"/>
      <c r="I250" s="468"/>
      <c r="J250" s="467"/>
      <c r="K250" s="467"/>
    </row>
    <row r="251" spans="1:11" ht="12.75" customHeight="1" x14ac:dyDescent="0.2">
      <c r="A251" s="492" t="s">
        <v>822</v>
      </c>
      <c r="B251" s="490">
        <v>4873</v>
      </c>
      <c r="C251" s="480">
        <f>SUMIF(DATA!$A:$A,"10-"&amp;LEFT($B251,4)&amp;"*-0*",DATA!$F:$F)</f>
        <v>0</v>
      </c>
      <c r="D251" s="467"/>
      <c r="E251" s="467"/>
      <c r="F251" s="467"/>
      <c r="G251" s="467"/>
      <c r="H251" s="467"/>
      <c r="I251" s="468"/>
      <c r="J251" s="467"/>
      <c r="K251" s="467"/>
    </row>
    <row r="252" spans="1:11" ht="12.75" customHeight="1" x14ac:dyDescent="0.2">
      <c r="A252" s="492" t="s">
        <v>823</v>
      </c>
      <c r="B252" s="490">
        <v>4874</v>
      </c>
      <c r="C252" s="480">
        <f>SUMIF(DATA!$A:$A,"10-"&amp;LEFT($B252,4)&amp;"*-0*",DATA!$F:$F)</f>
        <v>0</v>
      </c>
      <c r="D252" s="467"/>
      <c r="E252" s="467"/>
      <c r="F252" s="467"/>
      <c r="G252" s="467"/>
      <c r="H252" s="467"/>
      <c r="I252" s="468"/>
      <c r="J252" s="467"/>
      <c r="K252" s="467"/>
    </row>
    <row r="253" spans="1:11" ht="12.75" customHeight="1" x14ac:dyDescent="0.2">
      <c r="A253" s="492" t="s">
        <v>490</v>
      </c>
      <c r="B253" s="490">
        <v>4875</v>
      </c>
      <c r="C253" s="480">
        <f>SUMIF(DATA!$A:$A,"10-"&amp;LEFT($B253,4)&amp;"*-0*",DATA!$F:$F)</f>
        <v>0</v>
      </c>
      <c r="D253" s="467"/>
      <c r="E253" s="467"/>
      <c r="F253" s="467"/>
      <c r="G253" s="467"/>
      <c r="H253" s="467"/>
      <c r="I253" s="468"/>
      <c r="J253" s="467"/>
      <c r="K253" s="467"/>
    </row>
    <row r="254" spans="1:11" ht="12.75" customHeight="1" x14ac:dyDescent="0.2">
      <c r="A254" s="492" t="s">
        <v>793</v>
      </c>
      <c r="B254" s="490">
        <v>4876</v>
      </c>
      <c r="C254" s="480">
        <f>SUMIF(DATA!$A:$A,"10-"&amp;LEFT($B254,4)&amp;"*-0*",DATA!$F:$F)</f>
        <v>0</v>
      </c>
      <c r="D254" s="467"/>
      <c r="E254" s="467"/>
      <c r="F254" s="467"/>
      <c r="G254" s="467"/>
      <c r="H254" s="467"/>
      <c r="I254" s="468"/>
      <c r="J254" s="467"/>
      <c r="K254" s="467"/>
    </row>
    <row r="255" spans="1:11" ht="12.75" customHeight="1" x14ac:dyDescent="0.2">
      <c r="A255" s="492" t="s">
        <v>794</v>
      </c>
      <c r="B255" s="490">
        <v>4877</v>
      </c>
      <c r="C255" s="480">
        <f>SUMIF(DATA!$A:$A,"10-"&amp;LEFT($B255,4)&amp;"*-0*",DATA!$F:$F)</f>
        <v>0</v>
      </c>
      <c r="D255" s="467"/>
      <c r="E255" s="467"/>
      <c r="F255" s="467"/>
      <c r="G255" s="467"/>
      <c r="H255" s="467"/>
      <c r="I255" s="468"/>
      <c r="J255" s="467"/>
      <c r="K255" s="467"/>
    </row>
    <row r="256" spans="1:11" ht="12.75" customHeight="1" x14ac:dyDescent="0.2">
      <c r="A256" s="492" t="s">
        <v>795</v>
      </c>
      <c r="B256" s="490">
        <v>4878</v>
      </c>
      <c r="C256" s="480">
        <f>SUMIF(DATA!$A:$A,"10-"&amp;LEFT($B256,4)&amp;"*-0*",DATA!$F:$F)</f>
        <v>0</v>
      </c>
      <c r="D256" s="467"/>
      <c r="E256" s="467"/>
      <c r="F256" s="467"/>
      <c r="G256" s="467"/>
      <c r="H256" s="467"/>
      <c r="I256" s="468"/>
      <c r="J256" s="467"/>
      <c r="K256" s="467"/>
    </row>
    <row r="257" spans="1:11" ht="12.75" customHeight="1" x14ac:dyDescent="0.2">
      <c r="A257" s="492" t="s">
        <v>796</v>
      </c>
      <c r="B257" s="490">
        <v>4879</v>
      </c>
      <c r="C257" s="480">
        <f>SUMIF(DATA!$A:$A,"10-"&amp;LEFT($B257,4)&amp;"*-0*",DATA!$F:$F)</f>
        <v>0</v>
      </c>
      <c r="D257" s="467"/>
      <c r="E257" s="467"/>
      <c r="F257" s="467"/>
      <c r="G257" s="467"/>
      <c r="H257" s="467"/>
      <c r="I257" s="468"/>
      <c r="J257" s="467"/>
      <c r="K257" s="467"/>
    </row>
    <row r="258" spans="1:11" ht="12.75" customHeight="1" x14ac:dyDescent="0.2">
      <c r="A258" s="225" t="s">
        <v>1529</v>
      </c>
      <c r="B258" s="582">
        <v>4880</v>
      </c>
      <c r="C258" s="480">
        <f>SUMIF(DATA!$A:$A,"10-"&amp;LEFT($B258,4)&amp;"*-0*",DATA!$F:$F)</f>
        <v>0</v>
      </c>
      <c r="D258" s="467"/>
      <c r="E258" s="467"/>
      <c r="F258" s="467"/>
      <c r="G258" s="467"/>
      <c r="H258" s="467"/>
      <c r="I258" s="468"/>
      <c r="J258" s="467"/>
      <c r="K258" s="467"/>
    </row>
    <row r="259" spans="1:11" ht="12.75" customHeight="1" thickBot="1" x14ac:dyDescent="0.25">
      <c r="A259" s="1737" t="s">
        <v>797</v>
      </c>
      <c r="B259" s="1738"/>
      <c r="C259" s="1730">
        <f t="shared" ref="C259:H259" si="9">SUM(C230:C258)</f>
        <v>0</v>
      </c>
      <c r="D259" s="1719">
        <f t="shared" si="9"/>
        <v>0</v>
      </c>
      <c r="E259" s="1719">
        <f t="shared" si="9"/>
        <v>0</v>
      </c>
      <c r="F259" s="1719">
        <f t="shared" si="9"/>
        <v>0</v>
      </c>
      <c r="G259" s="1719">
        <f t="shared" si="9"/>
        <v>0</v>
      </c>
      <c r="H259" s="1719">
        <f t="shared" si="9"/>
        <v>0</v>
      </c>
      <c r="I259" s="550"/>
      <c r="J259" s="1719">
        <f>SUM(J230:J258)</f>
        <v>0</v>
      </c>
      <c r="K259" s="1700">
        <f>SUM(K230:K258)</f>
        <v>0</v>
      </c>
    </row>
    <row r="260" spans="1:11" ht="12.75" customHeight="1" thickTop="1" x14ac:dyDescent="0.2">
      <c r="A260" s="1514" t="s">
        <v>1492</v>
      </c>
      <c r="B260" s="583">
        <v>4901</v>
      </c>
      <c r="C260" s="480">
        <f>SUMIF(DATA!$A:$A,"10-"&amp;LEFT($B260,4)&amp;"*-0*",DATA!$F:$F)</f>
        <v>0</v>
      </c>
      <c r="D260" s="469"/>
      <c r="E260" s="468"/>
      <c r="F260" s="468"/>
      <c r="G260" s="468"/>
      <c r="H260" s="468"/>
      <c r="I260" s="468"/>
      <c r="J260" s="468"/>
      <c r="K260" s="468"/>
    </row>
    <row r="261" spans="1:11" ht="12.75" customHeight="1" thickBot="1" x14ac:dyDescent="0.25">
      <c r="A261" s="1515" t="s">
        <v>1537</v>
      </c>
      <c r="B261" s="584">
        <v>4902</v>
      </c>
      <c r="C261" s="480">
        <f>SUMIF(DATA!$A:$A,"10-"&amp;LEFT($B261,4)&amp;"*-0*",DATA!$F:$F)</f>
        <v>0</v>
      </c>
      <c r="D261" s="586"/>
      <c r="E261" s="469"/>
      <c r="F261" s="586"/>
      <c r="G261" s="586"/>
      <c r="H261" s="469"/>
      <c r="I261" s="468"/>
      <c r="J261" s="469"/>
      <c r="K261" s="469"/>
    </row>
    <row r="262" spans="1:11" ht="12.75" customHeight="1" thickTop="1" thickBot="1" x14ac:dyDescent="0.25">
      <c r="A262" s="492" t="s">
        <v>1145</v>
      </c>
      <c r="B262" s="490">
        <v>4904</v>
      </c>
      <c r="C262" s="480">
        <f>SUMIF(DATA!$A:$A,"10-"&amp;LEFT($B262,4)&amp;"*-0*",DATA!$F:$F)</f>
        <v>0</v>
      </c>
      <c r="D262" s="585"/>
      <c r="E262" s="469"/>
      <c r="F262" s="550"/>
      <c r="G262" s="585"/>
      <c r="H262" s="469"/>
      <c r="I262" s="468"/>
      <c r="J262" s="468"/>
      <c r="K262" s="468"/>
    </row>
    <row r="263" spans="1:11" ht="12.75" customHeight="1" thickTop="1" thickBot="1" x14ac:dyDescent="0.25">
      <c r="A263" s="463" t="s">
        <v>1530</v>
      </c>
      <c r="B263" s="470">
        <v>4905</v>
      </c>
      <c r="C263" s="480">
        <f>SUMIF(DATA!$A:$A,"10-"&amp;LEFT($B263,4)&amp;"*-0*",DATA!$F:$F)</f>
        <v>0</v>
      </c>
      <c r="D263" s="468"/>
      <c r="E263" s="468"/>
      <c r="F263" s="574"/>
      <c r="G263" s="570"/>
      <c r="H263" s="468"/>
      <c r="I263" s="468"/>
      <c r="J263" s="468"/>
      <c r="K263" s="468"/>
    </row>
    <row r="264" spans="1:11" ht="12.75" customHeight="1" thickTop="1" thickBot="1" x14ac:dyDescent="0.25">
      <c r="A264" s="463" t="s">
        <v>1531</v>
      </c>
      <c r="B264" s="470">
        <v>4909</v>
      </c>
      <c r="C264" s="480">
        <f>SUMIF(DATA!$A:$A,"10-"&amp;LEFT($B264,4)&amp;"*-0*",DATA!$F:$F)</f>
        <v>0</v>
      </c>
      <c r="D264" s="468"/>
      <c r="E264" s="468"/>
      <c r="F264" s="572"/>
      <c r="G264" s="572"/>
      <c r="H264" s="468"/>
      <c r="I264" s="468"/>
      <c r="J264" s="468"/>
      <c r="K264" s="468"/>
    </row>
    <row r="265" spans="1:11" ht="12.75" customHeight="1" thickTop="1" thickBot="1" x14ac:dyDescent="0.25">
      <c r="A265" s="463" t="s">
        <v>944</v>
      </c>
      <c r="B265" s="470">
        <v>4910</v>
      </c>
      <c r="C265" s="480">
        <f>SUMIF(DATA!$A:$A,"10-"&amp;LEFT($B265,4)&amp;"*-0*",DATA!$F:$F)</f>
        <v>0</v>
      </c>
      <c r="D265" s="468"/>
      <c r="E265" s="468"/>
      <c r="F265" s="572"/>
      <c r="G265" s="572"/>
      <c r="H265" s="468"/>
      <c r="I265" s="468"/>
      <c r="J265" s="468"/>
      <c r="K265" s="468"/>
    </row>
    <row r="266" spans="1:11" ht="12.75" customHeight="1" thickTop="1" thickBot="1" x14ac:dyDescent="0.25">
      <c r="A266" s="463" t="s">
        <v>202</v>
      </c>
      <c r="B266" s="470">
        <v>4920</v>
      </c>
      <c r="C266" s="480">
        <f>ROUND(SUMIF(DATA!$A:$A,MID(C$1,2,2)&amp;"-"&amp;LEFT($B266,4)&amp;"*-0*",DATA!$F:$F),0)</f>
        <v>4173</v>
      </c>
      <c r="D266" s="574"/>
      <c r="E266" s="468"/>
      <c r="F266" s="570"/>
      <c r="G266" s="570"/>
      <c r="H266" s="468"/>
      <c r="I266" s="468"/>
      <c r="J266" s="468"/>
      <c r="K266" s="468"/>
    </row>
    <row r="267" spans="1:11" ht="12.75" customHeight="1" thickTop="1" thickBot="1" x14ac:dyDescent="0.25">
      <c r="A267" s="463" t="s">
        <v>440</v>
      </c>
      <c r="B267" s="470">
        <v>4930</v>
      </c>
      <c r="C267" s="480">
        <f>ROUND(SUMIF(DATA!$A:$A,MID(C$1,2,2)&amp;"-"&amp;LEFT($B267,4)&amp;"*-0*",DATA!$F:$F),0)</f>
        <v>0</v>
      </c>
      <c r="D267" s="572"/>
      <c r="E267" s="468"/>
      <c r="F267" s="572"/>
      <c r="G267" s="572"/>
      <c r="H267" s="468"/>
      <c r="I267" s="468"/>
      <c r="J267" s="468"/>
      <c r="K267" s="468"/>
    </row>
    <row r="268" spans="1:11" ht="12.75" customHeight="1" thickTop="1" thickBot="1" x14ac:dyDescent="0.25">
      <c r="A268" s="463" t="s">
        <v>781</v>
      </c>
      <c r="B268" s="470">
        <v>4932</v>
      </c>
      <c r="C268" s="480">
        <f>ROUND(SUMIF(DATA!$A:$A,MID(C$1,2,2)&amp;"-"&amp;LEFT($B268,4)&amp;"*-0*",DATA!$F:$F),0)</f>
        <v>74809</v>
      </c>
      <c r="D268" s="572"/>
      <c r="E268" s="468"/>
      <c r="F268" s="572"/>
      <c r="G268" s="572"/>
      <c r="H268" s="468"/>
      <c r="I268" s="468"/>
      <c r="J268" s="468"/>
      <c r="K268" s="468"/>
    </row>
    <row r="269" spans="1:11" ht="12.75" customHeight="1" thickTop="1" thickBot="1" x14ac:dyDescent="0.25">
      <c r="A269" s="463" t="s">
        <v>945</v>
      </c>
      <c r="B269" s="470">
        <v>4960</v>
      </c>
      <c r="C269" s="480"/>
      <c r="D269" s="572"/>
      <c r="E269" s="468"/>
      <c r="F269" s="572"/>
      <c r="G269" s="572"/>
      <c r="H269" s="468"/>
      <c r="I269" s="468"/>
      <c r="J269" s="468"/>
      <c r="K269" s="468"/>
    </row>
    <row r="270" spans="1:11" ht="12.75" customHeight="1" thickTop="1" thickBot="1" x14ac:dyDescent="0.25">
      <c r="A270" s="463" t="s">
        <v>588</v>
      </c>
      <c r="B270" s="470">
        <v>4991</v>
      </c>
      <c r="C270" s="480">
        <f>ROUND(SUMIF(DATA!$A:$A,MID(C$1,2,2)&amp;"-"&amp;LEFT($B270,4)&amp;"*-0*",DATA!$F:$F),0)</f>
        <v>19712</v>
      </c>
      <c r="D270" s="572"/>
      <c r="E270" s="468"/>
      <c r="F270" s="572"/>
      <c r="G270" s="572"/>
      <c r="H270" s="468"/>
      <c r="I270" s="468"/>
      <c r="J270" s="468"/>
      <c r="K270" s="468"/>
    </row>
    <row r="271" spans="1:11" ht="12.75" customHeight="1" thickTop="1" thickBot="1" x14ac:dyDescent="0.25">
      <c r="A271" s="463" t="s">
        <v>394</v>
      </c>
      <c r="B271" s="470">
        <v>4992</v>
      </c>
      <c r="C271" s="480">
        <f>ROUND(SUMIF(DATA!$A:$A,MID(C$1,2,2)&amp;"-"&amp;LEFT($B271,4)&amp;"*-0*",DATA!$F:$F),0)</f>
        <v>11637</v>
      </c>
      <c r="D271" s="572"/>
      <c r="E271" s="468"/>
      <c r="F271" s="572"/>
      <c r="G271" s="572"/>
      <c r="H271" s="468"/>
      <c r="I271" s="468"/>
      <c r="J271" s="468"/>
      <c r="K271" s="468"/>
    </row>
    <row r="272" spans="1:11" s="587" customFormat="1" ht="12.75" customHeight="1" thickTop="1" thickBot="1" x14ac:dyDescent="0.25">
      <c r="A272" s="560" t="s">
        <v>77</v>
      </c>
      <c r="B272" s="554">
        <v>4999</v>
      </c>
      <c r="C272" s="480">
        <v>12563</v>
      </c>
      <c r="D272" s="572"/>
      <c r="E272" s="468"/>
      <c r="F272" s="572"/>
      <c r="G272" s="572"/>
      <c r="H272" s="529"/>
      <c r="I272" s="468"/>
      <c r="J272" s="468"/>
      <c r="K272" s="529"/>
    </row>
    <row r="273" spans="1:11" ht="14.25" thickTop="1" thickBot="1" x14ac:dyDescent="0.25">
      <c r="A273" s="1720" t="s">
        <v>1764</v>
      </c>
      <c r="B273" s="1739"/>
      <c r="C273" s="1727">
        <f t="shared" ref="C273:H273" si="10">SUM(C191,C201,C211,C216,C224,C228,C229,C259:C272)</f>
        <v>651277</v>
      </c>
      <c r="D273" s="1727">
        <f t="shared" si="10"/>
        <v>0</v>
      </c>
      <c r="E273" s="1727">
        <f t="shared" si="10"/>
        <v>0</v>
      </c>
      <c r="F273" s="1727">
        <f t="shared" si="10"/>
        <v>0</v>
      </c>
      <c r="G273" s="1727">
        <f t="shared" si="10"/>
        <v>0</v>
      </c>
      <c r="H273" s="1727">
        <f t="shared" si="10"/>
        <v>0</v>
      </c>
      <c r="I273" s="468"/>
      <c r="J273" s="1727">
        <f>SUM(J191,J201,J211,J216,J224,J228,J229,J259:J272)</f>
        <v>0</v>
      </c>
      <c r="K273" s="1714">
        <f>SUM(K191,K201,K211,K216,K224,K228,K229,K259:K272)</f>
        <v>0</v>
      </c>
    </row>
    <row r="274" spans="1:11" ht="14.25" thickTop="1" thickBot="1" x14ac:dyDescent="0.25">
      <c r="A274" s="1740" t="s">
        <v>1146</v>
      </c>
      <c r="B274" s="1741" t="s">
        <v>914</v>
      </c>
      <c r="C274" s="1727">
        <f>SUM(C178,C184,C273)</f>
        <v>651277</v>
      </c>
      <c r="D274" s="1727">
        <f>SUM(D178,D184,D273)</f>
        <v>0</v>
      </c>
      <c r="E274" s="1727">
        <f>SUM(E178,E273)</f>
        <v>0</v>
      </c>
      <c r="F274" s="1727">
        <f t="shared" ref="F274:K274" si="11">SUM(F178,F184,F273)</f>
        <v>0</v>
      </c>
      <c r="G274" s="1727">
        <f t="shared" si="11"/>
        <v>0</v>
      </c>
      <c r="H274" s="1727">
        <f t="shared" si="11"/>
        <v>0</v>
      </c>
      <c r="I274" s="1727">
        <f t="shared" si="11"/>
        <v>0</v>
      </c>
      <c r="J274" s="1727">
        <f t="shared" si="11"/>
        <v>0</v>
      </c>
      <c r="K274" s="1714">
        <f t="shared" si="11"/>
        <v>0</v>
      </c>
    </row>
    <row r="275" spans="1:11" ht="14.25" thickTop="1" thickBot="1" x14ac:dyDescent="0.25">
      <c r="A275" s="1742" t="s">
        <v>269</v>
      </c>
      <c r="B275" s="1743"/>
      <c r="C275" s="1727">
        <f t="shared" ref="C275:K275" si="12">SUM(C109,C114,C173,C274)</f>
        <v>13251981</v>
      </c>
      <c r="D275" s="1727">
        <f t="shared" si="12"/>
        <v>1752057</v>
      </c>
      <c r="E275" s="1727">
        <f t="shared" si="12"/>
        <v>2728658</v>
      </c>
      <c r="F275" s="1727">
        <f t="shared" si="12"/>
        <v>1234204</v>
      </c>
      <c r="G275" s="1727">
        <f t="shared" si="12"/>
        <v>613957</v>
      </c>
      <c r="H275" s="1727">
        <f t="shared" si="12"/>
        <v>623044</v>
      </c>
      <c r="I275" s="1727">
        <f t="shared" si="12"/>
        <v>326258</v>
      </c>
      <c r="J275" s="1727">
        <f t="shared" si="12"/>
        <v>661542</v>
      </c>
      <c r="K275" s="1714">
        <f t="shared" si="12"/>
        <v>300512</v>
      </c>
    </row>
    <row r="276" spans="1:11" ht="13.5" thickTop="1" x14ac:dyDescent="0.2">
      <c r="C276" s="590"/>
      <c r="D276" s="590"/>
      <c r="E276" s="590"/>
      <c r="F276" s="590"/>
      <c r="G276" s="590"/>
      <c r="H276" s="590"/>
      <c r="I276" s="590"/>
      <c r="J276" s="590"/>
      <c r="K276" s="590"/>
    </row>
    <row r="277" spans="1:11" x14ac:dyDescent="0.2">
      <c r="C277" s="590"/>
      <c r="D277" s="590"/>
      <c r="E277" s="590"/>
      <c r="F277" s="590"/>
      <c r="G277" s="590"/>
      <c r="H277" s="590"/>
      <c r="I277" s="590"/>
      <c r="J277" s="590"/>
      <c r="K277" s="590"/>
    </row>
    <row r="278" spans="1:11" x14ac:dyDescent="0.2">
      <c r="C278" s="590"/>
      <c r="D278" s="590"/>
      <c r="E278" s="590"/>
      <c r="F278" s="590"/>
      <c r="G278" s="590"/>
      <c r="H278" s="590"/>
      <c r="I278" s="590"/>
      <c r="J278" s="590"/>
      <c r="K278" s="590"/>
    </row>
    <row r="279" spans="1:11" x14ac:dyDescent="0.2">
      <c r="C279" s="590"/>
      <c r="D279" s="590"/>
      <c r="E279" s="590"/>
      <c r="F279" s="590"/>
      <c r="G279" s="590"/>
      <c r="H279" s="590"/>
      <c r="I279" s="590"/>
      <c r="J279" s="590"/>
      <c r="K279" s="590"/>
    </row>
    <row r="280" spans="1:11" x14ac:dyDescent="0.2">
      <c r="C280" s="590"/>
      <c r="D280" s="590"/>
      <c r="E280" s="590"/>
      <c r="F280" s="590"/>
      <c r="G280" s="590"/>
      <c r="H280" s="590"/>
      <c r="I280" s="590"/>
      <c r="J280" s="590"/>
      <c r="K280" s="590"/>
    </row>
    <row r="281" spans="1:11" x14ac:dyDescent="0.2">
      <c r="C281" s="590"/>
      <c r="D281" s="590"/>
      <c r="E281" s="590"/>
      <c r="F281" s="590"/>
      <c r="G281" s="590"/>
      <c r="H281" s="590"/>
      <c r="I281" s="590"/>
      <c r="J281" s="590"/>
      <c r="K281" s="590"/>
    </row>
    <row r="282" spans="1:11" s="329" customFormat="1" x14ac:dyDescent="0.2">
      <c r="A282" s="588"/>
      <c r="B282" s="589"/>
      <c r="C282" s="590"/>
      <c r="D282" s="590"/>
      <c r="E282" s="590"/>
      <c r="F282" s="590"/>
      <c r="G282" s="590"/>
      <c r="H282" s="590"/>
      <c r="I282" s="590"/>
      <c r="J282" s="590"/>
      <c r="K282" s="590"/>
    </row>
    <row r="283" spans="1:11" s="329" customFormat="1" x14ac:dyDescent="0.2">
      <c r="A283" s="588"/>
    </row>
    <row r="284" spans="1:11" s="329" customFormat="1" x14ac:dyDescent="0.2">
      <c r="A284" s="591"/>
    </row>
    <row r="285" spans="1:11" s="329" customFormat="1" x14ac:dyDescent="0.2">
      <c r="A285" s="591"/>
    </row>
    <row r="286" spans="1:11" s="329" customFormat="1" x14ac:dyDescent="0.2">
      <c r="A286" s="591"/>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6" type="noConversion"/>
  <printOptions headings="1" gridLines="1"/>
  <pageMargins left="0.25" right="0.15" top="0.66" bottom="0.46" header="0.26" footer="0.17"/>
  <pageSetup scale="70" firstPageNumber="9" orientation="landscape" useFirstPageNumber="1" r:id="rId1"/>
  <headerFooter alignWithMargins="0">
    <oddHeader>&amp;L&amp;8Page &amp;P&amp;C&amp;"Arial,Bold"&amp;9STATEMENT OF REVENUES RECEIVED/REVENUES
FOR THE YEAR ENDING JUNE 30, 2018&amp;R&amp;8Page &amp;P</oddHeader>
    <oddFooter>&amp;CSee Notes To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view="pageLayout" colorId="8" zoomScaleNormal="100" workbookViewId="0">
      <selection activeCell="P51" sqref="P51:P52"/>
    </sheetView>
  </sheetViews>
  <sheetFormatPr defaultColWidth="9.140625" defaultRowHeight="12.75" x14ac:dyDescent="0.2"/>
  <cols>
    <col min="1" max="1" width="48.5703125" style="701" customWidth="1"/>
    <col min="2" max="2" width="5" style="702" customWidth="1"/>
    <col min="3" max="8" width="13.28515625" style="603" customWidth="1"/>
    <col min="9" max="10" width="13.28515625" style="343" customWidth="1"/>
    <col min="11" max="11" width="13.28515625" style="703" customWidth="1"/>
    <col min="12" max="12" width="11.85546875" style="343" customWidth="1"/>
    <col min="13" max="13" width="1.5703125" style="210" customWidth="1"/>
    <col min="14" max="14" width="9.140625" style="210"/>
    <col min="15" max="16384" width="9.140625" style="329"/>
  </cols>
  <sheetData>
    <row r="1" spans="1:14" x14ac:dyDescent="0.2">
      <c r="A1" s="2155" t="s">
        <v>1904</v>
      </c>
      <c r="B1" s="596"/>
      <c r="C1" s="597" t="s">
        <v>798</v>
      </c>
      <c r="D1" s="597" t="s">
        <v>1137</v>
      </c>
      <c r="E1" s="597" t="s">
        <v>1138</v>
      </c>
      <c r="F1" s="597" t="s">
        <v>1139</v>
      </c>
      <c r="G1" s="597" t="s">
        <v>1140</v>
      </c>
      <c r="H1" s="597" t="s">
        <v>1141</v>
      </c>
      <c r="I1" s="597" t="s">
        <v>1142</v>
      </c>
      <c r="J1" s="597" t="s">
        <v>1143</v>
      </c>
      <c r="K1" s="597" t="s">
        <v>270</v>
      </c>
      <c r="L1" s="598"/>
    </row>
    <row r="2" spans="1:14" s="602" customFormat="1" ht="28.5" customHeight="1" x14ac:dyDescent="0.2">
      <c r="A2" s="2187"/>
      <c r="B2" s="599" t="s">
        <v>47</v>
      </c>
      <c r="C2" s="600" t="s">
        <v>203</v>
      </c>
      <c r="D2" s="601" t="s">
        <v>51</v>
      </c>
      <c r="E2" s="601" t="s">
        <v>1161</v>
      </c>
      <c r="F2" s="601" t="s">
        <v>1155</v>
      </c>
      <c r="G2" s="600" t="s">
        <v>1156</v>
      </c>
      <c r="H2" s="600" t="s">
        <v>1157</v>
      </c>
      <c r="I2" s="601" t="s">
        <v>308</v>
      </c>
      <c r="J2" s="601" t="s">
        <v>309</v>
      </c>
      <c r="K2" s="600" t="s">
        <v>158</v>
      </c>
      <c r="L2" s="600" t="s">
        <v>30</v>
      </c>
      <c r="M2" s="257"/>
      <c r="N2" s="257"/>
    </row>
    <row r="3" spans="1:14" s="343" customFormat="1" ht="16.7" customHeight="1" x14ac:dyDescent="0.2">
      <c r="A3" s="2193" t="s">
        <v>314</v>
      </c>
      <c r="B3" s="2194"/>
      <c r="C3" s="1560"/>
      <c r="D3" s="1560"/>
      <c r="E3" s="1560"/>
      <c r="F3" s="1560"/>
      <c r="G3" s="1560"/>
      <c r="H3" s="1560"/>
      <c r="I3" s="1560"/>
      <c r="J3" s="1560"/>
      <c r="K3" s="1561"/>
      <c r="L3" s="1562"/>
      <c r="M3" s="603"/>
      <c r="N3" s="603"/>
    </row>
    <row r="4" spans="1:14" s="259" customFormat="1" ht="15.75" customHeight="1" x14ac:dyDescent="0.2">
      <c r="A4" s="1618" t="s">
        <v>46</v>
      </c>
      <c r="B4" s="1619" t="s">
        <v>590</v>
      </c>
      <c r="C4" s="604"/>
      <c r="D4" s="604"/>
      <c r="E4" s="604"/>
      <c r="F4" s="604"/>
      <c r="G4" s="604"/>
      <c r="H4" s="604"/>
      <c r="I4" s="605"/>
      <c r="J4" s="604"/>
      <c r="K4" s="606"/>
      <c r="L4" s="604"/>
      <c r="M4" s="607"/>
      <c r="N4" s="607"/>
    </row>
    <row r="5" spans="1:14" x14ac:dyDescent="0.2">
      <c r="A5" s="1516" t="s">
        <v>1017</v>
      </c>
      <c r="B5" s="608">
        <v>1100</v>
      </c>
      <c r="C5" s="1954">
        <f>ROUND(SUMIF(DATA!$A:$A,"10-"&amp;LEFT($B5,3)&amp;"*-"&amp;MID(C$1,2,1)&amp;"*",DATA!$F:$F),0)</f>
        <v>3668901</v>
      </c>
      <c r="D5" s="1954">
        <f>ROUND(SUMIF(DATA!$A:$A,"10-"&amp;LEFT($B5,3)&amp;"*-"&amp;MID(D$1,2,1)&amp;"*",DATA!$F:$F),0)</f>
        <v>1293164</v>
      </c>
      <c r="E5" s="1954">
        <f>ROUND(SUMIF(DATA!$A:$A,"10-"&amp;LEFT($B5,3)&amp;"*-"&amp;MID(E$1,2,1)&amp;"*",DATA!$F:$F),0)</f>
        <v>115678</v>
      </c>
      <c r="F5" s="1954">
        <f>ROUND(SUMIF(DATA!$A:$A,"10-"&amp;LEFT($B5,3)&amp;"*-"&amp;MID(F$1,2,1)&amp;"*",DATA!$F:$F),0)</f>
        <v>61659</v>
      </c>
      <c r="G5" s="1954">
        <f>ROUND(SUMIF(DATA!$A:$A,"10-"&amp;LEFT($B5,3)&amp;"*-"&amp;MID(G$1,2,1)&amp;"*",DATA!$F:$F),0)</f>
        <v>500</v>
      </c>
      <c r="H5" s="1954">
        <f>ROUND(SUMIF(DATA!$A:$A,"10-"&amp;LEFT($B5,3)&amp;"*-"&amp;MID(H$1,2,1)&amp;"*",DATA!$F:$F),0)</f>
        <v>157</v>
      </c>
      <c r="I5" s="1954">
        <f>ROUND(SUMIF(DATA!$A:$A,"10-"&amp;LEFT($B5,3)&amp;"*-"&amp;MID(I$1,2,1)&amp;"*",DATA!$F:$F),0)</f>
        <v>0</v>
      </c>
      <c r="J5" s="1954">
        <f>ROUND(SUMIF(DATA!$A:$A,"10-"&amp;LEFT($B5,3)&amp;"*-"&amp;MID(J$1,2,1)&amp;"*",DATA!$F:$F),0)</f>
        <v>0</v>
      </c>
      <c r="K5" s="1683">
        <f>SUM(C5:J5)</f>
        <v>5140059</v>
      </c>
      <c r="L5" s="466">
        <v>5470524</v>
      </c>
    </row>
    <row r="6" spans="1:14" x14ac:dyDescent="0.2">
      <c r="A6" s="1516" t="s">
        <v>1507</v>
      </c>
      <c r="B6" s="608" t="s">
        <v>1505</v>
      </c>
      <c r="C6" s="476"/>
      <c r="D6" s="476"/>
      <c r="E6" s="466"/>
      <c r="F6" s="476"/>
      <c r="G6" s="476"/>
      <c r="H6" s="476"/>
      <c r="I6" s="476"/>
      <c r="J6" s="476"/>
      <c r="K6" s="1683">
        <f>SUM(C6,E6)</f>
        <v>0</v>
      </c>
      <c r="L6" s="466">
        <v>0</v>
      </c>
    </row>
    <row r="7" spans="1:14" x14ac:dyDescent="0.2">
      <c r="A7" s="1516" t="s">
        <v>165</v>
      </c>
      <c r="B7" s="608" t="s">
        <v>1023</v>
      </c>
      <c r="C7" s="1954">
        <f>ROUND(SUMIF(DATA!$A:$A,"10-"&amp;LEFT($B7,3)&amp;"*-"&amp;MID(C$1,2,1)&amp;"*",DATA!$F:$F),0)</f>
        <v>0</v>
      </c>
      <c r="D7" s="1954">
        <f>ROUND(SUMIF(DATA!$A:$A,"10-"&amp;LEFT($B7,3)&amp;"*-"&amp;MID(D$1,2,1)&amp;"*",DATA!$F:$F),0)</f>
        <v>0</v>
      </c>
      <c r="E7" s="1954">
        <f>ROUND(SUMIF(DATA!$A:$A,"10-"&amp;LEFT($B7,3)&amp;"*-"&amp;MID(E$1,2,1)&amp;"*",DATA!$F:$F),0)</f>
        <v>0</v>
      </c>
      <c r="F7" s="1954">
        <f>ROUND(SUMIF(DATA!$A:$A,"10-"&amp;LEFT($B7,3)&amp;"*-"&amp;MID(F$1,2,1)&amp;"*",DATA!$F:$F),0)</f>
        <v>0</v>
      </c>
      <c r="G7" s="1954">
        <f>ROUND(SUMIF(DATA!$A:$A,"10-"&amp;LEFT($B7,3)&amp;"*-"&amp;MID(G$1,2,1)&amp;"*",DATA!$F:$F),0)</f>
        <v>0</v>
      </c>
      <c r="H7" s="1954">
        <f>ROUND(SUMIF(DATA!$A:$A,"10-"&amp;LEFT($B7,3)&amp;"*-"&amp;MID(H$1,2,1)&amp;"*",DATA!$F:$F),0)</f>
        <v>0</v>
      </c>
      <c r="I7" s="1954">
        <f>ROUND(SUMIF(DATA!$A:$A,"10-"&amp;LEFT($B7,3)&amp;"*-"&amp;MID(I$1,2,1)&amp;"*",DATA!$F:$F),0)</f>
        <v>0</v>
      </c>
      <c r="J7" s="1954">
        <f>ROUND(SUMIF(DATA!$A:$A,"10-"&amp;LEFT($B7,3)&amp;"*-"&amp;MID(J$1,2,1)&amp;"*",DATA!$F:$F),0)</f>
        <v>0</v>
      </c>
      <c r="K7" s="1683">
        <f t="shared" ref="K7:K32" si="0">SUM(C7:J7)</f>
        <v>0</v>
      </c>
      <c r="L7" s="466">
        <v>0</v>
      </c>
    </row>
    <row r="8" spans="1:14" x14ac:dyDescent="0.2">
      <c r="A8" s="1516" t="s">
        <v>166</v>
      </c>
      <c r="B8" s="608">
        <v>1200</v>
      </c>
      <c r="C8" s="1954">
        <f>ROUND(SUMIF(DATA!$A:$A,"10-"&amp;LEFT($B8,3)&amp;"*-"&amp;MID(C$1,2,1)&amp;"*",DATA!$F:$F),0)</f>
        <v>1251603</v>
      </c>
      <c r="D8" s="1954">
        <f>ROUND(SUMIF(DATA!$A:$A,"10-"&amp;LEFT($B8,3)&amp;"*-"&amp;MID(D$1,2,1)&amp;"*",DATA!$F:$F),0)</f>
        <v>412714</v>
      </c>
      <c r="E8" s="1954">
        <f>ROUND(SUMIF(DATA!$A:$A,"10-"&amp;LEFT($B8,3)&amp;"*-"&amp;MID(E$1,2,1)&amp;"*",DATA!$F:$F),0)</f>
        <v>86406</v>
      </c>
      <c r="F8" s="1954">
        <f>ROUND(SUMIF(DATA!$A:$A,"10-"&amp;LEFT($B8,3)&amp;"*-"&amp;MID(F$1,2,1)&amp;"*",DATA!$F:$F),0)</f>
        <v>18798</v>
      </c>
      <c r="G8" s="1954">
        <f>ROUND(SUMIF(DATA!$A:$A,"10-"&amp;LEFT($B8,3)&amp;"*-"&amp;MID(G$1,2,1)&amp;"*",DATA!$F:$F),0)</f>
        <v>1005</v>
      </c>
      <c r="H8" s="1954">
        <f>ROUND(SUMIF(DATA!$A:$A,"10-"&amp;LEFT($B8,3)&amp;"*-"&amp;MID(H$1,2,1)&amp;"*",DATA!$F:$F),0)</f>
        <v>0</v>
      </c>
      <c r="I8" s="1954">
        <f>ROUND(SUMIF(DATA!$A:$A,"10-"&amp;LEFT($B8,3)&amp;"*-"&amp;MID(I$1,2,1)&amp;"*",DATA!$F:$F),0)</f>
        <v>0</v>
      </c>
      <c r="J8" s="1954">
        <f>ROUND(SUMIF(DATA!$A:$A,"10-"&amp;LEFT($B8,3)&amp;"*-"&amp;MID(J$1,2,1)&amp;"*",DATA!$F:$F),0)</f>
        <v>0</v>
      </c>
      <c r="K8" s="1683">
        <f t="shared" si="0"/>
        <v>1770526</v>
      </c>
      <c r="L8" s="466">
        <v>1791899</v>
      </c>
    </row>
    <row r="9" spans="1:14" x14ac:dyDescent="0.2">
      <c r="A9" s="1516" t="s">
        <v>744</v>
      </c>
      <c r="B9" s="608" t="s">
        <v>1024</v>
      </c>
      <c r="C9" s="1954">
        <f>ROUND(SUMIF(DATA!$A:$A,"10-"&amp;LEFT($B9,3)&amp;"*-"&amp;MID(C$1,2,1)&amp;"*",DATA!$F:$F),0)</f>
        <v>0</v>
      </c>
      <c r="D9" s="1954">
        <f>ROUND(SUMIF(DATA!$A:$A,"10-"&amp;LEFT($B9,3)&amp;"*-"&amp;MID(D$1,2,1)&amp;"*",DATA!$F:$F),0)</f>
        <v>0</v>
      </c>
      <c r="E9" s="1954">
        <f>ROUND(SUMIF(DATA!$A:$A,"10-"&amp;LEFT($B9,3)&amp;"*-"&amp;MID(E$1,2,1)&amp;"*",DATA!$F:$F),0)</f>
        <v>0</v>
      </c>
      <c r="F9" s="1954">
        <f>ROUND(SUMIF(DATA!$A:$A,"10-"&amp;LEFT($B9,3)&amp;"*-"&amp;MID(F$1,2,1)&amp;"*",DATA!$F:$F),0)</f>
        <v>0</v>
      </c>
      <c r="G9" s="1954">
        <f>ROUND(SUMIF(DATA!$A:$A,"10-"&amp;LEFT($B9,3)&amp;"*-"&amp;MID(G$1,2,1)&amp;"*",DATA!$F:$F),0)</f>
        <v>0</v>
      </c>
      <c r="H9" s="1954">
        <f>ROUND(SUMIF(DATA!$A:$A,"10-"&amp;LEFT($B9,3)&amp;"*-"&amp;MID(H$1,2,1)&amp;"*",DATA!$F:$F),0)</f>
        <v>0</v>
      </c>
      <c r="I9" s="1954">
        <f>ROUND(SUMIF(DATA!$A:$A,"10-"&amp;LEFT($B9,3)&amp;"*-"&amp;MID(I$1,2,1)&amp;"*",DATA!$F:$F),0)</f>
        <v>0</v>
      </c>
      <c r="J9" s="1954">
        <f>ROUND(SUMIF(DATA!$A:$A,"10-"&amp;LEFT($B9,3)&amp;"*-"&amp;MID(J$1,2,1)&amp;"*",DATA!$F:$F),0)</f>
        <v>0</v>
      </c>
      <c r="K9" s="1683">
        <f t="shared" si="0"/>
        <v>0</v>
      </c>
      <c r="L9" s="466">
        <v>0</v>
      </c>
    </row>
    <row r="10" spans="1:14" x14ac:dyDescent="0.2">
      <c r="A10" s="1516" t="s">
        <v>745</v>
      </c>
      <c r="B10" s="608">
        <v>1250</v>
      </c>
      <c r="C10" s="1954">
        <f>ROUND(SUMIF(DATA!$A:$A,"10-"&amp;LEFT($B10,3)&amp;"*-"&amp;MID(C$1,2,1)&amp;"*",DATA!$F:$F),0)</f>
        <v>106686</v>
      </c>
      <c r="D10" s="1954">
        <f>ROUND(SUMIF(DATA!$A:$A,"10-"&amp;LEFT($B10,3)&amp;"*-"&amp;MID(D$1,2,1)&amp;"*",DATA!$F:$F),0)</f>
        <v>47518</v>
      </c>
      <c r="E10" s="1954">
        <f>ROUND(SUMIF(DATA!$A:$A,"10-"&amp;LEFT($B10,3)&amp;"*-"&amp;MID(E$1,2,1)&amp;"*",DATA!$F:$F),0)</f>
        <v>30472</v>
      </c>
      <c r="F10" s="1954">
        <f>ROUND(SUMIF(DATA!$A:$A,"10-"&amp;LEFT($B10,3)&amp;"*-"&amp;MID(F$1,2,1)&amp;"*",DATA!$F:$F),0)</f>
        <v>4270</v>
      </c>
      <c r="G10" s="1954">
        <f>ROUND(SUMIF(DATA!$A:$A,"10-"&amp;LEFT($B10,3)&amp;"*-"&amp;MID(G$1,2,1)&amp;"*",DATA!$F:$F),0)</f>
        <v>36487</v>
      </c>
      <c r="H10" s="1954">
        <f>ROUND(SUMIF(DATA!$A:$A,"10-"&amp;LEFT($B10,3)&amp;"*-"&amp;MID(H$1,2,1)&amp;"*",DATA!$F:$F),0)</f>
        <v>0</v>
      </c>
      <c r="I10" s="1954">
        <f>ROUND(SUMIF(DATA!$A:$A,"10-"&amp;LEFT($B10,3)&amp;"*-"&amp;MID(I$1,2,1)&amp;"*",DATA!$F:$F),0)</f>
        <v>0</v>
      </c>
      <c r="J10" s="1954">
        <f>ROUND(SUMIF(DATA!$A:$A,"10-"&amp;LEFT($B10,3)&amp;"*-"&amp;MID(J$1,2,1)&amp;"*",DATA!$F:$F),0)</f>
        <v>0</v>
      </c>
      <c r="K10" s="1683">
        <f t="shared" si="0"/>
        <v>225433</v>
      </c>
      <c r="L10" s="466">
        <v>229848</v>
      </c>
    </row>
    <row r="11" spans="1:14" x14ac:dyDescent="0.2">
      <c r="A11" s="1516" t="s">
        <v>1191</v>
      </c>
      <c r="B11" s="608" t="s">
        <v>163</v>
      </c>
      <c r="C11" s="1954">
        <f>ROUND(SUMIF(DATA!$A:$A,"10-"&amp;LEFT($B11,3)&amp;"*-"&amp;MID(C$1,2,1)&amp;"*",DATA!$F:$F),0)</f>
        <v>0</v>
      </c>
      <c r="D11" s="1954">
        <f>ROUND(SUMIF(DATA!$A:$A,"10-"&amp;LEFT($B11,3)&amp;"*-"&amp;MID(D$1,2,1)&amp;"*",DATA!$F:$F),0)</f>
        <v>0</v>
      </c>
      <c r="E11" s="1954">
        <f>ROUND(SUMIF(DATA!$A:$A,"10-"&amp;LEFT($B11,3)&amp;"*-"&amp;MID(E$1,2,1)&amp;"*",DATA!$F:$F),0)</f>
        <v>0</v>
      </c>
      <c r="F11" s="1954">
        <f>ROUND(SUMIF(DATA!$A:$A,"10-"&amp;LEFT($B11,3)&amp;"*-"&amp;MID(F$1,2,1)&amp;"*",DATA!$F:$F),0)</f>
        <v>0</v>
      </c>
      <c r="G11" s="1954">
        <f>ROUND(SUMIF(DATA!$A:$A,"10-"&amp;LEFT($B11,3)&amp;"*-"&amp;MID(G$1,2,1)&amp;"*",DATA!$F:$F),0)</f>
        <v>0</v>
      </c>
      <c r="H11" s="1954">
        <f>ROUND(SUMIF(DATA!$A:$A,"10-"&amp;LEFT($B11,3)&amp;"*-"&amp;MID(H$1,2,1)&amp;"*",DATA!$F:$F),0)</f>
        <v>0</v>
      </c>
      <c r="I11" s="1954">
        <f>ROUND(SUMIF(DATA!$A:$A,"10-"&amp;LEFT($B11,3)&amp;"*-"&amp;MID(I$1,2,1)&amp;"*",DATA!$F:$F),0)</f>
        <v>0</v>
      </c>
      <c r="J11" s="1954">
        <f>ROUND(SUMIF(DATA!$A:$A,"10-"&amp;LEFT($B11,3)&amp;"*-"&amp;MID(J$1,2,1)&amp;"*",DATA!$F:$F),0)</f>
        <v>0</v>
      </c>
      <c r="K11" s="1683">
        <f t="shared" si="0"/>
        <v>0</v>
      </c>
      <c r="L11" s="466">
        <v>0</v>
      </c>
    </row>
    <row r="12" spans="1:14" x14ac:dyDescent="0.2">
      <c r="A12" s="1516" t="s">
        <v>1018</v>
      </c>
      <c r="B12" s="608">
        <v>1300</v>
      </c>
      <c r="C12" s="1954">
        <f>ROUND(SUMIF(DATA!$A:$A,"10-"&amp;LEFT($B12,3)&amp;"*-"&amp;MID(C$1,2,1)&amp;"*",DATA!$F:$F),0)</f>
        <v>0</v>
      </c>
      <c r="D12" s="1954">
        <f>ROUND(SUMIF(DATA!$A:$A,"10-"&amp;LEFT($B12,3)&amp;"*-"&amp;MID(D$1,2,1)&amp;"*",DATA!$F:$F),0)</f>
        <v>0</v>
      </c>
      <c r="E12" s="1954">
        <f>ROUND(SUMIF(DATA!$A:$A,"10-"&amp;LEFT($B12,3)&amp;"*-"&amp;MID(E$1,2,1)&amp;"*",DATA!$F:$F),0)</f>
        <v>0</v>
      </c>
      <c r="F12" s="1954">
        <f>ROUND(SUMIF(DATA!$A:$A,"10-"&amp;LEFT($B12,3)&amp;"*-"&amp;MID(F$1,2,1)&amp;"*",DATA!$F:$F),0)</f>
        <v>0</v>
      </c>
      <c r="G12" s="1954">
        <f>ROUND(SUMIF(DATA!$A:$A,"10-"&amp;LEFT($B12,3)&amp;"*-"&amp;MID(G$1,2,1)&amp;"*",DATA!$F:$F),0)</f>
        <v>0</v>
      </c>
      <c r="H12" s="1954">
        <f>ROUND(SUMIF(DATA!$A:$A,"10-"&amp;LEFT($B12,3)&amp;"*-"&amp;MID(H$1,2,1)&amp;"*",DATA!$F:$F),0)</f>
        <v>0</v>
      </c>
      <c r="I12" s="1954">
        <f>ROUND(SUMIF(DATA!$A:$A,"10-"&amp;LEFT($B12,3)&amp;"*-"&amp;MID(I$1,2,1)&amp;"*",DATA!$F:$F),0)</f>
        <v>0</v>
      </c>
      <c r="J12" s="1954">
        <f>ROUND(SUMIF(DATA!$A:$A,"10-"&amp;LEFT($B12,3)&amp;"*-"&amp;MID(J$1,2,1)&amp;"*",DATA!$F:$F),0)</f>
        <v>0</v>
      </c>
      <c r="K12" s="1683">
        <f t="shared" si="0"/>
        <v>0</v>
      </c>
      <c r="L12" s="466">
        <v>0</v>
      </c>
    </row>
    <row r="13" spans="1:14" x14ac:dyDescent="0.2">
      <c r="A13" s="1516" t="s">
        <v>746</v>
      </c>
      <c r="B13" s="608">
        <v>1400</v>
      </c>
      <c r="C13" s="1954">
        <f>ROUND(SUMIF(DATA!$A:$A,"10-"&amp;LEFT($B13,3)&amp;"*-"&amp;MID(C$1,2,1)&amp;"*",DATA!$F:$F),0)</f>
        <v>628422</v>
      </c>
      <c r="D13" s="1954">
        <f>ROUND(SUMIF(DATA!$A:$A,"10-"&amp;LEFT($B13,3)&amp;"*-"&amp;MID(D$1,2,1)&amp;"*",DATA!$F:$F),0)</f>
        <v>218951</v>
      </c>
      <c r="E13" s="1954">
        <f>ROUND(SUMIF(DATA!$A:$A,"10-"&amp;LEFT($B13,3)&amp;"*-"&amp;MID(E$1,2,1)&amp;"*",DATA!$F:$F),0)</f>
        <v>373</v>
      </c>
      <c r="F13" s="1954">
        <f>ROUND(SUMIF(DATA!$A:$A,"10-"&amp;LEFT($B13,3)&amp;"*-"&amp;MID(F$1,2,1)&amp;"*",DATA!$F:$F),0)</f>
        <v>12644</v>
      </c>
      <c r="G13" s="1954">
        <f>ROUND(SUMIF(DATA!$A:$A,"10-"&amp;LEFT($B13,3)&amp;"*-"&amp;MID(G$1,2,1)&amp;"*",DATA!$F:$F),0)</f>
        <v>0</v>
      </c>
      <c r="H13" s="1954">
        <f>ROUND(SUMIF(DATA!$A:$A,"10-"&amp;LEFT($B13,3)&amp;"*-"&amp;MID(H$1,2,1)&amp;"*",DATA!$F:$F),0)</f>
        <v>0</v>
      </c>
      <c r="I13" s="1954">
        <f>ROUND(SUMIF(DATA!$A:$A,"10-"&amp;LEFT($B13,3)&amp;"*-"&amp;MID(I$1,2,1)&amp;"*",DATA!$F:$F),0)</f>
        <v>0</v>
      </c>
      <c r="J13" s="1954">
        <f>ROUND(SUMIF(DATA!$A:$A,"10-"&amp;LEFT($B13,3)&amp;"*-"&amp;MID(J$1,2,1)&amp;"*",DATA!$F:$F),0)</f>
        <v>0</v>
      </c>
      <c r="K13" s="1683">
        <f t="shared" si="0"/>
        <v>860390</v>
      </c>
      <c r="L13" s="466">
        <v>1043547</v>
      </c>
    </row>
    <row r="14" spans="1:14" x14ac:dyDescent="0.2">
      <c r="A14" s="1516" t="s">
        <v>1019</v>
      </c>
      <c r="B14" s="608">
        <v>1500</v>
      </c>
      <c r="C14" s="1954">
        <f>ROUND(SUMIF(DATA!$A:$A,"10-"&amp;LEFT($B14,3)&amp;"*-"&amp;MID(C$1,2,1)&amp;"*",DATA!$F:$F),0)</f>
        <v>546856</v>
      </c>
      <c r="D14" s="1954">
        <f>ROUND(SUMIF(DATA!$A:$A,"10-"&amp;LEFT($B14,3)&amp;"*-"&amp;MID(D$1,2,1)&amp;"*",DATA!$F:$F),0)</f>
        <v>88921</v>
      </c>
      <c r="E14" s="1954">
        <f>ROUND(SUMIF(DATA!$A:$A,"10-"&amp;LEFT($B14,3)&amp;"*-"&amp;MID(E$1,2,1)&amp;"*",DATA!$F:$F),0)</f>
        <v>44237</v>
      </c>
      <c r="F14" s="1954">
        <f>ROUND(SUMIF(DATA!$A:$A,"10-"&amp;LEFT($B14,3)&amp;"*-"&amp;MID(F$1,2,1)&amp;"*",DATA!$F:$F),0)</f>
        <v>30877</v>
      </c>
      <c r="G14" s="1954">
        <f>ROUND(SUMIF(DATA!$A:$A,"10-"&amp;LEFT($B14,3)&amp;"*-"&amp;MID(G$1,2,1)&amp;"*",DATA!$F:$F),0)</f>
        <v>6333</v>
      </c>
      <c r="H14" s="1954">
        <f>ROUND(SUMIF(DATA!$A:$A,"10-"&amp;LEFT($B14,3)&amp;"*-"&amp;MID(H$1,2,1)&amp;"*",DATA!$F:$F),0)</f>
        <v>15978</v>
      </c>
      <c r="I14" s="1954">
        <f>ROUND(SUMIF(DATA!$A:$A,"10-"&amp;LEFT($B14,3)&amp;"*-"&amp;MID(I$1,2,1)&amp;"*",DATA!$F:$F),0)</f>
        <v>0</v>
      </c>
      <c r="J14" s="1954">
        <f>ROUND(SUMIF(DATA!$A:$A,"10-"&amp;LEFT($B14,3)&amp;"*-"&amp;MID(J$1,2,1)&amp;"*",DATA!$F:$F),0)</f>
        <v>0</v>
      </c>
      <c r="K14" s="1683">
        <f t="shared" si="0"/>
        <v>733202</v>
      </c>
      <c r="L14" s="466">
        <v>784879</v>
      </c>
    </row>
    <row r="15" spans="1:14" x14ac:dyDescent="0.2">
      <c r="A15" s="1516" t="s">
        <v>1020</v>
      </c>
      <c r="B15" s="608">
        <v>1600</v>
      </c>
      <c r="C15" s="1954">
        <f>ROUND(SUMIF(DATA!$A:$A,"10-"&amp;LEFT($B15,3)&amp;"*-"&amp;MID(C$1,2,1)&amp;"*",DATA!$F:$F),0)</f>
        <v>900</v>
      </c>
      <c r="D15" s="1954">
        <f>ROUND(SUMIF(DATA!$A:$A,"10-"&amp;LEFT($B15,3)&amp;"*-"&amp;MID(D$1,2,1)&amp;"*",DATA!$F:$F),0)</f>
        <v>112</v>
      </c>
      <c r="E15" s="1954">
        <f>ROUND(SUMIF(DATA!$A:$A,"10-"&amp;LEFT($B15,3)&amp;"*-"&amp;MID(E$1,2,1)&amp;"*",DATA!$F:$F),0)</f>
        <v>0</v>
      </c>
      <c r="F15" s="1954">
        <f>ROUND(SUMIF(DATA!$A:$A,"10-"&amp;LEFT($B15,3)&amp;"*-"&amp;MID(F$1,2,1)&amp;"*",DATA!$F:$F),0)</f>
        <v>0</v>
      </c>
      <c r="G15" s="1954">
        <f>ROUND(SUMIF(DATA!$A:$A,"10-"&amp;LEFT($B15,3)&amp;"*-"&amp;MID(G$1,2,1)&amp;"*",DATA!$F:$F),0)</f>
        <v>0</v>
      </c>
      <c r="H15" s="1954">
        <f>ROUND(SUMIF(DATA!$A:$A,"10-"&amp;LEFT($B15,3)&amp;"*-"&amp;MID(H$1,2,1)&amp;"*",DATA!$F:$F),0)</f>
        <v>0</v>
      </c>
      <c r="I15" s="1954">
        <f>ROUND(SUMIF(DATA!$A:$A,"10-"&amp;LEFT($B15,3)&amp;"*-"&amp;MID(I$1,2,1)&amp;"*",DATA!$F:$F),0)</f>
        <v>0</v>
      </c>
      <c r="J15" s="1954">
        <f>ROUND(SUMIF(DATA!$A:$A,"10-"&amp;LEFT($B15,3)&amp;"*-"&amp;MID(J$1,2,1)&amp;"*",DATA!$F:$F),0)</f>
        <v>0</v>
      </c>
      <c r="K15" s="1683">
        <f t="shared" si="0"/>
        <v>1012</v>
      </c>
      <c r="L15" s="466">
        <v>1102</v>
      </c>
    </row>
    <row r="16" spans="1:14" x14ac:dyDescent="0.2">
      <c r="A16" s="1516" t="s">
        <v>1043</v>
      </c>
      <c r="B16" s="608" t="s">
        <v>443</v>
      </c>
      <c r="C16" s="1954">
        <f>ROUND(SUMIF(DATA!$A:$A,"10-"&amp;LEFT($B16,3)&amp;"*-"&amp;MID(C$1,2,1)&amp;"*",DATA!$F:$F),0)</f>
        <v>1900</v>
      </c>
      <c r="D16" s="1954">
        <f>ROUND(SUMIF(DATA!$A:$A,"10-"&amp;LEFT($B16,3)&amp;"*-"&amp;MID(D$1,2,1)&amp;"*",DATA!$F:$F),0)</f>
        <v>236</v>
      </c>
      <c r="E16" s="1954">
        <f>ROUND(SUMIF(DATA!$A:$A,"10-"&amp;LEFT($B16,3)&amp;"*-"&amp;MID(E$1,2,1)&amp;"*",DATA!$F:$F),0)</f>
        <v>0</v>
      </c>
      <c r="F16" s="1954">
        <f>ROUND(SUMIF(DATA!$A:$A,"10-"&amp;LEFT($B16,3)&amp;"*-"&amp;MID(F$1,2,1)&amp;"*",DATA!$F:$F),0)</f>
        <v>0</v>
      </c>
      <c r="G16" s="1954">
        <f>ROUND(SUMIF(DATA!$A:$A,"10-"&amp;LEFT($B16,3)&amp;"*-"&amp;MID(G$1,2,1)&amp;"*",DATA!$F:$F),0)</f>
        <v>0</v>
      </c>
      <c r="H16" s="1954">
        <f>ROUND(SUMIF(DATA!$A:$A,"10-"&amp;LEFT($B16,3)&amp;"*-"&amp;MID(H$1,2,1)&amp;"*",DATA!$F:$F),0)</f>
        <v>0</v>
      </c>
      <c r="I16" s="1954">
        <f>ROUND(SUMIF(DATA!$A:$A,"10-"&amp;LEFT($B16,3)&amp;"*-"&amp;MID(I$1,2,1)&amp;"*",DATA!$F:$F),0)</f>
        <v>0</v>
      </c>
      <c r="J16" s="1954">
        <f>ROUND(SUMIF(DATA!$A:$A,"10-"&amp;LEFT($B16,3)&amp;"*-"&amp;MID(J$1,2,1)&amp;"*",DATA!$F:$F),0)</f>
        <v>0</v>
      </c>
      <c r="K16" s="1683">
        <f t="shared" si="0"/>
        <v>2136</v>
      </c>
      <c r="L16" s="466">
        <v>910</v>
      </c>
    </row>
    <row r="17" spans="1:12" x14ac:dyDescent="0.2">
      <c r="A17" s="1516" t="s">
        <v>747</v>
      </c>
      <c r="B17" s="608" t="s">
        <v>164</v>
      </c>
      <c r="C17" s="1954">
        <f>ROUND(SUMIF(DATA!$A:$A,"10-"&amp;LEFT($B17,3)&amp;"*-"&amp;MID(C$1,2,1)&amp;"*",DATA!$F:$F),0)</f>
        <v>126123</v>
      </c>
      <c r="D17" s="1954">
        <f>ROUND(SUMIF(DATA!$A:$A,"10-"&amp;LEFT($B17,3)&amp;"*-"&amp;MID(D$1,2,1)&amp;"*",DATA!$F:$F),0)</f>
        <v>48353</v>
      </c>
      <c r="E17" s="1954">
        <f>ROUND(SUMIF(DATA!$A:$A,"10-"&amp;LEFT($B17,3)&amp;"*-"&amp;MID(E$1,2,1)&amp;"*",DATA!$F:$F),0)</f>
        <v>1764</v>
      </c>
      <c r="F17" s="1954">
        <f>ROUND(SUMIF(DATA!$A:$A,"10-"&amp;LEFT($B17,3)&amp;"*-"&amp;MID(F$1,2,1)&amp;"*",DATA!$F:$F),0)</f>
        <v>937</v>
      </c>
      <c r="G17" s="1954">
        <f>ROUND(SUMIF(DATA!$A:$A,"10-"&amp;LEFT($B17,3)&amp;"*-"&amp;MID(G$1,2,1)&amp;"*",DATA!$F:$F),0)</f>
        <v>0</v>
      </c>
      <c r="H17" s="1954">
        <f>ROUND(SUMIF(DATA!$A:$A,"10-"&amp;LEFT($B17,3)&amp;"*-"&amp;MID(H$1,2,1)&amp;"*",DATA!$F:$F),0)</f>
        <v>0</v>
      </c>
      <c r="I17" s="1954">
        <f>ROUND(SUMIF(DATA!$A:$A,"10-"&amp;LEFT($B17,3)&amp;"*-"&amp;MID(I$1,2,1)&amp;"*",DATA!$F:$F),0)</f>
        <v>0</v>
      </c>
      <c r="J17" s="1954">
        <f>ROUND(SUMIF(DATA!$A:$A,"10-"&amp;LEFT($B17,3)&amp;"*-"&amp;MID(J$1,2,1)&amp;"*",DATA!$F:$F),0)</f>
        <v>0</v>
      </c>
      <c r="K17" s="1683">
        <f t="shared" si="0"/>
        <v>177177</v>
      </c>
      <c r="L17" s="466">
        <v>242962</v>
      </c>
    </row>
    <row r="18" spans="1:12" x14ac:dyDescent="0.2">
      <c r="A18" s="1516" t="s">
        <v>1147</v>
      </c>
      <c r="B18" s="608">
        <v>1800</v>
      </c>
      <c r="C18" s="1954">
        <f>ROUND(SUMIF(DATA!$A:$A,"10-"&amp;LEFT($B18,3)&amp;"*-"&amp;MID(C$1,2,1)&amp;"*",DATA!$F:$F),0)</f>
        <v>5501</v>
      </c>
      <c r="D18" s="1954">
        <f>ROUND(SUMIF(DATA!$A:$A,"10-"&amp;LEFT($B18,3)&amp;"*-"&amp;MID(D$1,2,1)&amp;"*",DATA!$F:$F),0)</f>
        <v>784</v>
      </c>
      <c r="E18" s="1954">
        <f>ROUND(SUMIF(DATA!$A:$A,"10-"&amp;LEFT($B18,3)&amp;"*-"&amp;MID(E$1,2,1)&amp;"*",DATA!$F:$F),0)</f>
        <v>16</v>
      </c>
      <c r="F18" s="1954">
        <f>ROUND(SUMIF(DATA!$A:$A,"10-"&amp;LEFT($B18,3)&amp;"*-"&amp;MID(F$1,2,1)&amp;"*",DATA!$F:$F),0)</f>
        <v>0</v>
      </c>
      <c r="G18" s="1954">
        <f>ROUND(SUMIF(DATA!$A:$A,"10-"&amp;LEFT($B18,3)&amp;"*-"&amp;MID(G$1,2,1)&amp;"*",DATA!$F:$F),0)</f>
        <v>0</v>
      </c>
      <c r="H18" s="1954">
        <f>ROUND(SUMIF(DATA!$A:$A,"10-"&amp;LEFT($B18,3)&amp;"*-"&amp;MID(H$1,2,1)&amp;"*",DATA!$F:$F),0)</f>
        <v>0</v>
      </c>
      <c r="I18" s="1954">
        <f>ROUND(SUMIF(DATA!$A:$A,"10-"&amp;LEFT($B18,3)&amp;"*-"&amp;MID(I$1,2,1)&amp;"*",DATA!$F:$F),0)</f>
        <v>0</v>
      </c>
      <c r="J18" s="1954">
        <f>ROUND(SUMIF(DATA!$A:$A,"10-"&amp;LEFT($B18,3)&amp;"*-"&amp;MID(J$1,2,1)&amp;"*",DATA!$F:$F),0)</f>
        <v>0</v>
      </c>
      <c r="K18" s="1683">
        <f t="shared" si="0"/>
        <v>6301</v>
      </c>
      <c r="L18" s="466">
        <v>2475</v>
      </c>
    </row>
    <row r="19" spans="1:12" x14ac:dyDescent="0.2">
      <c r="A19" s="1516" t="s">
        <v>136</v>
      </c>
      <c r="B19" s="608">
        <v>1900</v>
      </c>
      <c r="C19" s="1954">
        <f>ROUND(SUMIF(DATA!$A:$A,"10-"&amp;LEFT($B19,3)&amp;"*-"&amp;MID(C$1,2,1)&amp;"*",DATA!$F:$F),0)</f>
        <v>0</v>
      </c>
      <c r="D19" s="1954">
        <f>ROUND(SUMIF(DATA!$A:$A,"10-"&amp;LEFT($B19,3)&amp;"*-"&amp;MID(D$1,2,1)&amp;"*",DATA!$F:$F),0)</f>
        <v>0</v>
      </c>
      <c r="E19" s="1954">
        <f>ROUND(SUMIF(DATA!$A:$A,"10-"&amp;LEFT($B19,3)&amp;"*-"&amp;MID(E$1,2,1)&amp;"*",DATA!$F:$F),0)</f>
        <v>0</v>
      </c>
      <c r="F19" s="1954">
        <f>ROUND(SUMIF(DATA!$A:$A,"10-"&amp;LEFT($B19,3)&amp;"*-"&amp;MID(F$1,2,1)&amp;"*",DATA!$F:$F),0)</f>
        <v>0</v>
      </c>
      <c r="G19" s="1954">
        <f>ROUND(SUMIF(DATA!$A:$A,"10-"&amp;LEFT($B19,3)&amp;"*-"&amp;MID(G$1,2,1)&amp;"*",DATA!$F:$F),0)</f>
        <v>0</v>
      </c>
      <c r="H19" s="1954">
        <f>ROUND(SUMIF(DATA!$A:$A,"10-"&amp;LEFT($B19,3)&amp;"*-"&amp;MID(H$1,2,1)&amp;"*",DATA!$F:$F),0)</f>
        <v>0</v>
      </c>
      <c r="I19" s="1954">
        <f>ROUND(SUMIF(DATA!$A:$A,"10-"&amp;LEFT($B19,3)&amp;"*-"&amp;MID(I$1,2,1)&amp;"*",DATA!$F:$F),0)</f>
        <v>0</v>
      </c>
      <c r="J19" s="1954">
        <f>ROUND(SUMIF(DATA!$A:$A,"10-"&amp;LEFT($B19,3)&amp;"*-"&amp;MID(J$1,2,1)&amp;"*",DATA!$F:$F),0)</f>
        <v>0</v>
      </c>
      <c r="K19" s="1683">
        <f t="shared" si="0"/>
        <v>0</v>
      </c>
      <c r="L19" s="466">
        <v>7820</v>
      </c>
    </row>
    <row r="20" spans="1:12" x14ac:dyDescent="0.2">
      <c r="A20" s="1517" t="s">
        <v>761</v>
      </c>
      <c r="B20" s="596" t="s">
        <v>748</v>
      </c>
      <c r="C20" s="476"/>
      <c r="D20" s="476"/>
      <c r="E20" s="476"/>
      <c r="F20" s="476"/>
      <c r="G20" s="476"/>
      <c r="H20" s="1954">
        <f>SUMIF(DATA!$A:$A,"10-"&amp;$B20&amp;"-6*",DATA!$F:$F)</f>
        <v>0</v>
      </c>
      <c r="I20" s="610"/>
      <c r="J20" s="475"/>
      <c r="K20" s="1683">
        <f t="shared" si="0"/>
        <v>0</v>
      </c>
      <c r="L20" s="471">
        <v>0</v>
      </c>
    </row>
    <row r="21" spans="1:12" x14ac:dyDescent="0.2">
      <c r="A21" s="1517" t="s">
        <v>762</v>
      </c>
      <c r="B21" s="596" t="s">
        <v>749</v>
      </c>
      <c r="C21" s="476"/>
      <c r="D21" s="476"/>
      <c r="E21" s="476"/>
      <c r="F21" s="476"/>
      <c r="G21" s="476"/>
      <c r="H21" s="1954">
        <f>SUMIF(DATA!$A:$A,"10-"&amp;$B21&amp;"-6*",DATA!$F:$F)</f>
        <v>0</v>
      </c>
      <c r="I21" s="610"/>
      <c r="J21" s="476"/>
      <c r="K21" s="1683">
        <f t="shared" si="0"/>
        <v>0</v>
      </c>
      <c r="L21" s="471">
        <v>0</v>
      </c>
    </row>
    <row r="22" spans="1:12" x14ac:dyDescent="0.2">
      <c r="A22" s="1517" t="s">
        <v>763</v>
      </c>
      <c r="B22" s="596" t="s">
        <v>750</v>
      </c>
      <c r="C22" s="476"/>
      <c r="D22" s="476"/>
      <c r="E22" s="476"/>
      <c r="F22" s="476"/>
      <c r="G22" s="476"/>
      <c r="H22" s="1954">
        <f>ROUND(SUMIF(DATA!$A:$A,"10-"&amp;LEFT($B22,3)&amp;"*-"&amp;MID(H$1,2,1)&amp;"*",DATA!$F:$F),0)</f>
        <v>685508</v>
      </c>
      <c r="I22" s="610"/>
      <c r="J22" s="476"/>
      <c r="K22" s="1683">
        <f t="shared" si="0"/>
        <v>685508</v>
      </c>
      <c r="L22" s="471">
        <v>700000</v>
      </c>
    </row>
    <row r="23" spans="1:12" x14ac:dyDescent="0.2">
      <c r="A23" s="1517" t="s">
        <v>764</v>
      </c>
      <c r="B23" s="596" t="s">
        <v>751</v>
      </c>
      <c r="C23" s="476"/>
      <c r="D23" s="476"/>
      <c r="E23" s="476"/>
      <c r="F23" s="476"/>
      <c r="G23" s="476"/>
      <c r="H23" s="1954">
        <f>SUMIF(DATA!$A:$A,"10-"&amp;$B23&amp;"-6*",DATA!$F:$F)</f>
        <v>0</v>
      </c>
      <c r="I23" s="610"/>
      <c r="J23" s="476"/>
      <c r="K23" s="1683">
        <f t="shared" si="0"/>
        <v>0</v>
      </c>
      <c r="L23" s="471"/>
    </row>
    <row r="24" spans="1:12" ht="12.75" customHeight="1" x14ac:dyDescent="0.2">
      <c r="A24" s="1517" t="s">
        <v>765</v>
      </c>
      <c r="B24" s="596" t="s">
        <v>752</v>
      </c>
      <c r="C24" s="476"/>
      <c r="D24" s="476"/>
      <c r="E24" s="476"/>
      <c r="F24" s="476"/>
      <c r="G24" s="476"/>
      <c r="H24" s="1954">
        <f>SUMIF(DATA!$A:$A,"10-"&amp;$B24&amp;"-6*",DATA!$F:$F)</f>
        <v>0</v>
      </c>
      <c r="I24" s="610"/>
      <c r="J24" s="476"/>
      <c r="K24" s="1683">
        <f t="shared" si="0"/>
        <v>0</v>
      </c>
      <c r="L24" s="471"/>
    </row>
    <row r="25" spans="1:12" ht="12.75" customHeight="1" x14ac:dyDescent="0.2">
      <c r="A25" s="1517" t="s">
        <v>834</v>
      </c>
      <c r="B25" s="596" t="s">
        <v>753</v>
      </c>
      <c r="C25" s="476"/>
      <c r="D25" s="476"/>
      <c r="E25" s="476"/>
      <c r="F25" s="476"/>
      <c r="G25" s="476"/>
      <c r="H25" s="1954">
        <f>SUMIF(DATA!$A:$A,"10-"&amp;$B25&amp;"-6*",DATA!$F:$F)</f>
        <v>0</v>
      </c>
      <c r="I25" s="610"/>
      <c r="J25" s="476"/>
      <c r="K25" s="1683">
        <f t="shared" si="0"/>
        <v>0</v>
      </c>
      <c r="L25" s="471"/>
    </row>
    <row r="26" spans="1:12" x14ac:dyDescent="0.2">
      <c r="A26" s="1517" t="s">
        <v>642</v>
      </c>
      <c r="B26" s="596" t="s">
        <v>754</v>
      </c>
      <c r="C26" s="476"/>
      <c r="D26" s="476"/>
      <c r="E26" s="476"/>
      <c r="F26" s="476"/>
      <c r="G26" s="476"/>
      <c r="H26" s="1954">
        <f>SUMIF(DATA!$A:$A,"10-"&amp;$B26&amp;"-6*",DATA!$F:$F)</f>
        <v>0</v>
      </c>
      <c r="I26" s="610"/>
      <c r="J26" s="476"/>
      <c r="K26" s="1683">
        <f t="shared" si="0"/>
        <v>0</v>
      </c>
      <c r="L26" s="471"/>
    </row>
    <row r="27" spans="1:12" x14ac:dyDescent="0.2">
      <c r="A27" s="1517" t="s">
        <v>643</v>
      </c>
      <c r="B27" s="596" t="s">
        <v>755</v>
      </c>
      <c r="C27" s="476"/>
      <c r="D27" s="476"/>
      <c r="E27" s="476"/>
      <c r="F27" s="476"/>
      <c r="G27" s="476"/>
      <c r="H27" s="1954">
        <f>SUMIF(DATA!$A:$A,"10-"&amp;$B27&amp;"-6*",DATA!$F:$F)</f>
        <v>0</v>
      </c>
      <c r="I27" s="610"/>
      <c r="J27" s="476"/>
      <c r="K27" s="1683">
        <f t="shared" si="0"/>
        <v>0</v>
      </c>
      <c r="L27" s="471"/>
    </row>
    <row r="28" spans="1:12" x14ac:dyDescent="0.2">
      <c r="A28" s="1517" t="s">
        <v>152</v>
      </c>
      <c r="B28" s="596" t="s">
        <v>756</v>
      </c>
      <c r="C28" s="476"/>
      <c r="D28" s="476"/>
      <c r="E28" s="476"/>
      <c r="F28" s="476"/>
      <c r="G28" s="476"/>
      <c r="H28" s="1954">
        <f>SUMIF(DATA!$A:$A,"10-"&amp;$B28&amp;"-6*",DATA!$F:$F)</f>
        <v>0</v>
      </c>
      <c r="I28" s="610"/>
      <c r="J28" s="476"/>
      <c r="K28" s="1683">
        <f t="shared" si="0"/>
        <v>0</v>
      </c>
      <c r="L28" s="471"/>
    </row>
    <row r="29" spans="1:12" x14ac:dyDescent="0.2">
      <c r="A29" s="1517" t="s">
        <v>153</v>
      </c>
      <c r="B29" s="596" t="s">
        <v>757</v>
      </c>
      <c r="C29" s="476"/>
      <c r="D29" s="476"/>
      <c r="E29" s="476"/>
      <c r="F29" s="476"/>
      <c r="G29" s="476"/>
      <c r="H29" s="1954">
        <f>SUMIF(DATA!$A:$A,"10-"&amp;$B29&amp;"-6*",DATA!$F:$F)</f>
        <v>0</v>
      </c>
      <c r="I29" s="610"/>
      <c r="J29" s="476"/>
      <c r="K29" s="1683">
        <f t="shared" si="0"/>
        <v>0</v>
      </c>
      <c r="L29" s="471"/>
    </row>
    <row r="30" spans="1:12" x14ac:dyDescent="0.2">
      <c r="A30" s="1517" t="s">
        <v>154</v>
      </c>
      <c r="B30" s="596" t="s">
        <v>758</v>
      </c>
      <c r="C30" s="476"/>
      <c r="D30" s="476"/>
      <c r="E30" s="476"/>
      <c r="F30" s="476"/>
      <c r="G30" s="476"/>
      <c r="H30" s="1954">
        <f>SUMIF(DATA!$A:$A,"10-"&amp;$B30&amp;"-6*",DATA!$F:$F)</f>
        <v>0</v>
      </c>
      <c r="I30" s="610"/>
      <c r="J30" s="476"/>
      <c r="K30" s="1683">
        <f t="shared" si="0"/>
        <v>0</v>
      </c>
      <c r="L30" s="471"/>
    </row>
    <row r="31" spans="1:12" x14ac:dyDescent="0.2">
      <c r="A31" s="1517" t="s">
        <v>155</v>
      </c>
      <c r="B31" s="596" t="s">
        <v>759</v>
      </c>
      <c r="C31" s="476"/>
      <c r="D31" s="476"/>
      <c r="E31" s="476"/>
      <c r="F31" s="476"/>
      <c r="G31" s="476"/>
      <c r="H31" s="1954">
        <f>SUMIF(DATA!$A:$A,"10-"&amp;$B31&amp;"-6*",DATA!$F:$F)</f>
        <v>0</v>
      </c>
      <c r="I31" s="610"/>
      <c r="J31" s="476"/>
      <c r="K31" s="1683">
        <f t="shared" si="0"/>
        <v>0</v>
      </c>
      <c r="L31" s="471"/>
    </row>
    <row r="32" spans="1:12" x14ac:dyDescent="0.2">
      <c r="A32" s="1518" t="s">
        <v>1190</v>
      </c>
      <c r="B32" s="608" t="s">
        <v>760</v>
      </c>
      <c r="C32" s="476"/>
      <c r="D32" s="476"/>
      <c r="E32" s="476"/>
      <c r="F32" s="476"/>
      <c r="G32" s="476"/>
      <c r="H32" s="1954">
        <f>SUMIF(DATA!$A:$A,"10-"&amp;$B32&amp;"-6*",DATA!$F:$F)</f>
        <v>0</v>
      </c>
      <c r="I32" s="610"/>
      <c r="J32" s="479"/>
      <c r="K32" s="1683">
        <f t="shared" si="0"/>
        <v>0</v>
      </c>
      <c r="L32" s="471"/>
    </row>
    <row r="33" spans="1:14" ht="12.75" customHeight="1" thickBot="1" x14ac:dyDescent="0.25">
      <c r="A33" s="1680" t="s">
        <v>1766</v>
      </c>
      <c r="B33" s="1681" t="s">
        <v>590</v>
      </c>
      <c r="C33" s="1682">
        <f>SUM(C5:C32)</f>
        <v>6336892</v>
      </c>
      <c r="D33" s="1682">
        <f t="shared" ref="D33:L33" si="1">SUM(D5:D32)</f>
        <v>2110753</v>
      </c>
      <c r="E33" s="1682">
        <f t="shared" si="1"/>
        <v>278946</v>
      </c>
      <c r="F33" s="1682">
        <f t="shared" si="1"/>
        <v>129185</v>
      </c>
      <c r="G33" s="1682">
        <f t="shared" si="1"/>
        <v>44325</v>
      </c>
      <c r="H33" s="1682">
        <f t="shared" si="1"/>
        <v>701643</v>
      </c>
      <c r="I33" s="1682">
        <f t="shared" si="1"/>
        <v>0</v>
      </c>
      <c r="J33" s="1682">
        <f t="shared" si="1"/>
        <v>0</v>
      </c>
      <c r="K33" s="1682">
        <f t="shared" si="1"/>
        <v>9601744</v>
      </c>
      <c r="L33" s="1682">
        <f t="shared" si="1"/>
        <v>10275966</v>
      </c>
    </row>
    <row r="34" spans="1:14" s="614" customFormat="1" ht="15.75" customHeight="1" thickTop="1" x14ac:dyDescent="0.2">
      <c r="A34" s="1620" t="s">
        <v>48</v>
      </c>
      <c r="B34" s="1621" t="s">
        <v>589</v>
      </c>
      <c r="C34" s="612"/>
      <c r="D34" s="612"/>
      <c r="E34" s="612"/>
      <c r="F34" s="612"/>
      <c r="G34" s="612"/>
      <c r="H34" s="612"/>
      <c r="I34" s="610"/>
      <c r="J34" s="610"/>
      <c r="K34" s="610"/>
      <c r="L34" s="610"/>
      <c r="M34" s="613"/>
      <c r="N34" s="613"/>
    </row>
    <row r="35" spans="1:14" s="614" customFormat="1" ht="15.75" customHeight="1" x14ac:dyDescent="0.2">
      <c r="A35" s="615" t="s">
        <v>611</v>
      </c>
      <c r="B35" s="616"/>
      <c r="C35" s="617"/>
      <c r="D35" s="617"/>
      <c r="E35" s="617"/>
      <c r="F35" s="617"/>
      <c r="G35" s="617"/>
      <c r="H35" s="617"/>
      <c r="I35" s="610"/>
      <c r="J35" s="610"/>
      <c r="K35" s="610"/>
      <c r="L35" s="610"/>
      <c r="M35" s="613"/>
      <c r="N35" s="613"/>
    </row>
    <row r="36" spans="1:14" x14ac:dyDescent="0.2">
      <c r="A36" s="1516" t="s">
        <v>1149</v>
      </c>
      <c r="B36" s="608">
        <v>2110</v>
      </c>
      <c r="C36" s="1954">
        <f>ROUND(SUMIF(DATA!$A:$A,"10-"&amp;LEFT($B36,3)&amp;"*-"&amp;MID(C$1,2,1)&amp;"*",DATA!$F:$F),0)</f>
        <v>226728</v>
      </c>
      <c r="D36" s="1954">
        <f>ROUND(SUMIF(DATA!$A:$A,"10-"&amp;LEFT($B36,3)&amp;"*-"&amp;MID(D$1,2,1)&amp;"*",DATA!$F:$F),0)</f>
        <v>54359</v>
      </c>
      <c r="E36" s="1954">
        <f>ROUND(SUMIF(DATA!$A:$A,"10-"&amp;LEFT($B36,3)&amp;"*-"&amp;MID(E$1,2,1)&amp;"*",DATA!$F:$F),0)</f>
        <v>1151</v>
      </c>
      <c r="F36" s="1954">
        <f>ROUND(SUMIF(DATA!$A:$A,"10-"&amp;LEFT($B36,3)&amp;"*-"&amp;MID(F$1,2,1)&amp;"*",DATA!$F:$F),0)</f>
        <v>863</v>
      </c>
      <c r="G36" s="1954">
        <f>ROUND(SUMIF(DATA!$A:$A,"10-"&amp;LEFT($B36,3)&amp;"*-"&amp;MID(G$1,2,1)&amp;"*",DATA!$F:$F),0)</f>
        <v>0</v>
      </c>
      <c r="H36" s="1954">
        <f>ROUND(SUMIF(DATA!$A:$A,"10-"&amp;LEFT($B36,3)&amp;"*-"&amp;MID(H$1,2,1)&amp;"*",DATA!$F:$F),0)</f>
        <v>0</v>
      </c>
      <c r="I36" s="1954">
        <f>ROUND(SUMIF(DATA!$A:$A,"10-"&amp;LEFT($B36,3)&amp;"*-"&amp;MID(I$1,2,1)&amp;"*",DATA!$F:$F),0)</f>
        <v>0</v>
      </c>
      <c r="J36" s="1954">
        <f>ROUND(SUMIF(DATA!$A:$A,"10-"&amp;LEFT($B36,3)&amp;"*-"&amp;MID(J$1,2,1)&amp;"*",DATA!$F:$F),0)</f>
        <v>0</v>
      </c>
      <c r="K36" s="1683">
        <f t="shared" ref="K36:K41" si="2">SUM(C36:J36)</f>
        <v>283101</v>
      </c>
      <c r="L36" s="466">
        <v>313419</v>
      </c>
    </row>
    <row r="37" spans="1:14" x14ac:dyDescent="0.2">
      <c r="A37" s="1516" t="s">
        <v>1150</v>
      </c>
      <c r="B37" s="608">
        <v>2120</v>
      </c>
      <c r="C37" s="1954">
        <f>ROUND(SUMIF(DATA!$A:$A,"10-"&amp;LEFT($B37,3)&amp;"*-"&amp;MID(C$1,2,1)&amp;"*",DATA!$F:$F),0)</f>
        <v>395378</v>
      </c>
      <c r="D37" s="1954">
        <f>ROUND(SUMIF(DATA!$A:$A,"10-"&amp;LEFT($B37,3)&amp;"*-"&amp;MID(D$1,2,1)&amp;"*",DATA!$F:$F),0)</f>
        <v>130213</v>
      </c>
      <c r="E37" s="1954">
        <f>ROUND(SUMIF(DATA!$A:$A,"10-"&amp;LEFT($B37,3)&amp;"*-"&amp;MID(E$1,2,1)&amp;"*",DATA!$F:$F),0)</f>
        <v>0</v>
      </c>
      <c r="F37" s="1954">
        <f>ROUND(SUMIF(DATA!$A:$A,"10-"&amp;LEFT($B37,3)&amp;"*-"&amp;MID(F$1,2,1)&amp;"*",DATA!$F:$F),0)</f>
        <v>3986</v>
      </c>
      <c r="G37" s="1954">
        <f>ROUND(SUMIF(DATA!$A:$A,"10-"&amp;LEFT($B37,3)&amp;"*-"&amp;MID(G$1,2,1)&amp;"*",DATA!$F:$F),0)</f>
        <v>0</v>
      </c>
      <c r="H37" s="1954">
        <f>ROUND(SUMIF(DATA!$A:$A,"10-"&amp;LEFT($B37,3)&amp;"*-"&amp;MID(H$1,2,1)&amp;"*",DATA!$F:$F),0)</f>
        <v>240</v>
      </c>
      <c r="I37" s="1954">
        <f>ROUND(SUMIF(DATA!$A:$A,"10-"&amp;LEFT($B37,3)&amp;"*-"&amp;MID(I$1,2,1)&amp;"*",DATA!$F:$F),0)</f>
        <v>0</v>
      </c>
      <c r="J37" s="1954">
        <f>ROUND(SUMIF(DATA!$A:$A,"10-"&amp;LEFT($B37,3)&amp;"*-"&amp;MID(J$1,2,1)&amp;"*",DATA!$F:$F),0)</f>
        <v>0</v>
      </c>
      <c r="K37" s="1683">
        <f t="shared" si="2"/>
        <v>529817</v>
      </c>
      <c r="L37" s="466">
        <v>520669</v>
      </c>
    </row>
    <row r="38" spans="1:14" x14ac:dyDescent="0.2">
      <c r="A38" s="1516" t="s">
        <v>207</v>
      </c>
      <c r="B38" s="608">
        <v>2130</v>
      </c>
      <c r="C38" s="1954">
        <f>ROUND(SUMIF(DATA!$A:$A,"10-"&amp;LEFT($B38,3)&amp;"*-"&amp;MID(C$1,2,1)&amp;"*",DATA!$F:$F),0)</f>
        <v>46220</v>
      </c>
      <c r="D38" s="1954">
        <f>ROUND(SUMIF(DATA!$A:$A,"10-"&amp;LEFT($B38,3)&amp;"*-"&amp;MID(D$1,2,1)&amp;"*",DATA!$F:$F),0)</f>
        <v>17275</v>
      </c>
      <c r="E38" s="1954">
        <f>ROUND(SUMIF(DATA!$A:$A,"10-"&amp;LEFT($B38,3)&amp;"*-"&amp;MID(E$1,2,1)&amp;"*",DATA!$F:$F),0)</f>
        <v>105</v>
      </c>
      <c r="F38" s="1954">
        <f>ROUND(SUMIF(DATA!$A:$A,"10-"&amp;LEFT($B38,3)&amp;"*-"&amp;MID(F$1,2,1)&amp;"*",DATA!$F:$F),0)</f>
        <v>484</v>
      </c>
      <c r="G38" s="1954">
        <f>ROUND(SUMIF(DATA!$A:$A,"10-"&amp;LEFT($B38,3)&amp;"*-"&amp;MID(G$1,2,1)&amp;"*",DATA!$F:$F),0)</f>
        <v>0</v>
      </c>
      <c r="H38" s="1954">
        <f>ROUND(SUMIF(DATA!$A:$A,"10-"&amp;LEFT($B38,3)&amp;"*-"&amp;MID(H$1,2,1)&amp;"*",DATA!$F:$F),0)</f>
        <v>0</v>
      </c>
      <c r="I38" s="1954">
        <f>ROUND(SUMIF(DATA!$A:$A,"10-"&amp;LEFT($B38,3)&amp;"*-"&amp;MID(I$1,2,1)&amp;"*",DATA!$F:$F),0)</f>
        <v>0</v>
      </c>
      <c r="J38" s="1954">
        <f>ROUND(SUMIF(DATA!$A:$A,"10-"&amp;LEFT($B38,3)&amp;"*-"&amp;MID(J$1,2,1)&amp;"*",DATA!$F:$F),0)</f>
        <v>0</v>
      </c>
      <c r="K38" s="1683">
        <f t="shared" si="2"/>
        <v>64084</v>
      </c>
      <c r="L38" s="466">
        <v>56950</v>
      </c>
    </row>
    <row r="39" spans="1:14" x14ac:dyDescent="0.2">
      <c r="A39" s="1516" t="s">
        <v>208</v>
      </c>
      <c r="B39" s="608">
        <v>2140</v>
      </c>
      <c r="C39" s="1954">
        <f>ROUND(SUMIF(DATA!$A:$A,"10-"&amp;LEFT($B39,3)&amp;"*-"&amp;MID(C$1,2,1)&amp;"*",DATA!$F:$F),0)</f>
        <v>73448</v>
      </c>
      <c r="D39" s="1954">
        <f>ROUND(SUMIF(DATA!$A:$A,"10-"&amp;LEFT($B39,3)&amp;"*-"&amp;MID(D$1,2,1)&amp;"*",DATA!$F:$F),0)</f>
        <v>26215</v>
      </c>
      <c r="E39" s="1954">
        <f>ROUND(SUMIF(DATA!$A:$A,"10-"&amp;LEFT($B39,3)&amp;"*-"&amp;MID(E$1,2,1)&amp;"*",DATA!$F:$F),0)</f>
        <v>789</v>
      </c>
      <c r="F39" s="1954">
        <f>ROUND(SUMIF(DATA!$A:$A,"10-"&amp;LEFT($B39,3)&amp;"*-"&amp;MID(F$1,2,1)&amp;"*",DATA!$F:$F),0)</f>
        <v>1220</v>
      </c>
      <c r="G39" s="1954">
        <f>ROUND(SUMIF(DATA!$A:$A,"10-"&amp;LEFT($B39,3)&amp;"*-"&amp;MID(G$1,2,1)&amp;"*",DATA!$F:$F),0)</f>
        <v>0</v>
      </c>
      <c r="H39" s="1954">
        <f>ROUND(SUMIF(DATA!$A:$A,"10-"&amp;LEFT($B39,3)&amp;"*-"&amp;MID(H$1,2,1)&amp;"*",DATA!$F:$F),0)</f>
        <v>0</v>
      </c>
      <c r="I39" s="1954">
        <f>ROUND(SUMIF(DATA!$A:$A,"10-"&amp;LEFT($B39,3)&amp;"*-"&amp;MID(I$1,2,1)&amp;"*",DATA!$F:$F),0)</f>
        <v>0</v>
      </c>
      <c r="J39" s="1954">
        <f>ROUND(SUMIF(DATA!$A:$A,"10-"&amp;LEFT($B39,3)&amp;"*-"&amp;MID(J$1,2,1)&amp;"*",DATA!$F:$F),0)</f>
        <v>0</v>
      </c>
      <c r="K39" s="1683">
        <f t="shared" si="2"/>
        <v>101672</v>
      </c>
      <c r="L39" s="466">
        <v>110750</v>
      </c>
    </row>
    <row r="40" spans="1:14" x14ac:dyDescent="0.2">
      <c r="A40" s="1516" t="s">
        <v>209</v>
      </c>
      <c r="B40" s="608">
        <v>2150</v>
      </c>
      <c r="C40" s="1954">
        <f>ROUND(SUMIF(DATA!$A:$A,"10-"&amp;LEFT($B40,3)&amp;"*-"&amp;MID(C$1,2,1)&amp;"*",DATA!$F:$F),0)</f>
        <v>47383</v>
      </c>
      <c r="D40" s="1954">
        <f>ROUND(SUMIF(DATA!$A:$A,"10-"&amp;LEFT($B40,3)&amp;"*-"&amp;MID(D$1,2,1)&amp;"*",DATA!$F:$F),0)</f>
        <v>17087</v>
      </c>
      <c r="E40" s="1954">
        <f>ROUND(SUMIF(DATA!$A:$A,"10-"&amp;LEFT($B40,3)&amp;"*-"&amp;MID(E$1,2,1)&amp;"*",DATA!$F:$F),0)</f>
        <v>0</v>
      </c>
      <c r="F40" s="1954">
        <f>ROUND(SUMIF(DATA!$A:$A,"10-"&amp;LEFT($B40,3)&amp;"*-"&amp;MID(F$1,2,1)&amp;"*",DATA!$F:$F),0)</f>
        <v>34</v>
      </c>
      <c r="G40" s="1954">
        <f>ROUND(SUMIF(DATA!$A:$A,"10-"&amp;LEFT($B40,3)&amp;"*-"&amp;MID(G$1,2,1)&amp;"*",DATA!$F:$F),0)</f>
        <v>0</v>
      </c>
      <c r="H40" s="1954">
        <f>ROUND(SUMIF(DATA!$A:$A,"10-"&amp;LEFT($B40,3)&amp;"*-"&amp;MID(H$1,2,1)&amp;"*",DATA!$F:$F),0)</f>
        <v>0</v>
      </c>
      <c r="I40" s="1954">
        <f>ROUND(SUMIF(DATA!$A:$A,"10-"&amp;LEFT($B40,3)&amp;"*-"&amp;MID(I$1,2,1)&amp;"*",DATA!$F:$F),0)</f>
        <v>0</v>
      </c>
      <c r="J40" s="1954">
        <f>ROUND(SUMIF(DATA!$A:$A,"10-"&amp;LEFT($B40,3)&amp;"*-"&amp;MID(J$1,2,1)&amp;"*",DATA!$F:$F),0)</f>
        <v>0</v>
      </c>
      <c r="K40" s="1683">
        <f t="shared" si="2"/>
        <v>64504</v>
      </c>
      <c r="L40" s="466">
        <v>62665</v>
      </c>
    </row>
    <row r="41" spans="1:14" x14ac:dyDescent="0.2">
      <c r="A41" s="1516" t="s">
        <v>1767</v>
      </c>
      <c r="B41" s="608">
        <v>2190</v>
      </c>
      <c r="C41" s="1954">
        <f>ROUND(SUMIF(DATA!$A:$A,"10-"&amp;LEFT($B41,3)&amp;"*-"&amp;MID(C$1,2,1)&amp;"*",DATA!$F:$F),0)</f>
        <v>115148</v>
      </c>
      <c r="D41" s="1954">
        <f>ROUND(SUMIF(DATA!$A:$A,"10-"&amp;LEFT($B41,3)&amp;"*-"&amp;MID(D$1,2,1)&amp;"*",DATA!$F:$F),0)</f>
        <v>15804</v>
      </c>
      <c r="E41" s="1954">
        <f>ROUND(SUMIF(DATA!$A:$A,"10-"&amp;LEFT($B41,3)&amp;"*-"&amp;MID(E$1,2,1)&amp;"*",DATA!$F:$F),0)</f>
        <v>356</v>
      </c>
      <c r="F41" s="1954">
        <f>ROUND(SUMIF(DATA!$A:$A,"10-"&amp;LEFT($B41,3)&amp;"*-"&amp;MID(F$1,2,1)&amp;"*",DATA!$F:$F),0)</f>
        <v>0</v>
      </c>
      <c r="G41" s="1954">
        <f>ROUND(SUMIF(DATA!$A:$A,"10-"&amp;LEFT($B41,3)&amp;"*-"&amp;MID(G$1,2,1)&amp;"*",DATA!$F:$F),0)</f>
        <v>0</v>
      </c>
      <c r="H41" s="1954">
        <f>ROUND(SUMIF(DATA!$A:$A,"10-"&amp;LEFT($B41,3)&amp;"*-"&amp;MID(H$1,2,1)&amp;"*",DATA!$F:$F),0)</f>
        <v>0</v>
      </c>
      <c r="I41" s="1954">
        <f>ROUND(SUMIF(DATA!$A:$A,"10-"&amp;LEFT($B41,3)&amp;"*-"&amp;MID(I$1,2,1)&amp;"*",DATA!$F:$F),0)</f>
        <v>0</v>
      </c>
      <c r="J41" s="1954">
        <f>ROUND(SUMIF(DATA!$A:$A,"10-"&amp;LEFT($B41,3)&amp;"*-"&amp;MID(J$1,2,1)&amp;"*",DATA!$F:$F),0)</f>
        <v>0</v>
      </c>
      <c r="K41" s="1683">
        <f t="shared" si="2"/>
        <v>131308</v>
      </c>
      <c r="L41" s="466">
        <v>132920</v>
      </c>
    </row>
    <row r="42" spans="1:14" ht="12.75" customHeight="1" thickBot="1" x14ac:dyDescent="0.25">
      <c r="A42" s="1680" t="s">
        <v>580</v>
      </c>
      <c r="B42" s="1681" t="s">
        <v>739</v>
      </c>
      <c r="C42" s="1682">
        <f>SUM(C36:C41)</f>
        <v>904305</v>
      </c>
      <c r="D42" s="1682">
        <f t="shared" ref="D42:L42" si="3">SUM(D36:D41)</f>
        <v>260953</v>
      </c>
      <c r="E42" s="1682">
        <f t="shared" si="3"/>
        <v>2401</v>
      </c>
      <c r="F42" s="1682">
        <f t="shared" si="3"/>
        <v>6587</v>
      </c>
      <c r="G42" s="1682">
        <f t="shared" si="3"/>
        <v>0</v>
      </c>
      <c r="H42" s="1682">
        <f t="shared" si="3"/>
        <v>240</v>
      </c>
      <c r="I42" s="1682">
        <f t="shared" si="3"/>
        <v>0</v>
      </c>
      <c r="J42" s="1682">
        <f t="shared" si="3"/>
        <v>0</v>
      </c>
      <c r="K42" s="1682">
        <f t="shared" si="3"/>
        <v>1174486</v>
      </c>
      <c r="L42" s="1682">
        <f t="shared" si="3"/>
        <v>1197373</v>
      </c>
    </row>
    <row r="43" spans="1:14" ht="15.75" customHeight="1" thickTop="1" x14ac:dyDescent="0.2">
      <c r="A43" s="618" t="s">
        <v>612</v>
      </c>
      <c r="B43" s="619"/>
      <c r="C43" s="620"/>
      <c r="D43" s="620"/>
      <c r="E43" s="620"/>
      <c r="F43" s="620"/>
      <c r="G43" s="620"/>
      <c r="H43" s="620"/>
      <c r="I43" s="610"/>
      <c r="J43" s="610"/>
      <c r="K43" s="620"/>
      <c r="L43" s="620"/>
    </row>
    <row r="44" spans="1:14" x14ac:dyDescent="0.2">
      <c r="A44" s="1516" t="s">
        <v>867</v>
      </c>
      <c r="B44" s="608">
        <v>2210</v>
      </c>
      <c r="C44" s="1954">
        <f>ROUND(SUMIF(DATA!$A:$A,"10-"&amp;LEFT($B44,3)&amp;"*-"&amp;MID(C$1,2,1)&amp;"*",DATA!$F:$F),0)</f>
        <v>73550</v>
      </c>
      <c r="D44" s="1954">
        <f>ROUND(SUMIF(DATA!$A:$A,"10-"&amp;LEFT($B44,3)&amp;"*-"&amp;MID(D$1,2,1)&amp;"*",DATA!$F:$F),0)</f>
        <v>26202</v>
      </c>
      <c r="E44" s="1954">
        <f>ROUND(SUMIF(DATA!$A:$A,"10-"&amp;LEFT($B44,3)&amp;"*-"&amp;MID(E$1,2,1)&amp;"*",DATA!$F:$F),0)</f>
        <v>43122</v>
      </c>
      <c r="F44" s="1954">
        <f>ROUND(SUMIF(DATA!$A:$A,"10-"&amp;LEFT($B44,3)&amp;"*-"&amp;MID(F$1,2,1)&amp;"*",DATA!$F:$F),0)</f>
        <v>0</v>
      </c>
      <c r="G44" s="1954">
        <f>ROUND(SUMIF(DATA!$A:$A,"10-"&amp;LEFT($B44,3)&amp;"*-"&amp;MID(G$1,2,1)&amp;"*",DATA!$F:$F),0)</f>
        <v>0</v>
      </c>
      <c r="H44" s="1954">
        <f>ROUND(SUMIF(DATA!$A:$A,"10-"&amp;LEFT($B44,3)&amp;"*-"&amp;MID(H$1,2,1)&amp;"*",DATA!$F:$F),0)</f>
        <v>0</v>
      </c>
      <c r="I44" s="1954">
        <f>ROUND(SUMIF(DATA!$A:$A,"10-"&amp;LEFT($B44,3)&amp;"*-"&amp;MID(I$1,2,1)&amp;"*",DATA!$F:$F),0)</f>
        <v>0</v>
      </c>
      <c r="J44" s="1954">
        <f>ROUND(SUMIF(DATA!$A:$A,"10-"&amp;LEFT($B44,3)&amp;"*-"&amp;MID(J$1,2,1)&amp;"*",DATA!$F:$F),0)</f>
        <v>0</v>
      </c>
      <c r="K44" s="1684">
        <f>SUM(C44:J44)</f>
        <v>142874</v>
      </c>
      <c r="L44" s="480">
        <v>152350</v>
      </c>
    </row>
    <row r="45" spans="1:14" x14ac:dyDescent="0.2">
      <c r="A45" s="1516" t="s">
        <v>868</v>
      </c>
      <c r="B45" s="608">
        <v>2220</v>
      </c>
      <c r="C45" s="1954">
        <f>ROUND(SUMIF(DATA!$A:$A,"10-"&amp;LEFT($B45,3)&amp;"*-"&amp;MID(C$1,2,1)&amp;"*",DATA!$F:$F),0)</f>
        <v>43188</v>
      </c>
      <c r="D45" s="1954">
        <f>ROUND(SUMIF(DATA!$A:$A,"10-"&amp;LEFT($B45,3)&amp;"*-"&amp;MID(D$1,2,1)&amp;"*",DATA!$F:$F),0)</f>
        <v>18395</v>
      </c>
      <c r="E45" s="1954">
        <f>ROUND(SUMIF(DATA!$A:$A,"10-"&amp;LEFT($B45,3)&amp;"*-"&amp;MID(E$1,2,1)&amp;"*",DATA!$F:$F),0)</f>
        <v>5881</v>
      </c>
      <c r="F45" s="1954">
        <f>ROUND(SUMIF(DATA!$A:$A,"10-"&amp;LEFT($B45,3)&amp;"*-"&amp;MID(F$1,2,1)&amp;"*",DATA!$F:$F),0)</f>
        <v>4684</v>
      </c>
      <c r="G45" s="1954">
        <f>ROUND(SUMIF(DATA!$A:$A,"10-"&amp;LEFT($B45,3)&amp;"*-"&amp;MID(G$1,2,1)&amp;"*",DATA!$F:$F),0)</f>
        <v>0</v>
      </c>
      <c r="H45" s="1954">
        <f>ROUND(SUMIF(DATA!$A:$A,"10-"&amp;LEFT($B45,3)&amp;"*-"&amp;MID(H$1,2,1)&amp;"*",DATA!$F:$F),0)</f>
        <v>0</v>
      </c>
      <c r="I45" s="1954">
        <f>ROUND(SUMIF(DATA!$A:$A,"10-"&amp;LEFT($B45,3)&amp;"*-"&amp;MID(I$1,2,1)&amp;"*",DATA!$F:$F),0)</f>
        <v>0</v>
      </c>
      <c r="J45" s="1954">
        <f>ROUND(SUMIF(DATA!$A:$A,"10-"&amp;LEFT($B45,3)&amp;"*-"&amp;MID(J$1,2,1)&amp;"*",DATA!$F:$F),0)</f>
        <v>0</v>
      </c>
      <c r="K45" s="1684">
        <f>SUM(C45:J45)</f>
        <v>72148</v>
      </c>
      <c r="L45" s="466">
        <v>74505</v>
      </c>
    </row>
    <row r="46" spans="1:14" x14ac:dyDescent="0.2">
      <c r="A46" s="1516" t="s">
        <v>869</v>
      </c>
      <c r="B46" s="608">
        <v>2230</v>
      </c>
      <c r="C46" s="1954">
        <f>ROUND(SUMIF(DATA!$A:$A,"10-"&amp;LEFT($B46,3)&amp;"*-"&amp;MID(C$1,2,1)&amp;"*",DATA!$F:$F),0)</f>
        <v>0</v>
      </c>
      <c r="D46" s="1954">
        <f>ROUND(SUMIF(DATA!$A:$A,"10-"&amp;LEFT($B46,3)&amp;"*-"&amp;MID(D$1,2,1)&amp;"*",DATA!$F:$F),0)</f>
        <v>0</v>
      </c>
      <c r="E46" s="1954">
        <f>ROUND(SUMIF(DATA!$A:$A,"10-"&amp;LEFT($B46,3)&amp;"*-"&amp;MID(E$1,2,1)&amp;"*",DATA!$F:$F),0)</f>
        <v>0</v>
      </c>
      <c r="F46" s="1954">
        <f>ROUND(SUMIF(DATA!$A:$A,"10-"&amp;LEFT($B46,3)&amp;"*-"&amp;MID(F$1,2,1)&amp;"*",DATA!$F:$F),0)</f>
        <v>7607</v>
      </c>
      <c r="G46" s="1954">
        <f>ROUND(SUMIF(DATA!$A:$A,"10-"&amp;LEFT($B46,3)&amp;"*-"&amp;MID(G$1,2,1)&amp;"*",DATA!$F:$F),0)</f>
        <v>0</v>
      </c>
      <c r="H46" s="1954">
        <f>ROUND(SUMIF(DATA!$A:$A,"10-"&amp;LEFT($B46,3)&amp;"*-"&amp;MID(H$1,2,1)&amp;"*",DATA!$F:$F),0)</f>
        <v>0</v>
      </c>
      <c r="I46" s="1954">
        <f>ROUND(SUMIF(DATA!$A:$A,"10-"&amp;LEFT($B46,3)&amp;"*-"&amp;MID(I$1,2,1)&amp;"*",DATA!$F:$F),0)</f>
        <v>0</v>
      </c>
      <c r="J46" s="1954">
        <f>ROUND(SUMIF(DATA!$A:$A,"10-"&amp;LEFT($B46,3)&amp;"*-"&amp;MID(J$1,2,1)&amp;"*",DATA!$F:$F),0)</f>
        <v>0</v>
      </c>
      <c r="K46" s="1684">
        <f>SUM(C46:J46)</f>
        <v>7607</v>
      </c>
      <c r="L46" s="466">
        <v>7996</v>
      </c>
    </row>
    <row r="47" spans="1:14" ht="12.75" customHeight="1" thickBot="1" x14ac:dyDescent="0.25">
      <c r="A47" s="1680" t="s">
        <v>581</v>
      </c>
      <c r="B47" s="1681" t="s">
        <v>32</v>
      </c>
      <c r="C47" s="1682">
        <f>SUM(C44:C46)</f>
        <v>116738</v>
      </c>
      <c r="D47" s="1682">
        <f t="shared" ref="D47:K47" si="4">SUM(D44:D46)</f>
        <v>44597</v>
      </c>
      <c r="E47" s="1682">
        <f t="shared" si="4"/>
        <v>49003</v>
      </c>
      <c r="F47" s="1682">
        <f t="shared" si="4"/>
        <v>12291</v>
      </c>
      <c r="G47" s="1682">
        <f t="shared" si="4"/>
        <v>0</v>
      </c>
      <c r="H47" s="1682">
        <f t="shared" si="4"/>
        <v>0</v>
      </c>
      <c r="I47" s="1682">
        <f t="shared" si="4"/>
        <v>0</v>
      </c>
      <c r="J47" s="1682">
        <f t="shared" si="4"/>
        <v>0</v>
      </c>
      <c r="K47" s="1682">
        <f t="shared" si="4"/>
        <v>222629</v>
      </c>
      <c r="L47" s="1682">
        <f>SUM(L44:L46)</f>
        <v>234851</v>
      </c>
    </row>
    <row r="48" spans="1:14" ht="15.75" customHeight="1" thickTop="1" x14ac:dyDescent="0.2">
      <c r="A48" s="618" t="s">
        <v>630</v>
      </c>
      <c r="B48" s="619"/>
      <c r="C48" s="620"/>
      <c r="D48" s="620"/>
      <c r="E48" s="620"/>
      <c r="F48" s="620"/>
      <c r="G48" s="620"/>
      <c r="H48" s="620"/>
      <c r="I48" s="610"/>
      <c r="J48" s="610"/>
      <c r="K48" s="620"/>
      <c r="L48" s="620"/>
    </row>
    <row r="49" spans="1:14" x14ac:dyDescent="0.2">
      <c r="A49" s="1516" t="s">
        <v>870</v>
      </c>
      <c r="B49" s="608">
        <v>2310</v>
      </c>
      <c r="C49" s="1954">
        <f>ROUND(SUMIF(DATA!$A:$A,"10-"&amp;LEFT($B49,3)&amp;"*-"&amp;MID(C$1,2,1)&amp;"*",DATA!$F:$F),0)</f>
        <v>0</v>
      </c>
      <c r="D49" s="1954">
        <f>ROUND(SUMIF(DATA!$A:$A,"10-"&amp;LEFT($B49,3)&amp;"*-"&amp;MID(D$1,2,1)&amp;"*",DATA!$F:$F),0)</f>
        <v>0</v>
      </c>
      <c r="E49" s="1954">
        <f>ROUND(SUMIF(DATA!$A:$A,"10-"&amp;LEFT($B49,3)&amp;"*-"&amp;MID(E$1,2,1)&amp;"*",DATA!$F:$F),0)</f>
        <v>124313</v>
      </c>
      <c r="F49" s="1954">
        <f>ROUND(SUMIF(DATA!$A:$A,"10-"&amp;LEFT($B49,3)&amp;"*-"&amp;MID(F$1,2,1)&amp;"*",DATA!$F:$F),0)</f>
        <v>225</v>
      </c>
      <c r="G49" s="1954">
        <f>ROUND(SUMIF(DATA!$A:$A,"10-"&amp;LEFT($B49,3)&amp;"*-"&amp;MID(G$1,2,1)&amp;"*",DATA!$F:$F),0)</f>
        <v>0</v>
      </c>
      <c r="H49" s="1954">
        <f>ROUND(SUMIF(DATA!$A:$A,"10-"&amp;LEFT($B49,3)&amp;"*-"&amp;MID(H$1,2,1)&amp;"*",DATA!$F:$F),0)</f>
        <v>495767</v>
      </c>
      <c r="I49" s="1954">
        <f>ROUND(SUMIF(DATA!$A:$A,"10-"&amp;LEFT($B49,3)&amp;"*-"&amp;MID(I$1,2,1)&amp;"*",DATA!$F:$F),0)</f>
        <v>0</v>
      </c>
      <c r="J49" s="1954">
        <f>ROUND(SUMIF(DATA!$A:$A,"10-"&amp;LEFT($B49,3)&amp;"*-"&amp;MID(J$1,2,1)&amp;"*",DATA!$F:$F),0)</f>
        <v>0</v>
      </c>
      <c r="K49" s="1684">
        <f>SUM(C49:J49)</f>
        <v>620305</v>
      </c>
      <c r="L49" s="480">
        <v>384600</v>
      </c>
    </row>
    <row r="50" spans="1:14" x14ac:dyDescent="0.2">
      <c r="A50" s="1516" t="s">
        <v>871</v>
      </c>
      <c r="B50" s="608">
        <v>2320</v>
      </c>
      <c r="C50" s="1954">
        <f>ROUND(SUMIF(DATA!$A:$A,"10-"&amp;LEFT($B50,3)&amp;"*-"&amp;MID(C$1,2,1)&amp;"*",DATA!$F:$F),0)</f>
        <v>174683</v>
      </c>
      <c r="D50" s="1954">
        <f>ROUND(SUMIF(DATA!$A:$A,"10-"&amp;LEFT($B50,3)&amp;"*-"&amp;MID(D$1,2,1)&amp;"*",DATA!$F:$F),0)</f>
        <v>42082</v>
      </c>
      <c r="E50" s="1954">
        <f>ROUND(SUMIF(DATA!$A:$A,"10-"&amp;LEFT($B50,3)&amp;"*-"&amp;MID(E$1,2,1)&amp;"*",DATA!$F:$F),0)</f>
        <v>1373</v>
      </c>
      <c r="F50" s="1954">
        <f>ROUND(SUMIF(DATA!$A:$A,"10-"&amp;LEFT($B50,3)&amp;"*-"&amp;MID(F$1,2,1)&amp;"*",DATA!$F:$F),0)</f>
        <v>367</v>
      </c>
      <c r="G50" s="1954">
        <f>ROUND(SUMIF(DATA!$A:$A,"10-"&amp;LEFT($B50,3)&amp;"*-"&amp;MID(G$1,2,1)&amp;"*",DATA!$F:$F),0)</f>
        <v>0</v>
      </c>
      <c r="H50" s="1954">
        <f>ROUND(SUMIF(DATA!$A:$A,"10-"&amp;LEFT($B50,3)&amp;"*-"&amp;MID(H$1,2,1)&amp;"*",DATA!$F:$F),0)</f>
        <v>4059</v>
      </c>
      <c r="I50" s="1954">
        <f>ROUND(SUMIF(DATA!$A:$A,"10-"&amp;LEFT($B50,3)&amp;"*-"&amp;MID(I$1,2,1)&amp;"*",DATA!$F:$F),0)</f>
        <v>0</v>
      </c>
      <c r="J50" s="1954">
        <f>ROUND(SUMIF(DATA!$A:$A,"10-"&amp;LEFT($B50,3)&amp;"*-"&amp;MID(J$1,2,1)&amp;"*",DATA!$F:$F),0)</f>
        <v>0</v>
      </c>
      <c r="K50" s="1684">
        <f>SUM(C50:J50)</f>
        <v>222564</v>
      </c>
      <c r="L50" s="466">
        <v>227510</v>
      </c>
    </row>
    <row r="51" spans="1:14" x14ac:dyDescent="0.2">
      <c r="A51" s="1516" t="s">
        <v>44</v>
      </c>
      <c r="B51" s="608">
        <v>2330</v>
      </c>
      <c r="C51" s="1954">
        <f>ROUND(SUMIF(DATA!$A:$A,"10-"&amp;LEFT($B51,3)&amp;"*-"&amp;MID(C$1,2,1)&amp;"*",DATA!$F:$F),0)</f>
        <v>0</v>
      </c>
      <c r="D51" s="1954">
        <f>ROUND(SUMIF(DATA!$A:$A,"10-"&amp;LEFT($B51,3)&amp;"*-"&amp;MID(D$1,2,1)&amp;"*",DATA!$F:$F),0)</f>
        <v>0</v>
      </c>
      <c r="E51" s="1954">
        <f>ROUND(SUMIF(DATA!$A:$A,"10-"&amp;LEFT($B51,3)&amp;"*-"&amp;MID(E$1,2,1)&amp;"*",DATA!$F:$F),0)</f>
        <v>0</v>
      </c>
      <c r="F51" s="1954">
        <f>ROUND(SUMIF(DATA!$A:$A,"10-"&amp;LEFT($B51,3)&amp;"*-"&amp;MID(F$1,2,1)&amp;"*",DATA!$F:$F),0)</f>
        <v>0</v>
      </c>
      <c r="G51" s="1954">
        <f>ROUND(SUMIF(DATA!$A:$A,"10-"&amp;LEFT($B51,3)&amp;"*-"&amp;MID(G$1,2,1)&amp;"*",DATA!$F:$F),0)</f>
        <v>0</v>
      </c>
      <c r="H51" s="1954">
        <f>ROUND(SUMIF(DATA!$A:$A,"10-"&amp;LEFT($B51,3)&amp;"*-"&amp;MID(H$1,2,1)&amp;"*",DATA!$F:$F),0)</f>
        <v>0</v>
      </c>
      <c r="I51" s="1954">
        <f>ROUND(SUMIF(DATA!$A:$A,"10-"&amp;LEFT($B51,3)&amp;"*-"&amp;MID(I$1,2,1)&amp;"*",DATA!$F:$F),0)</f>
        <v>0</v>
      </c>
      <c r="J51" s="1954">
        <f>ROUND(SUMIF(DATA!$A:$A,"10-"&amp;LEFT($B51,3)&amp;"*-"&amp;MID(J$1,2,1)&amp;"*",DATA!$F:$F),0)</f>
        <v>0</v>
      </c>
      <c r="K51" s="1684">
        <f>SUM(C51:J51)</f>
        <v>0</v>
      </c>
      <c r="L51" s="466">
        <v>0</v>
      </c>
    </row>
    <row r="52" spans="1:14" ht="22.5" x14ac:dyDescent="0.2">
      <c r="A52" s="1517" t="s">
        <v>315</v>
      </c>
      <c r="B52" s="621" t="s">
        <v>383</v>
      </c>
      <c r="C52" s="1954">
        <f>ROUND(SUMIF(DATA!$A:$A,"10-"&amp;LEFT($B52,3)&amp;"*-"&amp;MID(C$1,2,1)&amp;"*",DATA!$F:$F),0)</f>
        <v>0</v>
      </c>
      <c r="D52" s="1954">
        <f>ROUND(SUMIF(DATA!$A:$A,"10-"&amp;LEFT($B52,3)&amp;"*-"&amp;MID(D$1,2,1)&amp;"*",DATA!$F:$F),0)</f>
        <v>0</v>
      </c>
      <c r="E52" s="1954">
        <f>ROUND(SUMIF(DATA!$A:$A,"10-"&amp;LEFT($B52,3)&amp;"*-"&amp;MID(E$1,2,1)&amp;"*",DATA!$F:$F),0)</f>
        <v>0</v>
      </c>
      <c r="F52" s="1954">
        <f>ROUND(SUMIF(DATA!$A:$A,"10-"&amp;LEFT($B52,3)&amp;"*-"&amp;MID(F$1,2,1)&amp;"*",DATA!$F:$F),0)</f>
        <v>0</v>
      </c>
      <c r="G52" s="1954">
        <f>ROUND(SUMIF(DATA!$A:$A,"10-"&amp;LEFT($B52,3)&amp;"*-"&amp;MID(G$1,2,1)&amp;"*",DATA!$F:$F),0)</f>
        <v>0</v>
      </c>
      <c r="H52" s="1954">
        <f>ROUND(SUMIF(DATA!$A:$A,"10-"&amp;LEFT($B52,3)&amp;"*-"&amp;MID(H$1,2,1)&amp;"*",DATA!$F:$F),0)</f>
        <v>0</v>
      </c>
      <c r="I52" s="1954">
        <f>ROUND(SUMIF(DATA!$A:$A,"10-"&amp;LEFT($B52,3)&amp;"*-"&amp;MID(I$1,2,1)&amp;"*",DATA!$F:$F),0)</f>
        <v>0</v>
      </c>
      <c r="J52" s="1954">
        <f>ROUND(SUMIF(DATA!$A:$A,"10-"&amp;LEFT($B52,3)&amp;"*-"&amp;MID(J$1,2,1)&amp;"*",DATA!$F:$F),0)</f>
        <v>0</v>
      </c>
      <c r="K52" s="1684">
        <f>SUM(C52:J52)</f>
        <v>0</v>
      </c>
      <c r="L52" s="474">
        <v>0</v>
      </c>
    </row>
    <row r="53" spans="1:14" ht="12.75" customHeight="1" thickBot="1" x14ac:dyDescent="0.25">
      <c r="A53" s="1680" t="s">
        <v>740</v>
      </c>
      <c r="B53" s="1681" t="s">
        <v>33</v>
      </c>
      <c r="C53" s="1682">
        <f>SUM(C49:C52)</f>
        <v>174683</v>
      </c>
      <c r="D53" s="1682">
        <f t="shared" ref="D53:L53" si="5">SUM(D49:D52)</f>
        <v>42082</v>
      </c>
      <c r="E53" s="1682">
        <f t="shared" si="5"/>
        <v>125686</v>
      </c>
      <c r="F53" s="1682">
        <f t="shared" si="5"/>
        <v>592</v>
      </c>
      <c r="G53" s="1682">
        <f t="shared" si="5"/>
        <v>0</v>
      </c>
      <c r="H53" s="1682">
        <f t="shared" si="5"/>
        <v>499826</v>
      </c>
      <c r="I53" s="1682">
        <f t="shared" si="5"/>
        <v>0</v>
      </c>
      <c r="J53" s="1682">
        <f t="shared" si="5"/>
        <v>0</v>
      </c>
      <c r="K53" s="1682">
        <f t="shared" si="5"/>
        <v>842869</v>
      </c>
      <c r="L53" s="1682">
        <f t="shared" si="5"/>
        <v>612110</v>
      </c>
    </row>
    <row r="54" spans="1:14" ht="15.75" customHeight="1" thickTop="1" x14ac:dyDescent="0.2">
      <c r="A54" s="618" t="s">
        <v>631</v>
      </c>
      <c r="B54" s="619"/>
      <c r="C54" s="620"/>
      <c r="D54" s="620"/>
      <c r="E54" s="620"/>
      <c r="F54" s="620"/>
      <c r="G54" s="620"/>
      <c r="H54" s="620"/>
      <c r="I54" s="610"/>
      <c r="J54" s="610"/>
      <c r="K54" s="620"/>
      <c r="L54" s="620"/>
    </row>
    <row r="55" spans="1:14" x14ac:dyDescent="0.2">
      <c r="A55" s="1516" t="s">
        <v>1126</v>
      </c>
      <c r="B55" s="608">
        <v>2410</v>
      </c>
      <c r="C55" s="1954">
        <f>ROUND(SUMIF(DATA!$A:$A,"10-"&amp;LEFT($B55,3)&amp;"*-"&amp;MID(C$1,2,1)&amp;"*",DATA!$F:$F),0)</f>
        <v>264216</v>
      </c>
      <c r="D55" s="1954">
        <f>ROUND(SUMIF(DATA!$A:$A,"10-"&amp;LEFT($B55,3)&amp;"*-"&amp;MID(D$1,2,1)&amp;"*",DATA!$F:$F),0)</f>
        <v>64621</v>
      </c>
      <c r="E55" s="1954">
        <f>ROUND(SUMIF(DATA!$A:$A,"10-"&amp;LEFT($B55,3)&amp;"*-"&amp;MID(E$1,2,1)&amp;"*",DATA!$F:$F),0)</f>
        <v>2538</v>
      </c>
      <c r="F55" s="1954">
        <f>ROUND(SUMIF(DATA!$A:$A,"10-"&amp;LEFT($B55,3)&amp;"*-"&amp;MID(F$1,2,1)&amp;"*",DATA!$F:$F),0)</f>
        <v>5590</v>
      </c>
      <c r="G55" s="1954">
        <f>ROUND(SUMIF(DATA!$A:$A,"10-"&amp;LEFT($B55,3)&amp;"*-"&amp;MID(G$1,2,1)&amp;"*",DATA!$F:$F),0)</f>
        <v>0</v>
      </c>
      <c r="H55" s="1954">
        <f>ROUND(SUMIF(DATA!$A:$A,"10-"&amp;LEFT($B55,3)&amp;"*-"&amp;MID(H$1,2,1)&amp;"*",DATA!$F:$F),0)</f>
        <v>7825</v>
      </c>
      <c r="I55" s="1954">
        <f>ROUND(SUMIF(DATA!$A:$A,"10-"&amp;LEFT($B55,3)&amp;"*-"&amp;MID(I$1,2,1)&amp;"*",DATA!$F:$F),0)</f>
        <v>0</v>
      </c>
      <c r="J55" s="1954">
        <f>ROUND(SUMIF(DATA!$A:$A,"10-"&amp;LEFT($B55,3)&amp;"*-"&amp;MID(J$1,2,1)&amp;"*",DATA!$F:$F),0)</f>
        <v>0</v>
      </c>
      <c r="K55" s="1684">
        <f>SUM(C55:J55)</f>
        <v>344790</v>
      </c>
      <c r="L55" s="480">
        <v>341030</v>
      </c>
    </row>
    <row r="56" spans="1:14" ht="12.75" customHeight="1" x14ac:dyDescent="0.2">
      <c r="A56" s="1520" t="s">
        <v>393</v>
      </c>
      <c r="B56" s="622">
        <v>2490</v>
      </c>
      <c r="C56" s="1954">
        <f>ROUND(SUMIF(DATA!$A:$A,"10-"&amp;LEFT($B56,3)&amp;"*-"&amp;MID(C$1,2,1)&amp;"*",DATA!$F:$F),0)</f>
        <v>0</v>
      </c>
      <c r="D56" s="1954">
        <f>ROUND(SUMIF(DATA!$A:$A,"10-"&amp;LEFT($B56,3)&amp;"*-"&amp;MID(D$1,2,1)&amp;"*",DATA!$F:$F),0)</f>
        <v>0</v>
      </c>
      <c r="E56" s="1954">
        <f>ROUND(SUMIF(DATA!$A:$A,"10-"&amp;LEFT($B56,3)&amp;"*-"&amp;MID(E$1,2,1)&amp;"*",DATA!$F:$F),0)</f>
        <v>0</v>
      </c>
      <c r="F56" s="1954">
        <f>ROUND(SUMIF(DATA!$A:$A,"10-"&amp;LEFT($B56,3)&amp;"*-"&amp;MID(F$1,2,1)&amp;"*",DATA!$F:$F),0)</f>
        <v>0</v>
      </c>
      <c r="G56" s="1954">
        <f>ROUND(SUMIF(DATA!$A:$A,"10-"&amp;LEFT($B56,3)&amp;"*-"&amp;MID(G$1,2,1)&amp;"*",DATA!$F:$F),0)</f>
        <v>0</v>
      </c>
      <c r="H56" s="1954">
        <f>ROUND(SUMIF(DATA!$A:$A,"10-"&amp;LEFT($B56,3)&amp;"*-"&amp;MID(H$1,2,1)&amp;"*",DATA!$F:$F),0)</f>
        <v>0</v>
      </c>
      <c r="I56" s="1954">
        <f>ROUND(SUMIF(DATA!$A:$A,"10-"&amp;LEFT($B56,3)&amp;"*-"&amp;MID(I$1,2,1)&amp;"*",DATA!$F:$F),0)</f>
        <v>0</v>
      </c>
      <c r="J56" s="1954">
        <f>ROUND(SUMIF(DATA!$A:$A,"10-"&amp;LEFT($B56,3)&amp;"*-"&amp;MID(J$1,2,1)&amp;"*",DATA!$F:$F),0)</f>
        <v>0</v>
      </c>
      <c r="K56" s="1684">
        <f>SUM(C56:J56)</f>
        <v>0</v>
      </c>
      <c r="L56" s="466">
        <v>0</v>
      </c>
    </row>
    <row r="57" spans="1:14" s="343" customFormat="1" ht="12.75" customHeight="1" thickBot="1" x14ac:dyDescent="0.25">
      <c r="A57" s="1680" t="s">
        <v>281</v>
      </c>
      <c r="B57" s="1685" t="s">
        <v>34</v>
      </c>
      <c r="C57" s="1686">
        <f>SUM(C55:C56)</f>
        <v>264216</v>
      </c>
      <c r="D57" s="1686">
        <f t="shared" ref="D57:K57" si="6">SUM(D55:D56)</f>
        <v>64621</v>
      </c>
      <c r="E57" s="1686">
        <f t="shared" si="6"/>
        <v>2538</v>
      </c>
      <c r="F57" s="1686">
        <f t="shared" si="6"/>
        <v>5590</v>
      </c>
      <c r="G57" s="1686">
        <f t="shared" si="6"/>
        <v>0</v>
      </c>
      <c r="H57" s="1686">
        <f t="shared" si="6"/>
        <v>7825</v>
      </c>
      <c r="I57" s="1686">
        <f t="shared" si="6"/>
        <v>0</v>
      </c>
      <c r="J57" s="1686">
        <f t="shared" si="6"/>
        <v>0</v>
      </c>
      <c r="K57" s="1686">
        <f t="shared" si="6"/>
        <v>344790</v>
      </c>
      <c r="L57" s="1682">
        <f>SUM(L55:L56)</f>
        <v>341030</v>
      </c>
      <c r="M57" s="603"/>
      <c r="N57" s="603"/>
    </row>
    <row r="58" spans="1:14" s="343" customFormat="1" ht="15.75" customHeight="1" thickTop="1" x14ac:dyDescent="0.2">
      <c r="A58" s="618" t="s">
        <v>632</v>
      </c>
      <c r="B58" s="619"/>
      <c r="C58" s="623"/>
      <c r="D58" s="620"/>
      <c r="E58" s="620"/>
      <c r="F58" s="620"/>
      <c r="G58" s="620"/>
      <c r="H58" s="620"/>
      <c r="I58" s="610"/>
      <c r="J58" s="610"/>
      <c r="K58" s="620"/>
      <c r="L58" s="620"/>
      <c r="M58" s="603"/>
      <c r="N58" s="603"/>
    </row>
    <row r="59" spans="1:14" s="343" customFormat="1" x14ac:dyDescent="0.2">
      <c r="A59" s="1516" t="s">
        <v>1127</v>
      </c>
      <c r="B59" s="608">
        <v>2510</v>
      </c>
      <c r="C59" s="1954">
        <f>ROUND(SUMIF(DATA!$A:$A,"10-"&amp;LEFT($B59,3)&amp;"*-"&amp;MID(C$1,2,1)&amp;"*",DATA!$F:$F),0)</f>
        <v>0</v>
      </c>
      <c r="D59" s="1954">
        <f>ROUND(SUMIF(DATA!$A:$A,"10-"&amp;LEFT($B59,3)&amp;"*-"&amp;MID(D$1,2,1)&amp;"*",DATA!$F:$F),0)</f>
        <v>0</v>
      </c>
      <c r="E59" s="1954">
        <f>ROUND(SUMIF(DATA!$A:$A,"10-"&amp;LEFT($B59,3)&amp;"*-"&amp;MID(E$1,2,1)&amp;"*",DATA!$F:$F),0)</f>
        <v>0</v>
      </c>
      <c r="F59" s="1954">
        <f>ROUND(SUMIF(DATA!$A:$A,"10-"&amp;LEFT($B59,3)&amp;"*-"&amp;MID(F$1,2,1)&amp;"*",DATA!$F:$F),0)</f>
        <v>0</v>
      </c>
      <c r="G59" s="1954">
        <f>ROUND(SUMIF(DATA!$A:$A,"10-"&amp;LEFT($B59,3)&amp;"*-"&amp;MID(G$1,2,1)&amp;"*",DATA!$F:$F),0)</f>
        <v>0</v>
      </c>
      <c r="H59" s="1954">
        <f>ROUND(SUMIF(DATA!$A:$A,"10-"&amp;LEFT($B59,3)&amp;"*-"&amp;MID(H$1,2,1)&amp;"*",DATA!$F:$F),0)</f>
        <v>0</v>
      </c>
      <c r="I59" s="1954">
        <f>ROUND(SUMIF(DATA!$A:$A,"10-"&amp;LEFT($B59,3)&amp;"*-"&amp;MID(I$1,2,1)&amp;"*",DATA!$F:$F),0)</f>
        <v>0</v>
      </c>
      <c r="J59" s="1954">
        <f>ROUND(SUMIF(DATA!$A:$A,"10-"&amp;LEFT($B59,3)&amp;"*-"&amp;MID(J$1,2,1)&amp;"*",DATA!$F:$F),0)</f>
        <v>0</v>
      </c>
      <c r="K59" s="1684">
        <f t="shared" ref="K59:K64" si="7">SUM(C59:J59)</f>
        <v>0</v>
      </c>
      <c r="L59" s="480">
        <v>0</v>
      </c>
      <c r="M59" s="603"/>
      <c r="N59" s="603"/>
    </row>
    <row r="60" spans="1:14" s="343" customFormat="1" x14ac:dyDescent="0.2">
      <c r="A60" s="1516" t="s">
        <v>482</v>
      </c>
      <c r="B60" s="608">
        <v>2520</v>
      </c>
      <c r="C60" s="1954">
        <f>ROUND(SUMIF(DATA!$A:$A,"10-"&amp;LEFT($B60,3)&amp;"*-"&amp;MID(C$1,2,1)&amp;"*",DATA!$F:$F),0)</f>
        <v>139700</v>
      </c>
      <c r="D60" s="1954">
        <f>ROUND(SUMIF(DATA!$A:$A,"10-"&amp;LEFT($B60,3)&amp;"*-"&amp;MID(D$1,2,1)&amp;"*",DATA!$F:$F),0)</f>
        <v>32815</v>
      </c>
      <c r="E60" s="1954">
        <f>ROUND(SUMIF(DATA!$A:$A,"10-"&amp;LEFT($B60,3)&amp;"*-"&amp;MID(E$1,2,1)&amp;"*",DATA!$F:$F),0)</f>
        <v>809</v>
      </c>
      <c r="F60" s="1954">
        <f>ROUND(SUMIF(DATA!$A:$A,"10-"&amp;LEFT($B60,3)&amp;"*-"&amp;MID(F$1,2,1)&amp;"*",DATA!$F:$F),0)</f>
        <v>22766</v>
      </c>
      <c r="G60" s="1954">
        <f>ROUND(SUMIF(DATA!$A:$A,"10-"&amp;LEFT($B60,3)&amp;"*-"&amp;MID(G$1,2,1)&amp;"*",DATA!$F:$F),0)</f>
        <v>0</v>
      </c>
      <c r="H60" s="1954">
        <f>ROUND(SUMIF(DATA!$A:$A,"10-"&amp;LEFT($B60,3)&amp;"*-"&amp;MID(H$1,2,1)&amp;"*",DATA!$F:$F),0)</f>
        <v>265</v>
      </c>
      <c r="I60" s="1954">
        <f>ROUND(SUMIF(DATA!$A:$A,"10-"&amp;LEFT($B60,3)&amp;"*-"&amp;MID(I$1,2,1)&amp;"*",DATA!$F:$F),0)</f>
        <v>0</v>
      </c>
      <c r="J60" s="1954">
        <f>ROUND(SUMIF(DATA!$A:$A,"10-"&amp;LEFT($B60,3)&amp;"*-"&amp;MID(J$1,2,1)&amp;"*",DATA!$F:$F),0)</f>
        <v>0</v>
      </c>
      <c r="K60" s="1684">
        <f t="shared" si="7"/>
        <v>196355</v>
      </c>
      <c r="L60" s="466">
        <v>209150</v>
      </c>
      <c r="M60" s="603"/>
      <c r="N60" s="603"/>
    </row>
    <row r="61" spans="1:14" s="343" customFormat="1" x14ac:dyDescent="0.2">
      <c r="A61" s="1516" t="s">
        <v>206</v>
      </c>
      <c r="B61" s="608">
        <v>2540</v>
      </c>
      <c r="C61" s="1954">
        <f>ROUND(SUMIF(DATA!$A:$A,"10-"&amp;LEFT($B61,3)&amp;"*-"&amp;MID(C$1,2,1)&amp;"*",DATA!$F:$F),0)</f>
        <v>0</v>
      </c>
      <c r="D61" s="1954">
        <f>ROUND(SUMIF(DATA!$A:$A,"10-"&amp;LEFT($B61,3)&amp;"*-"&amp;MID(D$1,2,1)&amp;"*",DATA!$F:$F),0)</f>
        <v>0</v>
      </c>
      <c r="E61" s="1954">
        <f>ROUND(SUMIF(DATA!$A:$A,"10-"&amp;LEFT($B61,3)&amp;"*-"&amp;MID(E$1,2,1)&amp;"*",DATA!$F:$F),0)</f>
        <v>7350</v>
      </c>
      <c r="F61" s="1954">
        <f>ROUND(SUMIF(DATA!$A:$A,"10-"&amp;LEFT($B61,3)&amp;"*-"&amp;MID(F$1,2,1)&amp;"*",DATA!$F:$F),0)</f>
        <v>708</v>
      </c>
      <c r="G61" s="1954">
        <f>ROUND(SUMIF(DATA!$A:$A,"10-"&amp;LEFT($B61,3)&amp;"*-"&amp;MID(G$1,2,1)&amp;"*",DATA!$F:$F),0)</f>
        <v>0</v>
      </c>
      <c r="H61" s="1954">
        <f>ROUND(SUMIF(DATA!$A:$A,"10-"&amp;LEFT($B61,3)&amp;"*-"&amp;MID(H$1,2,1)&amp;"*",DATA!$F:$F),0)</f>
        <v>0</v>
      </c>
      <c r="I61" s="1954">
        <f>ROUND(SUMIF(DATA!$A:$A,"10-"&amp;LEFT($B61,3)&amp;"*-"&amp;MID(I$1,2,1)&amp;"*",DATA!$F:$F),0)</f>
        <v>0</v>
      </c>
      <c r="J61" s="1954">
        <f>ROUND(SUMIF(DATA!$A:$A,"10-"&amp;LEFT($B61,3)&amp;"*-"&amp;MID(J$1,2,1)&amp;"*",DATA!$F:$F),0)</f>
        <v>0</v>
      </c>
      <c r="K61" s="1684">
        <f t="shared" si="7"/>
        <v>8058</v>
      </c>
      <c r="L61" s="466">
        <v>8400</v>
      </c>
      <c r="M61" s="603"/>
      <c r="N61" s="603"/>
    </row>
    <row r="62" spans="1:14" s="343" customFormat="1" x14ac:dyDescent="0.2">
      <c r="A62" s="1516" t="s">
        <v>1009</v>
      </c>
      <c r="B62" s="608">
        <v>2550</v>
      </c>
      <c r="C62" s="1954">
        <f>ROUND(SUMIF(DATA!$A:$A,"10-"&amp;LEFT($B62,3)&amp;"*-"&amp;MID(C$1,2,1)&amp;"*",DATA!$F:$F),0)</f>
        <v>0</v>
      </c>
      <c r="D62" s="1954">
        <f>ROUND(SUMIF(DATA!$A:$A,"10-"&amp;LEFT($B62,3)&amp;"*-"&amp;MID(D$1,2,1)&amp;"*",DATA!$F:$F),0)</f>
        <v>0</v>
      </c>
      <c r="E62" s="1954">
        <f>ROUND(SUMIF(DATA!$A:$A,"10-"&amp;LEFT($B62,3)&amp;"*-"&amp;MID(E$1,2,1)&amp;"*",DATA!$F:$F),0)</f>
        <v>0</v>
      </c>
      <c r="F62" s="1954">
        <f>ROUND(SUMIF(DATA!$A:$A,"10-"&amp;LEFT($B62,3)&amp;"*-"&amp;MID(F$1,2,1)&amp;"*",DATA!$F:$F),0)</f>
        <v>0</v>
      </c>
      <c r="G62" s="1954">
        <f>ROUND(SUMIF(DATA!$A:$A,"10-"&amp;LEFT($B62,3)&amp;"*-"&amp;MID(G$1,2,1)&amp;"*",DATA!$F:$F),0)</f>
        <v>0</v>
      </c>
      <c r="H62" s="1954">
        <f>ROUND(SUMIF(DATA!$A:$A,"10-"&amp;LEFT($B62,3)&amp;"*-"&amp;MID(H$1,2,1)&amp;"*",DATA!$F:$F),0)</f>
        <v>0</v>
      </c>
      <c r="I62" s="1954">
        <f>ROUND(SUMIF(DATA!$A:$A,"10-"&amp;LEFT($B62,3)&amp;"*-"&amp;MID(I$1,2,1)&amp;"*",DATA!$F:$F),0)</f>
        <v>0</v>
      </c>
      <c r="J62" s="1954">
        <f>ROUND(SUMIF(DATA!$A:$A,"10-"&amp;LEFT($B62,3)&amp;"*-"&amp;MID(J$1,2,1)&amp;"*",DATA!$F:$F),0)</f>
        <v>0</v>
      </c>
      <c r="K62" s="1684">
        <f t="shared" si="7"/>
        <v>0</v>
      </c>
      <c r="L62" s="466">
        <v>0</v>
      </c>
      <c r="M62" s="603"/>
      <c r="N62" s="603"/>
    </row>
    <row r="63" spans="1:14" s="603" customFormat="1" x14ac:dyDescent="0.2">
      <c r="A63" s="1516" t="s">
        <v>102</v>
      </c>
      <c r="B63" s="608">
        <v>2560</v>
      </c>
      <c r="C63" s="1954">
        <f>ROUND(SUMIF(DATA!$A:$A,"10-"&amp;LEFT($B63,3)&amp;"*-"&amp;MID(C$1,2,1)&amp;"*",DATA!$F:$F),0)</f>
        <v>0</v>
      </c>
      <c r="D63" s="1954">
        <f>ROUND(SUMIF(DATA!$A:$A,"10-"&amp;LEFT($B63,3)&amp;"*-"&amp;MID(D$1,2,1)&amp;"*",DATA!$F:$F),0)</f>
        <v>0</v>
      </c>
      <c r="E63" s="1954">
        <f>ROUND(SUMIF(DATA!$A:$A,"10-"&amp;LEFT($B63,3)&amp;"*-"&amp;MID(E$1,2,1)&amp;"*",DATA!$F:$F),0)</f>
        <v>493901</v>
      </c>
      <c r="F63" s="1954">
        <f>ROUND(SUMIF(DATA!$A:$A,"10-"&amp;LEFT($B63,3)&amp;"*-"&amp;MID(F$1,2,1)&amp;"*",DATA!$F:$F),0)</f>
        <v>3275</v>
      </c>
      <c r="G63" s="1954">
        <f>ROUND(SUMIF(DATA!$A:$A,"10-"&amp;LEFT($B63,3)&amp;"*-"&amp;MID(G$1,2,1)&amp;"*",DATA!$F:$F),0)</f>
        <v>0</v>
      </c>
      <c r="H63" s="1954">
        <f>ROUND(SUMIF(DATA!$A:$A,"10-"&amp;LEFT($B63,3)&amp;"*-"&amp;MID(H$1,2,1)&amp;"*",DATA!$F:$F),0)</f>
        <v>439</v>
      </c>
      <c r="I63" s="1954">
        <f>ROUND(SUMIF(DATA!$A:$A,"10-"&amp;LEFT($B63,3)&amp;"*-"&amp;MID(I$1,2,1)&amp;"*",DATA!$F:$F),0)</f>
        <v>0</v>
      </c>
      <c r="J63" s="1954">
        <f>ROUND(SUMIF(DATA!$A:$A,"10-"&amp;LEFT($B63,3)&amp;"*-"&amp;MID(J$1,2,1)&amp;"*",DATA!$F:$F),0)</f>
        <v>0</v>
      </c>
      <c r="K63" s="1684">
        <f t="shared" si="7"/>
        <v>497615</v>
      </c>
      <c r="L63" s="466">
        <v>618940</v>
      </c>
    </row>
    <row r="64" spans="1:14" s="603" customFormat="1" x14ac:dyDescent="0.2">
      <c r="A64" s="1521" t="s">
        <v>103</v>
      </c>
      <c r="B64" s="624">
        <v>2570</v>
      </c>
      <c r="C64" s="1954">
        <f>ROUND(SUMIF(DATA!$A:$A,"10-"&amp;LEFT($B64,3)&amp;"*-"&amp;MID(C$1,2,1)&amp;"*",DATA!$F:$F),0)</f>
        <v>0</v>
      </c>
      <c r="D64" s="1954">
        <f>ROUND(SUMIF(DATA!$A:$A,"10-"&amp;LEFT($B64,3)&amp;"*-"&amp;MID(D$1,2,1)&amp;"*",DATA!$F:$F),0)</f>
        <v>0</v>
      </c>
      <c r="E64" s="1954">
        <f>ROUND(SUMIF(DATA!$A:$A,"10-"&amp;LEFT($B64,3)&amp;"*-"&amp;MID(E$1,2,1)&amp;"*",DATA!$F:$F),0)</f>
        <v>0</v>
      </c>
      <c r="F64" s="1954">
        <f>ROUND(SUMIF(DATA!$A:$A,"10-"&amp;LEFT($B64,3)&amp;"*-"&amp;MID(F$1,2,1)&amp;"*",DATA!$F:$F),0)</f>
        <v>0</v>
      </c>
      <c r="G64" s="1954">
        <f>ROUND(SUMIF(DATA!$A:$A,"10-"&amp;LEFT($B64,3)&amp;"*-"&amp;MID(G$1,2,1)&amp;"*",DATA!$F:$F),0)</f>
        <v>0</v>
      </c>
      <c r="H64" s="1954">
        <f>ROUND(SUMIF(DATA!$A:$A,"10-"&amp;LEFT($B64,3)&amp;"*-"&amp;MID(H$1,2,1)&amp;"*",DATA!$F:$F),0)</f>
        <v>0</v>
      </c>
      <c r="I64" s="1954">
        <f>ROUND(SUMIF(DATA!$A:$A,"10-"&amp;LEFT($B64,3)&amp;"*-"&amp;MID(I$1,2,1)&amp;"*",DATA!$F:$F),0)</f>
        <v>0</v>
      </c>
      <c r="J64" s="1954">
        <f>ROUND(SUMIF(DATA!$A:$A,"10-"&amp;LEFT($B64,3)&amp;"*-"&amp;MID(J$1,2,1)&amp;"*",DATA!$F:$F),0)</f>
        <v>0</v>
      </c>
      <c r="K64" s="1684">
        <f t="shared" si="7"/>
        <v>0</v>
      </c>
      <c r="L64" s="480">
        <v>0</v>
      </c>
    </row>
    <row r="65" spans="1:14" s="343" customFormat="1" ht="12.75" customHeight="1" thickBot="1" x14ac:dyDescent="0.25">
      <c r="A65" s="1680" t="s">
        <v>742</v>
      </c>
      <c r="B65" s="1681" t="s">
        <v>35</v>
      </c>
      <c r="C65" s="1682">
        <f>SUM(C59:C64)</f>
        <v>139700</v>
      </c>
      <c r="D65" s="1682">
        <f t="shared" ref="D65:L65" si="8">SUM(D59:D64)</f>
        <v>32815</v>
      </c>
      <c r="E65" s="1682">
        <f t="shared" si="8"/>
        <v>502060</v>
      </c>
      <c r="F65" s="1682">
        <f t="shared" si="8"/>
        <v>26749</v>
      </c>
      <c r="G65" s="1682">
        <f t="shared" si="8"/>
        <v>0</v>
      </c>
      <c r="H65" s="1682">
        <f t="shared" si="8"/>
        <v>704</v>
      </c>
      <c r="I65" s="1682">
        <f t="shared" si="8"/>
        <v>0</v>
      </c>
      <c r="J65" s="1682">
        <f t="shared" si="8"/>
        <v>0</v>
      </c>
      <c r="K65" s="1682">
        <f t="shared" si="8"/>
        <v>702028</v>
      </c>
      <c r="L65" s="1682">
        <f t="shared" si="8"/>
        <v>836490</v>
      </c>
      <c r="M65" s="603"/>
      <c r="N65" s="603"/>
    </row>
    <row r="66" spans="1:14" s="343" customFormat="1" ht="15.75" customHeight="1" thickTop="1" x14ac:dyDescent="0.2">
      <c r="A66" s="618" t="s">
        <v>633</v>
      </c>
      <c r="B66" s="625"/>
      <c r="C66" s="610"/>
      <c r="D66" s="610"/>
      <c r="E66" s="610"/>
      <c r="F66" s="610"/>
      <c r="G66" s="610"/>
      <c r="H66" s="610"/>
      <c r="I66" s="610"/>
      <c r="J66" s="610"/>
      <c r="K66" s="620"/>
      <c r="L66" s="620"/>
      <c r="M66" s="603"/>
      <c r="N66" s="603"/>
    </row>
    <row r="67" spans="1:14" s="343" customFormat="1" x14ac:dyDescent="0.2">
      <c r="A67" s="1516" t="s">
        <v>1119</v>
      </c>
      <c r="B67" s="608">
        <v>2610</v>
      </c>
      <c r="C67" s="1954">
        <f>ROUND(SUMIF(DATA!$A:$A,"10-"&amp;LEFT($B67,3)&amp;"*-"&amp;MID(C$1,2,1)&amp;"*",DATA!$F:$F),0)</f>
        <v>0</v>
      </c>
      <c r="D67" s="1954">
        <f>ROUND(SUMIF(DATA!$A:$A,"10-"&amp;LEFT($B67,3)&amp;"*-"&amp;MID(D$1,2,1)&amp;"*",DATA!$F:$F),0)</f>
        <v>0</v>
      </c>
      <c r="E67" s="1954">
        <f>ROUND(SUMIF(DATA!$A:$A,"10-"&amp;LEFT($B67,3)&amp;"*-"&amp;MID(E$1,2,1)&amp;"*",DATA!$F:$F),0)</f>
        <v>0</v>
      </c>
      <c r="F67" s="1954">
        <f>ROUND(SUMIF(DATA!$A:$A,"10-"&amp;LEFT($B67,3)&amp;"*-"&amp;MID(F$1,2,1)&amp;"*",DATA!$F:$F),0)</f>
        <v>0</v>
      </c>
      <c r="G67" s="1954">
        <f>ROUND(SUMIF(DATA!$A:$A,"10-"&amp;LEFT($B67,3)&amp;"*-"&amp;MID(G$1,2,1)&amp;"*",DATA!$F:$F),0)</f>
        <v>0</v>
      </c>
      <c r="H67" s="1954">
        <f>ROUND(SUMIF(DATA!$A:$A,"10-"&amp;LEFT($B67,3)&amp;"*-"&amp;MID(H$1,2,1)&amp;"*",DATA!$F:$F),0)</f>
        <v>0</v>
      </c>
      <c r="I67" s="1954">
        <f>ROUND(SUMIF(DATA!$A:$A,"10-"&amp;LEFT($B67,3)&amp;"*-"&amp;MID(I$1,2,1)&amp;"*",DATA!$F:$F),0)</f>
        <v>0</v>
      </c>
      <c r="J67" s="1954">
        <f>ROUND(SUMIF(DATA!$A:$A,"10-"&amp;LEFT($B67,3)&amp;"*-"&amp;MID(J$1,2,1)&amp;"*",DATA!$F:$F),0)</f>
        <v>0</v>
      </c>
      <c r="K67" s="1684">
        <f>SUM(C67:J67)</f>
        <v>0</v>
      </c>
      <c r="L67" s="480">
        <v>0</v>
      </c>
      <c r="M67" s="603"/>
      <c r="N67" s="603"/>
    </row>
    <row r="68" spans="1:14" s="343" customFormat="1" x14ac:dyDescent="0.2">
      <c r="A68" s="1516" t="s">
        <v>627</v>
      </c>
      <c r="B68" s="608">
        <v>2620</v>
      </c>
      <c r="C68" s="1954">
        <f>ROUND(SUMIF(DATA!$A:$A,"10-"&amp;LEFT($B68,3)&amp;"*-"&amp;MID(C$1,2,1)&amp;"*",DATA!$F:$F),0)</f>
        <v>0</v>
      </c>
      <c r="D68" s="1954">
        <f>ROUND(SUMIF(DATA!$A:$A,"10-"&amp;LEFT($B68,3)&amp;"*-"&amp;MID(D$1,2,1)&amp;"*",DATA!$F:$F),0)</f>
        <v>0</v>
      </c>
      <c r="E68" s="1954">
        <f>ROUND(SUMIF(DATA!$A:$A,"10-"&amp;LEFT($B68,3)&amp;"*-"&amp;MID(E$1,2,1)&amp;"*",DATA!$F:$F),0)</f>
        <v>0</v>
      </c>
      <c r="F68" s="1954">
        <f>ROUND(SUMIF(DATA!$A:$A,"10-"&amp;LEFT($B68,3)&amp;"*-"&amp;MID(F$1,2,1)&amp;"*",DATA!$F:$F),0)</f>
        <v>0</v>
      </c>
      <c r="G68" s="1954">
        <f>ROUND(SUMIF(DATA!$A:$A,"10-"&amp;LEFT($B68,3)&amp;"*-"&amp;MID(G$1,2,1)&amp;"*",DATA!$F:$F),0)</f>
        <v>0</v>
      </c>
      <c r="H68" s="1954">
        <f>ROUND(SUMIF(DATA!$A:$A,"10-"&amp;LEFT($B68,3)&amp;"*-"&amp;MID(H$1,2,1)&amp;"*",DATA!$F:$F),0)</f>
        <v>0</v>
      </c>
      <c r="I68" s="1954">
        <f>ROUND(SUMIF(DATA!$A:$A,"10-"&amp;LEFT($B68,3)&amp;"*-"&amp;MID(I$1,2,1)&amp;"*",DATA!$F:$F),0)</f>
        <v>0</v>
      </c>
      <c r="J68" s="1954">
        <f>ROUND(SUMIF(DATA!$A:$A,"10-"&amp;LEFT($B68,3)&amp;"*-"&amp;MID(J$1,2,1)&amp;"*",DATA!$F:$F),0)</f>
        <v>0</v>
      </c>
      <c r="K68" s="1684">
        <f>SUM(C68:J68)</f>
        <v>0</v>
      </c>
      <c r="L68" s="466">
        <v>0</v>
      </c>
      <c r="M68" s="603"/>
      <c r="N68" s="603"/>
    </row>
    <row r="69" spans="1:14" s="343" customFormat="1" x14ac:dyDescent="0.2">
      <c r="A69" s="1516" t="s">
        <v>1120</v>
      </c>
      <c r="B69" s="608">
        <v>2630</v>
      </c>
      <c r="C69" s="1954">
        <f>ROUND(SUMIF(DATA!$A:$A,"10-"&amp;LEFT($B69,3)&amp;"*-"&amp;MID(C$1,2,1)&amp;"*",DATA!$F:$F),0)</f>
        <v>0</v>
      </c>
      <c r="D69" s="1954">
        <f>ROUND(SUMIF(DATA!$A:$A,"10-"&amp;LEFT($B69,3)&amp;"*-"&amp;MID(D$1,2,1)&amp;"*",DATA!$F:$F),0)</f>
        <v>0</v>
      </c>
      <c r="E69" s="1954">
        <f>ROUND(SUMIF(DATA!$A:$A,"10-"&amp;LEFT($B69,3)&amp;"*-"&amp;MID(E$1,2,1)&amp;"*",DATA!$F:$F),0)</f>
        <v>0</v>
      </c>
      <c r="F69" s="1954">
        <f>ROUND(SUMIF(DATA!$A:$A,"10-"&amp;LEFT($B69,3)&amp;"*-"&amp;MID(F$1,2,1)&amp;"*",DATA!$F:$F),0)</f>
        <v>0</v>
      </c>
      <c r="G69" s="1954">
        <f>ROUND(SUMIF(DATA!$A:$A,"10-"&amp;LEFT($B69,3)&amp;"*-"&amp;MID(G$1,2,1)&amp;"*",DATA!$F:$F),0)</f>
        <v>0</v>
      </c>
      <c r="H69" s="1954">
        <f>ROUND(SUMIF(DATA!$A:$A,"10-"&amp;LEFT($B69,3)&amp;"*-"&amp;MID(H$1,2,1)&amp;"*",DATA!$F:$F),0)</f>
        <v>0</v>
      </c>
      <c r="I69" s="1954">
        <f>ROUND(SUMIF(DATA!$A:$A,"10-"&amp;LEFT($B69,3)&amp;"*-"&amp;MID(I$1,2,1)&amp;"*",DATA!$F:$F),0)</f>
        <v>0</v>
      </c>
      <c r="J69" s="1954">
        <f>ROUND(SUMIF(DATA!$A:$A,"10-"&amp;LEFT($B69,3)&amp;"*-"&amp;MID(J$1,2,1)&amp;"*",DATA!$F:$F),0)</f>
        <v>0</v>
      </c>
      <c r="K69" s="1684">
        <f>SUM(C69:J69)</f>
        <v>0</v>
      </c>
      <c r="L69" s="466">
        <v>0</v>
      </c>
      <c r="M69" s="603"/>
      <c r="N69" s="603"/>
    </row>
    <row r="70" spans="1:14" s="343" customFormat="1" x14ac:dyDescent="0.2">
      <c r="A70" s="1516" t="s">
        <v>422</v>
      </c>
      <c r="B70" s="608">
        <v>2640</v>
      </c>
      <c r="C70" s="1954">
        <f>ROUND(SUMIF(DATA!$A:$A,"10-"&amp;LEFT($B70,3)&amp;"*-"&amp;MID(C$1,2,1)&amp;"*",DATA!$F:$F),0)</f>
        <v>0</v>
      </c>
      <c r="D70" s="1954">
        <f>ROUND(SUMIF(DATA!$A:$A,"10-"&amp;LEFT($B70,3)&amp;"*-"&amp;MID(D$1,2,1)&amp;"*",DATA!$F:$F),0)</f>
        <v>0</v>
      </c>
      <c r="E70" s="1954">
        <f>ROUND(SUMIF(DATA!$A:$A,"10-"&amp;LEFT($B70,3)&amp;"*-"&amp;MID(E$1,2,1)&amp;"*",DATA!$F:$F),0)</f>
        <v>2500</v>
      </c>
      <c r="F70" s="1954">
        <f>ROUND(SUMIF(DATA!$A:$A,"10-"&amp;LEFT($B70,3)&amp;"*-"&amp;MID(F$1,2,1)&amp;"*",DATA!$F:$F),0)</f>
        <v>3321</v>
      </c>
      <c r="G70" s="1954">
        <f>ROUND(SUMIF(DATA!$A:$A,"10-"&amp;LEFT($B70,3)&amp;"*-"&amp;MID(G$1,2,1)&amp;"*",DATA!$F:$F),0)</f>
        <v>0</v>
      </c>
      <c r="H70" s="1954">
        <f>ROUND(SUMIF(DATA!$A:$A,"10-"&amp;LEFT($B70,3)&amp;"*-"&amp;MID(H$1,2,1)&amp;"*",DATA!$F:$F),0)</f>
        <v>0</v>
      </c>
      <c r="I70" s="1954">
        <f>ROUND(SUMIF(DATA!$A:$A,"10-"&amp;LEFT($B70,3)&amp;"*-"&amp;MID(I$1,2,1)&amp;"*",DATA!$F:$F),0)</f>
        <v>0</v>
      </c>
      <c r="J70" s="1954">
        <f>ROUND(SUMIF(DATA!$A:$A,"10-"&amp;LEFT($B70,3)&amp;"*-"&amp;MID(J$1,2,1)&amp;"*",DATA!$F:$F),0)</f>
        <v>0</v>
      </c>
      <c r="K70" s="1684">
        <f>SUM(C70:J70)</f>
        <v>5821</v>
      </c>
      <c r="L70" s="466">
        <v>4360</v>
      </c>
      <c r="M70" s="603"/>
      <c r="N70" s="603"/>
    </row>
    <row r="71" spans="1:14" s="343" customFormat="1" x14ac:dyDescent="0.2">
      <c r="A71" s="1516" t="s">
        <v>423</v>
      </c>
      <c r="B71" s="608">
        <v>2660</v>
      </c>
      <c r="C71" s="1954">
        <f>ROUND(SUMIF(DATA!$A:$A,"10-"&amp;LEFT($B71,3)&amp;"*-"&amp;MID(C$1,2,1)&amp;"*",DATA!$F:$F),0)</f>
        <v>131977</v>
      </c>
      <c r="D71" s="1954">
        <f>ROUND(SUMIF(DATA!$A:$A,"10-"&amp;LEFT($B71,3)&amp;"*-"&amp;MID(D$1,2,1)&amp;"*",DATA!$F:$F),0)</f>
        <v>34653</v>
      </c>
      <c r="E71" s="1954">
        <f>ROUND(SUMIF(DATA!$A:$A,"10-"&amp;LEFT($B71,3)&amp;"*-"&amp;MID(E$1,2,1)&amp;"*",DATA!$F:$F),0)</f>
        <v>27872</v>
      </c>
      <c r="F71" s="1954">
        <f>ROUND(SUMIF(DATA!$A:$A,"10-"&amp;LEFT($B71,3)&amp;"*-"&amp;MID(F$1,2,1)&amp;"*",DATA!$F:$F),0)</f>
        <v>7841</v>
      </c>
      <c r="G71" s="1954">
        <f>ROUND(SUMIF(DATA!$A:$A,"10-"&amp;LEFT($B71,3)&amp;"*-"&amp;MID(G$1,2,1)&amp;"*",DATA!$F:$F),0)</f>
        <v>146789</v>
      </c>
      <c r="H71" s="1954">
        <f>ROUND(SUMIF(DATA!$A:$A,"10-"&amp;LEFT($B71,3)&amp;"*-"&amp;MID(H$1,2,1)&amp;"*",DATA!$F:$F),0)</f>
        <v>0</v>
      </c>
      <c r="I71" s="1954">
        <f>ROUND(SUMIF(DATA!$A:$A,"10-"&amp;LEFT($B71,3)&amp;"*-"&amp;MID(I$1,2,1)&amp;"*",DATA!$F:$F),0)</f>
        <v>0</v>
      </c>
      <c r="J71" s="1954">
        <f>ROUND(SUMIF(DATA!$A:$A,"10-"&amp;LEFT($B71,3)&amp;"*-"&amp;MID(J$1,2,1)&amp;"*",DATA!$F:$F),0)</f>
        <v>0</v>
      </c>
      <c r="K71" s="1684">
        <f>SUM(C71:J71)</f>
        <v>349132</v>
      </c>
      <c r="L71" s="466">
        <v>325870</v>
      </c>
      <c r="M71" s="603"/>
      <c r="N71" s="603"/>
    </row>
    <row r="72" spans="1:14" s="343" customFormat="1" ht="12.75" customHeight="1" thickBot="1" x14ac:dyDescent="0.25">
      <c r="A72" s="1680" t="s">
        <v>37</v>
      </c>
      <c r="B72" s="1687" t="s">
        <v>36</v>
      </c>
      <c r="C72" s="1682">
        <f>SUM(C67:C71)</f>
        <v>131977</v>
      </c>
      <c r="D72" s="1682">
        <f t="shared" ref="D72:K72" si="9">SUM(D67:D71)</f>
        <v>34653</v>
      </c>
      <c r="E72" s="1682">
        <f t="shared" si="9"/>
        <v>30372</v>
      </c>
      <c r="F72" s="1682">
        <f t="shared" si="9"/>
        <v>11162</v>
      </c>
      <c r="G72" s="1682">
        <f t="shared" si="9"/>
        <v>146789</v>
      </c>
      <c r="H72" s="1682">
        <f t="shared" si="9"/>
        <v>0</v>
      </c>
      <c r="I72" s="1682">
        <f t="shared" si="9"/>
        <v>0</v>
      </c>
      <c r="J72" s="1682">
        <f t="shared" si="9"/>
        <v>0</v>
      </c>
      <c r="K72" s="1682">
        <f t="shared" si="9"/>
        <v>354953</v>
      </c>
      <c r="L72" s="1682">
        <f>SUM(L67:L71)</f>
        <v>330230</v>
      </c>
      <c r="M72" s="603"/>
      <c r="N72" s="603"/>
    </row>
    <row r="73" spans="1:14" s="343" customFormat="1" ht="14.25" thickTop="1" thickBot="1" x14ac:dyDescent="0.25">
      <c r="A73" s="1522" t="s">
        <v>1036</v>
      </c>
      <c r="B73" s="626" t="s">
        <v>594</v>
      </c>
      <c r="C73" s="1954">
        <f>ROUND(SUMIF(DATA!$A:$A,"10-"&amp;LEFT($B73,3)&amp;"*-"&amp;MID(C$1,2,1)&amp;"*",DATA!$F:$F),0)</f>
        <v>0</v>
      </c>
      <c r="D73" s="1954">
        <f>ROUND(SUMIF(DATA!$A:$A,"10-"&amp;LEFT($B73,3)&amp;"*-"&amp;MID(D$1,2,1)&amp;"*",DATA!$F:$F),0)</f>
        <v>0</v>
      </c>
      <c r="E73" s="1954">
        <f>ROUND(SUMIF(DATA!$A:$A,"10-"&amp;LEFT($B73,3)&amp;"*-"&amp;MID(E$1,2,1)&amp;"*",DATA!$F:$F),0)</f>
        <v>0</v>
      </c>
      <c r="F73" s="1954">
        <f>ROUND(SUMIF(DATA!$A:$A,"10-"&amp;LEFT($B73,3)&amp;"*-"&amp;MID(F$1,2,1)&amp;"*",DATA!$F:$F),0)</f>
        <v>0</v>
      </c>
      <c r="G73" s="1954">
        <f>ROUND(SUMIF(DATA!$A:$A,"10-"&amp;LEFT($B73,3)&amp;"*-"&amp;MID(G$1,2,1)&amp;"*",DATA!$F:$F),0)</f>
        <v>0</v>
      </c>
      <c r="H73" s="1954">
        <f>ROUND(SUMIF(DATA!$A:$A,"10-"&amp;LEFT($B73,3)&amp;"*-"&amp;MID(H$1,2,1)&amp;"*",DATA!$F:$F),0)</f>
        <v>0</v>
      </c>
      <c r="I73" s="1954">
        <f>ROUND(SUMIF(DATA!$A:$A,"10-"&amp;LEFT($B73,3)&amp;"*-"&amp;MID(I$1,2,1)&amp;"*",DATA!$F:$F),0)</f>
        <v>0</v>
      </c>
      <c r="J73" s="1954">
        <f>ROUND(SUMIF(DATA!$A:$A,"10-"&amp;LEFT($B73,3)&amp;"*-"&amp;MID(J$1,2,1)&amp;"*",DATA!$F:$F),0)</f>
        <v>0</v>
      </c>
      <c r="K73" s="1682">
        <f>SUM(C73:J73)</f>
        <v>0</v>
      </c>
      <c r="L73" s="572">
        <v>0</v>
      </c>
      <c r="M73" s="603"/>
      <c r="N73" s="603"/>
    </row>
    <row r="74" spans="1:14" ht="12.75" customHeight="1" thickTop="1" thickBot="1" x14ac:dyDescent="0.25">
      <c r="A74" s="1680" t="s">
        <v>864</v>
      </c>
      <c r="B74" s="1688">
        <v>2000</v>
      </c>
      <c r="C74" s="1689">
        <f>SUM(C42,C47,C53,C57,C65,C72,C73)</f>
        <v>1731619</v>
      </c>
      <c r="D74" s="1689">
        <f t="shared" ref="D74:K74" si="10">SUM(D42,D47,D53,D57,D65,D72,D73)</f>
        <v>479721</v>
      </c>
      <c r="E74" s="1689">
        <f t="shared" si="10"/>
        <v>712060</v>
      </c>
      <c r="F74" s="1689">
        <f t="shared" si="10"/>
        <v>62971</v>
      </c>
      <c r="G74" s="1689">
        <f t="shared" si="10"/>
        <v>146789</v>
      </c>
      <c r="H74" s="1689">
        <f t="shared" si="10"/>
        <v>508595</v>
      </c>
      <c r="I74" s="1689">
        <f t="shared" si="10"/>
        <v>0</v>
      </c>
      <c r="J74" s="1689">
        <f t="shared" si="10"/>
        <v>0</v>
      </c>
      <c r="K74" s="1689">
        <f t="shared" si="10"/>
        <v>3641755</v>
      </c>
      <c r="L74" s="1689">
        <f>SUM(L42,L47,L53,L57,L65,L72,L73)</f>
        <v>3552084</v>
      </c>
    </row>
    <row r="75" spans="1:14" s="259" customFormat="1" ht="15.75" customHeight="1" thickTop="1" thickBot="1" x14ac:dyDescent="0.25">
      <c r="A75" s="1622" t="s">
        <v>49</v>
      </c>
      <c r="B75" s="1623" t="s">
        <v>595</v>
      </c>
      <c r="C75" s="1954">
        <f>ROUND(SUMIF(DATA!$A:$A,"10-"&amp;LEFT($B75,3)&amp;"*-"&amp;MID(C$1,2,1)&amp;"*",DATA!$F:$F),0)</f>
        <v>10877</v>
      </c>
      <c r="D75" s="1954">
        <f>ROUND(SUMIF(DATA!$A:$A,"10-"&amp;LEFT($B75,3)&amp;"*-"&amp;MID(D$1,2,1)&amp;"*",DATA!$F:$F),0)</f>
        <v>1383</v>
      </c>
      <c r="E75" s="1954">
        <f>ROUND(SUMIF(DATA!$A:$A,"10-"&amp;LEFT($B75,3)&amp;"*-"&amp;MID(E$1,2,1)&amp;"*",DATA!$F:$F),0)</f>
        <v>3323</v>
      </c>
      <c r="F75" s="1954">
        <f>ROUND(SUMIF(DATA!$A:$A,"10-"&amp;LEFT($B75,3)&amp;"*-"&amp;MID(F$1,2,1)&amp;"*",DATA!$F:$F),0)</f>
        <v>1076</v>
      </c>
      <c r="G75" s="1954">
        <f>ROUND(SUMIF(DATA!$A:$A,"10-"&amp;LEFT($B75,3)&amp;"*-"&amp;MID(G$1,2,1)&amp;"*",DATA!$F:$F),0)</f>
        <v>0</v>
      </c>
      <c r="H75" s="1954">
        <f>ROUND(SUMIF(DATA!$A:$A,"10-"&amp;LEFT($B75,3)&amp;"*-"&amp;MID(H$1,2,1)&amp;"*",DATA!$F:$F),0)</f>
        <v>0</v>
      </c>
      <c r="I75" s="1954">
        <f>ROUND(SUMIF(DATA!$A:$A,"10-"&amp;LEFT($B75,3)&amp;"*-"&amp;MID(I$1,2,1)&amp;"*",DATA!$F:$F),0)</f>
        <v>0</v>
      </c>
      <c r="J75" s="1954">
        <f>ROUND(SUMIF(DATA!$A:$A,"10-"&amp;LEFT($B75,3)&amp;"*-"&amp;MID(J$1,2,1)&amp;"*",DATA!$F:$F),0)</f>
        <v>0</v>
      </c>
      <c r="K75" s="1682">
        <f>SUM(C75:J75)</f>
        <v>16659</v>
      </c>
      <c r="L75" s="572">
        <v>27828</v>
      </c>
      <c r="M75" s="607"/>
      <c r="N75" s="607"/>
    </row>
    <row r="76" spans="1:14" s="627" customFormat="1" ht="15.75" customHeight="1" thickTop="1" x14ac:dyDescent="0.2">
      <c r="A76" s="1624" t="s">
        <v>382</v>
      </c>
      <c r="B76" s="1621" t="s">
        <v>914</v>
      </c>
      <c r="C76" s="612"/>
      <c r="D76" s="612"/>
      <c r="E76" s="610"/>
      <c r="F76" s="612"/>
      <c r="G76" s="612"/>
      <c r="H76" s="610"/>
      <c r="I76" s="610"/>
      <c r="J76" s="610"/>
      <c r="K76" s="610"/>
      <c r="L76" s="610"/>
      <c r="M76" s="184"/>
      <c r="N76" s="184"/>
    </row>
    <row r="77" spans="1:14" s="259" customFormat="1" ht="15.75" customHeight="1" x14ac:dyDescent="0.2">
      <c r="A77" s="615" t="s">
        <v>634</v>
      </c>
      <c r="B77" s="616"/>
      <c r="C77" s="610"/>
      <c r="D77" s="610"/>
      <c r="E77" s="617"/>
      <c r="F77" s="610"/>
      <c r="G77" s="610"/>
      <c r="H77" s="617"/>
      <c r="I77" s="610"/>
      <c r="J77" s="610"/>
      <c r="K77" s="617"/>
      <c r="L77" s="617"/>
      <c r="M77" s="607"/>
      <c r="N77" s="607"/>
    </row>
    <row r="78" spans="1:14" x14ac:dyDescent="0.2">
      <c r="A78" s="1516" t="s">
        <v>516</v>
      </c>
      <c r="B78" s="608">
        <v>4110</v>
      </c>
      <c r="C78" s="610"/>
      <c r="D78" s="610"/>
      <c r="E78" s="1954">
        <f>ROUND(SUMIF(DATA!$A:$A,"10-"&amp;LEFT($B78,3)&amp;"*-"&amp;MID(E$1,2,1)&amp;"*",DATA!$F:$F),0)</f>
        <v>4615</v>
      </c>
      <c r="F78" s="610"/>
      <c r="G78" s="610"/>
      <c r="H78" s="1954">
        <f>ROUND(SUMIF(DATA!$A:$A,"10-"&amp;LEFT($B78,3)&amp;"*-"&amp;MID(H$1,2,1)&amp;"*",DATA!$F:$F),0)</f>
        <v>28125</v>
      </c>
      <c r="I78" s="476"/>
      <c r="J78" s="476"/>
      <c r="K78" s="1683">
        <f t="shared" ref="K78:K83" si="11">SUM(C78:J78)</f>
        <v>32740</v>
      </c>
      <c r="L78" s="480">
        <v>8182</v>
      </c>
    </row>
    <row r="79" spans="1:14" x14ac:dyDescent="0.2">
      <c r="A79" s="1516" t="s">
        <v>321</v>
      </c>
      <c r="B79" s="608">
        <v>4120</v>
      </c>
      <c r="C79" s="610"/>
      <c r="D79" s="610"/>
      <c r="E79" s="1954">
        <f>ROUND(SUMIF(DATA!$A:$A,"10-"&amp;LEFT($B79,3)&amp;"*-"&amp;MID(E$1,2,1)&amp;"*",DATA!$F:$F),0)</f>
        <v>21134</v>
      </c>
      <c r="F79" s="610"/>
      <c r="G79" s="610"/>
      <c r="H79" s="1954">
        <f>ROUND(SUMIF(DATA!$A:$A,"10-"&amp;LEFT($B79,3)&amp;"*-"&amp;MID(H$1,2,1)&amp;"*",DATA!$F:$F),0)</f>
        <v>101828</v>
      </c>
      <c r="I79" s="476"/>
      <c r="J79" s="476"/>
      <c r="K79" s="1683">
        <f t="shared" si="11"/>
        <v>122962</v>
      </c>
      <c r="L79" s="466">
        <v>132500</v>
      </c>
    </row>
    <row r="80" spans="1:14" x14ac:dyDescent="0.2">
      <c r="A80" s="1516" t="s">
        <v>322</v>
      </c>
      <c r="B80" s="608">
        <v>4130</v>
      </c>
      <c r="C80" s="610"/>
      <c r="D80" s="610"/>
      <c r="E80" s="1954">
        <f>ROUND(SUMIF(DATA!$A:$A,"10-"&amp;LEFT($B80,3)&amp;"*-"&amp;MID(E$1,2,1)&amp;"*",DATA!$F:$F),0)</f>
        <v>0</v>
      </c>
      <c r="F80" s="610"/>
      <c r="G80" s="610"/>
      <c r="H80" s="1954">
        <f>ROUND(SUMIF(DATA!$A:$A,"10-"&amp;LEFT($B80,3)&amp;"*-"&amp;MID(H$1,2,1)&amp;"*",DATA!$F:$F),0)</f>
        <v>0</v>
      </c>
      <c r="I80" s="476"/>
      <c r="J80" s="476"/>
      <c r="K80" s="1683">
        <f t="shared" si="11"/>
        <v>0</v>
      </c>
      <c r="L80" s="466">
        <v>0</v>
      </c>
    </row>
    <row r="81" spans="1:12" x14ac:dyDescent="0.2">
      <c r="A81" s="1516" t="s">
        <v>720</v>
      </c>
      <c r="B81" s="608">
        <v>4140</v>
      </c>
      <c r="C81" s="610"/>
      <c r="D81" s="610"/>
      <c r="E81" s="1954">
        <f>ROUND(SUMIF(DATA!$A:$A,"10-"&amp;LEFT($B81,3)&amp;"*-"&amp;MID(E$1,2,1)&amp;"*",DATA!$F:$F),0)</f>
        <v>0</v>
      </c>
      <c r="F81" s="610"/>
      <c r="G81" s="610"/>
      <c r="H81" s="1954">
        <f>ROUND(SUMIF(DATA!$A:$A,"10-"&amp;LEFT($B81,3)&amp;"*-"&amp;MID(H$1,2,1)&amp;"*",DATA!$F:$F),0)</f>
        <v>4813</v>
      </c>
      <c r="I81" s="476"/>
      <c r="J81" s="476"/>
      <c r="K81" s="1683">
        <f t="shared" si="11"/>
        <v>4813</v>
      </c>
      <c r="L81" s="466">
        <v>5100</v>
      </c>
    </row>
    <row r="82" spans="1:12" x14ac:dyDescent="0.2">
      <c r="A82" s="1516" t="s">
        <v>88</v>
      </c>
      <c r="B82" s="608">
        <v>4170</v>
      </c>
      <c r="C82" s="610"/>
      <c r="D82" s="610"/>
      <c r="E82" s="1954">
        <f>ROUND(SUMIF(DATA!$A:$A,"10-"&amp;LEFT($B82,3)&amp;"*-"&amp;MID(E$1,2,1)&amp;"*",DATA!$F:$F),0)</f>
        <v>0</v>
      </c>
      <c r="F82" s="610"/>
      <c r="G82" s="610"/>
      <c r="H82" s="1954">
        <f>ROUND(SUMIF(DATA!$A:$A,"10-"&amp;LEFT($B82,3)&amp;"*-"&amp;MID(H$1,2,1)&amp;"*",DATA!$F:$F),0)</f>
        <v>0</v>
      </c>
      <c r="I82" s="476"/>
      <c r="J82" s="476"/>
      <c r="K82" s="1683">
        <f t="shared" si="11"/>
        <v>0</v>
      </c>
      <c r="L82" s="466">
        <v>0</v>
      </c>
    </row>
    <row r="83" spans="1:12" x14ac:dyDescent="0.2">
      <c r="A83" s="1520" t="s">
        <v>721</v>
      </c>
      <c r="B83" s="622">
        <v>4190</v>
      </c>
      <c r="C83" s="610"/>
      <c r="D83" s="610"/>
      <c r="E83" s="1954">
        <f>ROUND(SUMIF(DATA!$A:$A,"10-"&amp;LEFT($B83,3)&amp;"*-"&amp;MID(E$1,2,1)&amp;"*",DATA!$F:$F),0)</f>
        <v>0</v>
      </c>
      <c r="F83" s="610"/>
      <c r="G83" s="610"/>
      <c r="H83" s="1954">
        <f>ROUND(SUMIF(DATA!$A:$A,"10-"&amp;LEFT($B83,3)&amp;"*-"&amp;MID(H$1,2,1)&amp;"*",DATA!$F:$F),0)</f>
        <v>0</v>
      </c>
      <c r="I83" s="476"/>
      <c r="J83" s="476"/>
      <c r="K83" s="1683">
        <f t="shared" si="11"/>
        <v>0</v>
      </c>
      <c r="L83" s="466">
        <v>0</v>
      </c>
    </row>
    <row r="84" spans="1:12" ht="13.5" thickBot="1" x14ac:dyDescent="0.25">
      <c r="A84" s="1680" t="s">
        <v>1564</v>
      </c>
      <c r="B84" s="1690">
        <v>4100</v>
      </c>
      <c r="C84" s="610"/>
      <c r="D84" s="610"/>
      <c r="E84" s="1682">
        <f>SUM(E78:E83)</f>
        <v>25749</v>
      </c>
      <c r="F84" s="610"/>
      <c r="G84" s="610"/>
      <c r="H84" s="1682">
        <f>SUM(H78:H83)</f>
        <v>134766</v>
      </c>
      <c r="I84" s="476"/>
      <c r="J84" s="476"/>
      <c r="K84" s="1682">
        <f>SUM(K78:K83)</f>
        <v>160515</v>
      </c>
      <c r="L84" s="1682">
        <f>SUM(L78:L83)</f>
        <v>145782</v>
      </c>
    </row>
    <row r="85" spans="1:12" ht="12.75" customHeight="1" thickTop="1" thickBot="1" x14ac:dyDescent="0.25">
      <c r="A85" s="1523" t="s">
        <v>273</v>
      </c>
      <c r="B85" s="628">
        <v>4210</v>
      </c>
      <c r="C85" s="610"/>
      <c r="D85" s="610"/>
      <c r="E85" s="629"/>
      <c r="F85" s="610"/>
      <c r="G85" s="610"/>
      <c r="H85" s="1954">
        <f>ROUND(SUMIF(DATA!$A:$A,"10-"&amp;LEFT($B85,3)&amp;"*-"&amp;MID(H$1,2,1)&amp;"*",DATA!$F:$F),0)</f>
        <v>29243</v>
      </c>
      <c r="I85" s="476"/>
      <c r="J85" s="476"/>
      <c r="K85" s="1689">
        <f>H85</f>
        <v>29243</v>
      </c>
      <c r="L85" s="529">
        <v>18000</v>
      </c>
    </row>
    <row r="86" spans="1:12" ht="12.75" customHeight="1" thickTop="1" thickBot="1" x14ac:dyDescent="0.25">
      <c r="A86" s="1524" t="s">
        <v>722</v>
      </c>
      <c r="B86" s="630">
        <v>4220</v>
      </c>
      <c r="C86" s="610"/>
      <c r="D86" s="610"/>
      <c r="E86" s="631"/>
      <c r="F86" s="610"/>
      <c r="G86" s="610"/>
      <c r="H86" s="1954">
        <f>ROUND(SUMIF(DATA!$A:$A,"10-"&amp;LEFT($B86,3)&amp;"*-"&amp;MID(H$1,2,1)&amp;"*",DATA!$F:$F),0)</f>
        <v>110192</v>
      </c>
      <c r="I86" s="476"/>
      <c r="J86" s="476"/>
      <c r="K86" s="1689">
        <f t="shared" ref="K86:K98" si="12">H86</f>
        <v>110192</v>
      </c>
      <c r="L86" s="529">
        <v>131000</v>
      </c>
    </row>
    <row r="87" spans="1:12" ht="14.25" thickTop="1" thickBot="1" x14ac:dyDescent="0.25">
      <c r="A87" s="1525" t="s">
        <v>723</v>
      </c>
      <c r="B87" s="632">
        <v>4230</v>
      </c>
      <c r="C87" s="610"/>
      <c r="D87" s="610"/>
      <c r="E87" s="631"/>
      <c r="F87" s="610"/>
      <c r="G87" s="610"/>
      <c r="H87" s="1954">
        <f>ROUND(SUMIF(DATA!$A:$A,"10-"&amp;LEFT($B87,3)&amp;"*-"&amp;MID(H$1,2,1)&amp;"*",DATA!$F:$F),0)</f>
        <v>0</v>
      </c>
      <c r="I87" s="476"/>
      <c r="J87" s="476"/>
      <c r="K87" s="1689">
        <f t="shared" si="12"/>
        <v>0</v>
      </c>
      <c r="L87" s="529">
        <v>0</v>
      </c>
    </row>
    <row r="88" spans="1:12" ht="12.75" customHeight="1" thickTop="1" thickBot="1" x14ac:dyDescent="0.25">
      <c r="A88" s="1525" t="s">
        <v>788</v>
      </c>
      <c r="B88" s="632">
        <v>4240</v>
      </c>
      <c r="C88" s="610"/>
      <c r="D88" s="610"/>
      <c r="E88" s="631"/>
      <c r="F88" s="610"/>
      <c r="G88" s="610"/>
      <c r="H88" s="1954">
        <f>ROUND(SUMIF(DATA!$A:$A,"10-"&amp;LEFT($B88,3)&amp;"*-"&amp;MID(H$1,2,1)&amp;"*",DATA!$F:$F),0)</f>
        <v>10244</v>
      </c>
      <c r="I88" s="476"/>
      <c r="J88" s="476"/>
      <c r="K88" s="1689">
        <f t="shared" si="12"/>
        <v>10244</v>
      </c>
      <c r="L88" s="529">
        <v>47000</v>
      </c>
    </row>
    <row r="89" spans="1:12" ht="12.75" customHeight="1" thickTop="1" thickBot="1" x14ac:dyDescent="0.25">
      <c r="A89" s="1525" t="s">
        <v>724</v>
      </c>
      <c r="B89" s="632">
        <v>4270</v>
      </c>
      <c r="C89" s="610"/>
      <c r="D89" s="610"/>
      <c r="E89" s="631"/>
      <c r="F89" s="610"/>
      <c r="G89" s="610"/>
      <c r="H89" s="1954">
        <f>ROUND(SUMIF(DATA!$A:$A,"10-"&amp;LEFT($B89,3)&amp;"*-"&amp;MID(H$1,2,1)&amp;"*",DATA!$F:$F),0)</f>
        <v>0</v>
      </c>
      <c r="I89" s="476"/>
      <c r="J89" s="476"/>
      <c r="K89" s="1689">
        <f t="shared" si="12"/>
        <v>0</v>
      </c>
      <c r="L89" s="529">
        <v>0</v>
      </c>
    </row>
    <row r="90" spans="1:12" ht="12.75" customHeight="1" thickTop="1" thickBot="1" x14ac:dyDescent="0.25">
      <c r="A90" s="1525" t="s">
        <v>709</v>
      </c>
      <c r="B90" s="632">
        <v>4280</v>
      </c>
      <c r="C90" s="610"/>
      <c r="D90" s="610"/>
      <c r="E90" s="631"/>
      <c r="F90" s="610"/>
      <c r="G90" s="610"/>
      <c r="H90" s="1954">
        <f>ROUND(SUMIF(DATA!$A:$A,"10-"&amp;LEFT($B90,3)&amp;"*-"&amp;MID(H$1,2,1)&amp;"*",DATA!$F:$F),0)</f>
        <v>0</v>
      </c>
      <c r="I90" s="476"/>
      <c r="J90" s="476"/>
      <c r="K90" s="1689">
        <f t="shared" si="12"/>
        <v>0</v>
      </c>
      <c r="L90" s="529">
        <v>0</v>
      </c>
    </row>
    <row r="91" spans="1:12" ht="12.75" customHeight="1" thickTop="1" thickBot="1" x14ac:dyDescent="0.25">
      <c r="A91" s="1525" t="s">
        <v>710</v>
      </c>
      <c r="B91" s="632">
        <v>4290</v>
      </c>
      <c r="C91" s="610"/>
      <c r="D91" s="610"/>
      <c r="E91" s="631"/>
      <c r="F91" s="610"/>
      <c r="G91" s="610"/>
      <c r="H91" s="1954">
        <f>ROUND(SUMIF(DATA!$A:$A,"10-"&amp;LEFT($B91,3)&amp;"*-"&amp;MID(H$1,2,1)&amp;"*",DATA!$F:$F),0)</f>
        <v>0</v>
      </c>
      <c r="I91" s="476"/>
      <c r="J91" s="476"/>
      <c r="K91" s="1689">
        <f t="shared" si="12"/>
        <v>0</v>
      </c>
      <c r="L91" s="529">
        <v>0</v>
      </c>
    </row>
    <row r="92" spans="1:12" ht="14.25" thickTop="1" thickBot="1" x14ac:dyDescent="0.25">
      <c r="A92" s="1692" t="s">
        <v>1640</v>
      </c>
      <c r="B92" s="1690">
        <v>4200</v>
      </c>
      <c r="C92" s="610"/>
      <c r="D92" s="610"/>
      <c r="E92" s="631"/>
      <c r="F92" s="610"/>
      <c r="G92" s="610"/>
      <c r="H92" s="1682">
        <f>SUM(H85:H91)</f>
        <v>149679</v>
      </c>
      <c r="I92" s="476"/>
      <c r="J92" s="476"/>
      <c r="K92" s="1689">
        <f t="shared" si="12"/>
        <v>149679</v>
      </c>
      <c r="L92" s="1682">
        <f>SUM(L85:L91)</f>
        <v>196000</v>
      </c>
    </row>
    <row r="93" spans="1:12" ht="14.25" thickTop="1" thickBot="1" x14ac:dyDescent="0.25">
      <c r="A93" s="1524" t="s">
        <v>711</v>
      </c>
      <c r="B93" s="633">
        <v>4310</v>
      </c>
      <c r="C93" s="610"/>
      <c r="D93" s="610"/>
      <c r="E93" s="631"/>
      <c r="F93" s="610"/>
      <c r="G93" s="610"/>
      <c r="H93" s="1954">
        <f>SUMIF(DATA!$A:$A,"10-"&amp;$B93&amp;"-6*",DATA!$F:$F)</f>
        <v>0</v>
      </c>
      <c r="I93" s="476"/>
      <c r="J93" s="476"/>
      <c r="K93" s="1689">
        <f t="shared" si="12"/>
        <v>0</v>
      </c>
      <c r="L93" s="531">
        <v>0</v>
      </c>
    </row>
    <row r="94" spans="1:12" ht="12.75" customHeight="1" thickTop="1" thickBot="1" x14ac:dyDescent="0.25">
      <c r="A94" s="1525" t="s">
        <v>712</v>
      </c>
      <c r="B94" s="632">
        <v>4320</v>
      </c>
      <c r="C94" s="610"/>
      <c r="D94" s="610"/>
      <c r="E94" s="631"/>
      <c r="F94" s="610"/>
      <c r="G94" s="610"/>
      <c r="H94" s="1954">
        <f>SUMIF(DATA!$A:$A,"10-"&amp;$B94&amp;"-6*",DATA!$F:$F)</f>
        <v>0</v>
      </c>
      <c r="I94" s="476"/>
      <c r="J94" s="476"/>
      <c r="K94" s="1689">
        <f t="shared" si="12"/>
        <v>0</v>
      </c>
      <c r="L94" s="529">
        <v>0</v>
      </c>
    </row>
    <row r="95" spans="1:12" ht="15" customHeight="1" thickTop="1" thickBot="1" x14ac:dyDescent="0.25">
      <c r="A95" s="1525" t="s">
        <v>1567</v>
      </c>
      <c r="B95" s="632">
        <v>4330</v>
      </c>
      <c r="C95" s="610"/>
      <c r="D95" s="610"/>
      <c r="E95" s="631"/>
      <c r="F95" s="610"/>
      <c r="G95" s="610"/>
      <c r="H95" s="1954">
        <f>SUMIF(DATA!$A:$A,"10-"&amp;$B95&amp;"-6*",DATA!$F:$F)</f>
        <v>0</v>
      </c>
      <c r="I95" s="476"/>
      <c r="J95" s="476"/>
      <c r="K95" s="1689">
        <f t="shared" si="12"/>
        <v>0</v>
      </c>
      <c r="L95" s="529">
        <v>0</v>
      </c>
    </row>
    <row r="96" spans="1:12" ht="14.25" thickTop="1" thickBot="1" x14ac:dyDescent="0.25">
      <c r="A96" s="1525" t="s">
        <v>713</v>
      </c>
      <c r="B96" s="632">
        <v>4340</v>
      </c>
      <c r="C96" s="610"/>
      <c r="D96" s="610"/>
      <c r="E96" s="631"/>
      <c r="F96" s="610"/>
      <c r="G96" s="610"/>
      <c r="H96" s="1954">
        <f>SUMIF(DATA!$A:$A,"10-"&amp;$B96&amp;"-6*",DATA!$F:$F)</f>
        <v>0</v>
      </c>
      <c r="I96" s="476"/>
      <c r="J96" s="476"/>
      <c r="K96" s="1689">
        <f t="shared" si="12"/>
        <v>0</v>
      </c>
      <c r="L96" s="529">
        <v>0</v>
      </c>
    </row>
    <row r="97" spans="1:14" ht="12.75" customHeight="1" thickTop="1" thickBot="1" x14ac:dyDescent="0.25">
      <c r="A97" s="1525" t="s">
        <v>786</v>
      </c>
      <c r="B97" s="632">
        <v>4370</v>
      </c>
      <c r="C97" s="610"/>
      <c r="D97" s="610"/>
      <c r="E97" s="631"/>
      <c r="F97" s="610"/>
      <c r="G97" s="610"/>
      <c r="H97" s="1954">
        <f>SUMIF(DATA!$A:$A,"10-"&amp;$B97&amp;"-6*",DATA!$F:$F)</f>
        <v>0</v>
      </c>
      <c r="I97" s="476"/>
      <c r="J97" s="476"/>
      <c r="K97" s="1689">
        <f t="shared" si="12"/>
        <v>0</v>
      </c>
      <c r="L97" s="529">
        <v>0</v>
      </c>
    </row>
    <row r="98" spans="1:14" ht="14.25" thickTop="1" thickBot="1" x14ac:dyDescent="0.25">
      <c r="A98" s="1525" t="s">
        <v>787</v>
      </c>
      <c r="B98" s="632">
        <v>4380</v>
      </c>
      <c r="C98" s="610"/>
      <c r="D98" s="610"/>
      <c r="E98" s="635"/>
      <c r="F98" s="610"/>
      <c r="G98" s="610"/>
      <c r="H98" s="1954">
        <f>SUMIF(DATA!$A:$A,"10-"&amp;$B98&amp;"-6*",DATA!$F:$F)</f>
        <v>0</v>
      </c>
      <c r="I98" s="476"/>
      <c r="J98" s="476"/>
      <c r="K98" s="1689">
        <f t="shared" si="12"/>
        <v>0</v>
      </c>
      <c r="L98" s="529">
        <v>0</v>
      </c>
    </row>
    <row r="99" spans="1:14" ht="14.25" thickTop="1" thickBot="1" x14ac:dyDescent="0.25">
      <c r="A99" s="1525" t="s">
        <v>384</v>
      </c>
      <c r="B99" s="632">
        <v>4390</v>
      </c>
      <c r="C99" s="610"/>
      <c r="D99" s="610"/>
      <c r="E99" s="1954">
        <f>SUMIF(DATA!$A:$A,"10-"&amp;$B99&amp;"-3*",DATA!$F:$F)</f>
        <v>0</v>
      </c>
      <c r="F99" s="610"/>
      <c r="G99" s="610"/>
      <c r="H99" s="1954">
        <f>ROUND(SUMIF(DATA!$A:$A,"10-"&amp;LEFT($B99,3)&amp;"*-"&amp;MID(H$1,2,1)&amp;"*",DATA!$F:$F),0)</f>
        <v>271878</v>
      </c>
      <c r="I99" s="476"/>
      <c r="J99" s="476"/>
      <c r="K99" s="1689">
        <f>SUM(E99,H99)</f>
        <v>271878</v>
      </c>
      <c r="L99" s="529">
        <v>240200</v>
      </c>
    </row>
    <row r="100" spans="1:14" ht="14.25" thickTop="1" thickBot="1" x14ac:dyDescent="0.25">
      <c r="A100" s="1692" t="s">
        <v>1565</v>
      </c>
      <c r="B100" s="1693">
        <v>4300</v>
      </c>
      <c r="C100" s="610"/>
      <c r="D100" s="610"/>
      <c r="E100" s="1689">
        <f>SUM(E93:E99)</f>
        <v>0</v>
      </c>
      <c r="F100" s="610"/>
      <c r="G100" s="610"/>
      <c r="H100" s="1689">
        <f>SUM(H93:H99)</f>
        <v>271878</v>
      </c>
      <c r="I100" s="476"/>
      <c r="J100" s="476"/>
      <c r="K100" s="1689">
        <f>SUM(K93:K99)</f>
        <v>271878</v>
      </c>
      <c r="L100" s="1689">
        <f>SUM(L93:L99)</f>
        <v>240200</v>
      </c>
    </row>
    <row r="101" spans="1:14" ht="12.75" customHeight="1" thickTop="1" thickBot="1" x14ac:dyDescent="0.25">
      <c r="A101" s="1522" t="s">
        <v>1568</v>
      </c>
      <c r="B101" s="636" t="s">
        <v>987</v>
      </c>
      <c r="C101" s="610"/>
      <c r="D101" s="610"/>
      <c r="E101" s="1954">
        <f>SUMIF(DATA!$A:$A,"10-"&amp;$B101&amp;"-3*",DATA!$F:$F)</f>
        <v>0</v>
      </c>
      <c r="F101" s="610"/>
      <c r="G101" s="610"/>
      <c r="H101" s="530"/>
      <c r="I101" s="476"/>
      <c r="J101" s="476"/>
      <c r="K101" s="1691">
        <f>SUM(C101:J101)</f>
        <v>0</v>
      </c>
      <c r="L101" s="529">
        <v>0</v>
      </c>
    </row>
    <row r="102" spans="1:14" ht="12.75" customHeight="1" thickTop="1" thickBot="1" x14ac:dyDescent="0.25">
      <c r="A102" s="1680" t="s">
        <v>1566</v>
      </c>
      <c r="B102" s="1690">
        <v>4000</v>
      </c>
      <c r="C102" s="610"/>
      <c r="D102" s="610"/>
      <c r="E102" s="1689">
        <f>SUM(E84,E92,E100,E101)</f>
        <v>25749</v>
      </c>
      <c r="F102" s="610"/>
      <c r="G102" s="610"/>
      <c r="H102" s="1689">
        <f>SUM(H84,H92,H100,H101)</f>
        <v>556323</v>
      </c>
      <c r="I102" s="476"/>
      <c r="J102" s="476"/>
      <c r="K102" s="1689">
        <f>SUM(K84,K92,K100,K101)</f>
        <v>582072</v>
      </c>
      <c r="L102" s="1689">
        <f>SUM(L84,L92,L100,L101)</f>
        <v>581982</v>
      </c>
    </row>
    <row r="103" spans="1:14" s="627" customFormat="1" ht="15.75" customHeight="1" thickTop="1" x14ac:dyDescent="0.2">
      <c r="A103" s="1624" t="s">
        <v>533</v>
      </c>
      <c r="B103" s="1621" t="s">
        <v>512</v>
      </c>
      <c r="C103" s="610"/>
      <c r="D103" s="610"/>
      <c r="E103" s="610"/>
      <c r="F103" s="610"/>
      <c r="G103" s="610"/>
      <c r="H103" s="612"/>
      <c r="I103" s="468"/>
      <c r="J103" s="468"/>
      <c r="K103" s="612"/>
      <c r="L103" s="612"/>
      <c r="M103" s="184"/>
      <c r="N103" s="184"/>
    </row>
    <row r="104" spans="1:14" s="639" customFormat="1" ht="15.75" customHeight="1" x14ac:dyDescent="0.2">
      <c r="A104" s="637" t="s">
        <v>635</v>
      </c>
      <c r="B104" s="638"/>
      <c r="C104" s="610"/>
      <c r="D104" s="610"/>
      <c r="E104" s="610"/>
      <c r="F104" s="610"/>
      <c r="G104" s="610"/>
      <c r="H104" s="617"/>
      <c r="I104" s="468"/>
      <c r="J104" s="468"/>
      <c r="K104" s="617"/>
      <c r="L104" s="617"/>
      <c r="M104" s="607"/>
      <c r="N104" s="607"/>
    </row>
    <row r="105" spans="1:14" s="591" customFormat="1" x14ac:dyDescent="0.2">
      <c r="A105" s="1516" t="s">
        <v>89</v>
      </c>
      <c r="B105" s="608">
        <v>5110</v>
      </c>
      <c r="C105" s="610"/>
      <c r="D105" s="610"/>
      <c r="E105" s="610"/>
      <c r="F105" s="610"/>
      <c r="G105" s="610"/>
      <c r="H105" s="1954">
        <f>SUMIF(DATA!$A:$A,"10-"&amp;$B105&amp;"-6*",DATA!$F:$F)</f>
        <v>0</v>
      </c>
      <c r="I105" s="468"/>
      <c r="J105" s="468"/>
      <c r="K105" s="1683">
        <f>H105</f>
        <v>0</v>
      </c>
      <c r="L105" s="480">
        <v>0</v>
      </c>
      <c r="M105" s="210"/>
      <c r="N105" s="210"/>
    </row>
    <row r="106" spans="1:14" s="591" customFormat="1" x14ac:dyDescent="0.2">
      <c r="A106" s="1516" t="s">
        <v>90</v>
      </c>
      <c r="B106" s="608">
        <v>5120</v>
      </c>
      <c r="C106" s="610"/>
      <c r="D106" s="610"/>
      <c r="E106" s="610"/>
      <c r="F106" s="610"/>
      <c r="G106" s="610"/>
      <c r="H106" s="1954">
        <f>SUMIF(DATA!$A:$A,"10-"&amp;$B106&amp;"-6*",DATA!$F:$F)</f>
        <v>0</v>
      </c>
      <c r="I106" s="468"/>
      <c r="J106" s="468"/>
      <c r="K106" s="1683">
        <f>H106</f>
        <v>0</v>
      </c>
      <c r="L106" s="466">
        <v>0</v>
      </c>
      <c r="M106" s="210"/>
      <c r="N106" s="210"/>
    </row>
    <row r="107" spans="1:14" s="591" customFormat="1" ht="12.75" customHeight="1" x14ac:dyDescent="0.2">
      <c r="A107" s="1516" t="s">
        <v>1231</v>
      </c>
      <c r="B107" s="608">
        <v>5130</v>
      </c>
      <c r="C107" s="610"/>
      <c r="D107" s="610"/>
      <c r="E107" s="610"/>
      <c r="F107" s="610"/>
      <c r="G107" s="610"/>
      <c r="H107" s="1954">
        <f>SUMIF(DATA!$A:$A,"10-"&amp;$B107&amp;"-6*",DATA!$F:$F)</f>
        <v>0</v>
      </c>
      <c r="I107" s="468"/>
      <c r="J107" s="468"/>
      <c r="K107" s="1683">
        <f>H107</f>
        <v>0</v>
      </c>
      <c r="L107" s="466">
        <v>0</v>
      </c>
      <c r="M107" s="210"/>
      <c r="N107" s="210"/>
    </row>
    <row r="108" spans="1:14" s="591" customFormat="1" x14ac:dyDescent="0.2">
      <c r="A108" s="1516" t="s">
        <v>91</v>
      </c>
      <c r="B108" s="608" t="s">
        <v>609</v>
      </c>
      <c r="C108" s="610"/>
      <c r="D108" s="610"/>
      <c r="E108" s="610"/>
      <c r="F108" s="610"/>
      <c r="G108" s="610"/>
      <c r="H108" s="1954">
        <f>SUMIF(DATA!$A:$A,"10-"&amp;$B108&amp;"-6*",DATA!$F:$F)</f>
        <v>0</v>
      </c>
      <c r="I108" s="468"/>
      <c r="J108" s="468"/>
      <c r="K108" s="1683">
        <f>H108</f>
        <v>0</v>
      </c>
      <c r="L108" s="466">
        <v>0</v>
      </c>
      <c r="M108" s="210"/>
      <c r="N108" s="210"/>
    </row>
    <row r="109" spans="1:14" s="591" customFormat="1" x14ac:dyDescent="0.2">
      <c r="A109" s="1516" t="s">
        <v>272</v>
      </c>
      <c r="B109" s="622">
        <v>5150</v>
      </c>
      <c r="C109" s="610"/>
      <c r="D109" s="610"/>
      <c r="E109" s="610"/>
      <c r="F109" s="610"/>
      <c r="G109" s="610"/>
      <c r="H109" s="1954">
        <f>SUMIF(DATA!$A:$A,"10-"&amp;$B109&amp;"-6*",DATA!$F:$F)</f>
        <v>0</v>
      </c>
      <c r="I109" s="468"/>
      <c r="J109" s="468"/>
      <c r="K109" s="1683">
        <f>H109</f>
        <v>0</v>
      </c>
      <c r="L109" s="466">
        <v>0</v>
      </c>
      <c r="M109" s="210"/>
      <c r="N109" s="210"/>
    </row>
    <row r="110" spans="1:14" s="591" customFormat="1" ht="12.75" customHeight="1" thickBot="1" x14ac:dyDescent="0.25">
      <c r="A110" s="1680" t="s">
        <v>1163</v>
      </c>
      <c r="B110" s="1687" t="s">
        <v>741</v>
      </c>
      <c r="C110" s="610"/>
      <c r="D110" s="610"/>
      <c r="E110" s="610"/>
      <c r="F110" s="610"/>
      <c r="G110" s="610"/>
      <c r="H110" s="1682">
        <f>SUM(H105:H109)</f>
        <v>0</v>
      </c>
      <c r="I110" s="468"/>
      <c r="J110" s="468"/>
      <c r="K110" s="1682">
        <f>SUM(K105:K109)</f>
        <v>0</v>
      </c>
      <c r="L110" s="1682">
        <f>SUM(L105:L109)</f>
        <v>0</v>
      </c>
      <c r="M110" s="210"/>
      <c r="N110" s="210"/>
    </row>
    <row r="111" spans="1:14" s="591" customFormat="1" ht="12.75" customHeight="1" thickTop="1" thickBot="1" x14ac:dyDescent="0.25">
      <c r="A111" s="1526" t="s">
        <v>385</v>
      </c>
      <c r="B111" s="640" t="s">
        <v>38</v>
      </c>
      <c r="C111" s="610"/>
      <c r="D111" s="610"/>
      <c r="E111" s="610"/>
      <c r="F111" s="610"/>
      <c r="G111" s="610"/>
      <c r="H111" s="1954">
        <f>SUMIF(DATA!$A:$A,"10-"&amp;$B111&amp;"-6*",DATA!$F:$F)</f>
        <v>0</v>
      </c>
      <c r="I111" s="468"/>
      <c r="J111" s="468"/>
      <c r="K111" s="1695">
        <f>H111</f>
        <v>0</v>
      </c>
      <c r="L111" s="531">
        <v>0</v>
      </c>
      <c r="M111" s="210"/>
      <c r="N111" s="210"/>
    </row>
    <row r="112" spans="1:14" s="591" customFormat="1" ht="12.75" customHeight="1" thickTop="1" thickBot="1" x14ac:dyDescent="0.25">
      <c r="A112" s="1680" t="s">
        <v>658</v>
      </c>
      <c r="B112" s="1681" t="s">
        <v>512</v>
      </c>
      <c r="C112" s="610"/>
      <c r="D112" s="610"/>
      <c r="E112" s="610"/>
      <c r="F112" s="610"/>
      <c r="G112" s="610"/>
      <c r="H112" s="1682">
        <f>SUM(H110:H111)</f>
        <v>0</v>
      </c>
      <c r="I112" s="468"/>
      <c r="J112" s="468"/>
      <c r="K112" s="1682">
        <f>SUM(K110:K111)</f>
        <v>0</v>
      </c>
      <c r="L112" s="1689">
        <f>SUM(L110,L111)</f>
        <v>0</v>
      </c>
      <c r="M112" s="210"/>
      <c r="N112" s="210"/>
    </row>
    <row r="113" spans="1:14" s="259" customFormat="1" ht="15.75" customHeight="1" thickTop="1" thickBot="1" x14ac:dyDescent="0.25">
      <c r="A113" s="1618" t="s">
        <v>534</v>
      </c>
      <c r="B113" s="1625" t="s">
        <v>915</v>
      </c>
      <c r="C113" s="617"/>
      <c r="D113" s="617"/>
      <c r="E113" s="610"/>
      <c r="F113" s="610"/>
      <c r="G113" s="610"/>
      <c r="H113" s="617"/>
      <c r="I113" s="468"/>
      <c r="J113" s="468"/>
      <c r="K113" s="617"/>
      <c r="L113" s="530">
        <v>0</v>
      </c>
      <c r="M113" s="607"/>
      <c r="N113" s="607"/>
    </row>
    <row r="114" spans="1:14" ht="12.75" customHeight="1" thickTop="1" thickBot="1" x14ac:dyDescent="0.25">
      <c r="A114" s="1680" t="s">
        <v>50</v>
      </c>
      <c r="B114" s="1694"/>
      <c r="C114" s="1682">
        <f>SUM(C33,C74,C75,C102,C112,C113)</f>
        <v>8079388</v>
      </c>
      <c r="D114" s="1682">
        <f t="shared" ref="D114:K114" si="13">SUM(D33,D74,D75,D102,D112,D113)</f>
        <v>2591857</v>
      </c>
      <c r="E114" s="1682">
        <f t="shared" si="13"/>
        <v>1020078</v>
      </c>
      <c r="F114" s="1682">
        <f t="shared" si="13"/>
        <v>193232</v>
      </c>
      <c r="G114" s="1682">
        <f t="shared" si="13"/>
        <v>191114</v>
      </c>
      <c r="H114" s="1682">
        <f>SUM(H33,H74,H75,H102,H112,H113)</f>
        <v>1766561</v>
      </c>
      <c r="I114" s="1682">
        <f t="shared" si="13"/>
        <v>0</v>
      </c>
      <c r="J114" s="1682">
        <f t="shared" si="13"/>
        <v>0</v>
      </c>
      <c r="K114" s="1682">
        <f t="shared" si="13"/>
        <v>13842230</v>
      </c>
      <c r="L114" s="1682">
        <f>SUM(L33,L74,L75,L102,L112,L113)</f>
        <v>14437860</v>
      </c>
    </row>
    <row r="115" spans="1:14" ht="13.5" thickTop="1" x14ac:dyDescent="0.2">
      <c r="A115" s="2212" t="s">
        <v>1052</v>
      </c>
      <c r="B115" s="2213"/>
      <c r="C115" s="612"/>
      <c r="D115" s="612"/>
      <c r="E115" s="612"/>
      <c r="F115" s="612"/>
      <c r="G115" s="612"/>
      <c r="H115" s="612"/>
      <c r="I115" s="612"/>
      <c r="J115" s="612"/>
      <c r="K115" s="1696">
        <f>'Revenues 9-14'!C275-'Expenditures 15-22'!K114</f>
        <v>-590249</v>
      </c>
      <c r="L115" s="612"/>
    </row>
    <row r="116" spans="1:14" s="180" customFormat="1" ht="9" customHeight="1" x14ac:dyDescent="0.2">
      <c r="A116" s="641"/>
      <c r="B116" s="642"/>
      <c r="C116" s="643"/>
      <c r="D116" s="643"/>
      <c r="E116" s="643"/>
      <c r="F116" s="643"/>
      <c r="G116" s="643"/>
      <c r="H116" s="643"/>
      <c r="I116" s="643"/>
      <c r="J116" s="643"/>
      <c r="K116" s="643"/>
      <c r="L116" s="643"/>
      <c r="M116" s="210"/>
      <c r="N116" s="210"/>
    </row>
    <row r="117" spans="1:14" s="644" customFormat="1" ht="16.7" customHeight="1" x14ac:dyDescent="0.2">
      <c r="A117" s="2190" t="s">
        <v>313</v>
      </c>
      <c r="B117" s="2191"/>
      <c r="C117" s="1638"/>
      <c r="D117" s="1639"/>
      <c r="E117" s="1639"/>
      <c r="F117" s="1639"/>
      <c r="G117" s="1639"/>
      <c r="H117" s="1639"/>
      <c r="I117" s="1639"/>
      <c r="J117" s="1639"/>
      <c r="K117" s="1639"/>
      <c r="L117" s="1640"/>
      <c r="M117" s="175"/>
      <c r="N117" s="175"/>
    </row>
    <row r="118" spans="1:14" ht="15.75" customHeight="1" x14ac:dyDescent="0.2">
      <c r="A118" s="1626" t="s">
        <v>1094</v>
      </c>
      <c r="B118" s="1627" t="s">
        <v>589</v>
      </c>
      <c r="C118" s="610"/>
      <c r="D118" s="610"/>
      <c r="E118" s="610"/>
      <c r="F118" s="610"/>
      <c r="G118" s="610"/>
      <c r="H118" s="610"/>
      <c r="I118" s="610"/>
      <c r="J118" s="610"/>
      <c r="K118" s="610"/>
      <c r="L118" s="610"/>
    </row>
    <row r="119" spans="1:14" ht="15.75" customHeight="1" x14ac:dyDescent="0.2">
      <c r="A119" s="645" t="s">
        <v>611</v>
      </c>
      <c r="B119" s="616"/>
      <c r="C119" s="617"/>
      <c r="D119" s="617"/>
      <c r="E119" s="617"/>
      <c r="F119" s="610"/>
      <c r="G119" s="610"/>
      <c r="H119" s="617"/>
      <c r="I119" s="610"/>
      <c r="J119" s="610"/>
      <c r="K119" s="617"/>
      <c r="L119" s="617"/>
    </row>
    <row r="120" spans="1:14" ht="12.75" customHeight="1" x14ac:dyDescent="0.2">
      <c r="A120" s="1520" t="s">
        <v>167</v>
      </c>
      <c r="B120" s="622">
        <v>2190</v>
      </c>
      <c r="C120" s="1954">
        <f>ROUND(SUMIF(DATA!$A:$A,"20-"&amp;LEFT($B120,3)&amp;"*-"&amp;MID(C$1,2,1)&amp;"*",DATA!$F:$F),0)</f>
        <v>0</v>
      </c>
      <c r="D120" s="1954">
        <f>ROUND(SUMIF(DATA!$A:$A,"20-"&amp;LEFT($B120,3)&amp;"*-"&amp;MID(D$1,2,1)&amp;"*",DATA!$F:$F),0)</f>
        <v>0</v>
      </c>
      <c r="E120" s="1954">
        <f>ROUND(SUMIF(DATA!$A:$A,"20-"&amp;LEFT($B120,3)&amp;"*-"&amp;MID(E$1,2,1)&amp;"*",DATA!$F:$F),0)</f>
        <v>0</v>
      </c>
      <c r="F120" s="1954">
        <f>ROUND(SUMIF(DATA!$A:$A,"20-"&amp;LEFT($B120,3)&amp;"*-"&amp;MID(F$1,2,1)&amp;"*",DATA!$F:$F),0)</f>
        <v>0</v>
      </c>
      <c r="G120" s="1954">
        <f>ROUND(SUMIF(DATA!$A:$A,"20-"&amp;LEFT($B120,3)&amp;"*-"&amp;MID(G$1,2,1)&amp;"*",DATA!$F:$F),0)</f>
        <v>0</v>
      </c>
      <c r="H120" s="1954">
        <f>ROUND(SUMIF(DATA!$A:$A,"20-"&amp;LEFT($B120,3)&amp;"*-"&amp;MID(H$1,2,1)&amp;"*",DATA!$F:$F),0)</f>
        <v>0</v>
      </c>
      <c r="I120" s="1954">
        <f>ROUND(SUMIF(DATA!$A:$A,"20-"&amp;LEFT($B120,3)&amp;"*-"&amp;MID(I$1,2,1)&amp;"*",DATA!$F:$F),0)</f>
        <v>0</v>
      </c>
      <c r="J120" s="1954">
        <f>ROUND(SUMIF(DATA!$A:$A,"20-"&amp;LEFT($B120,3)&amp;"*-"&amp;MID(J$1,2,1)&amp;"*",DATA!$F:$F),0)</f>
        <v>0</v>
      </c>
      <c r="K120" s="1683">
        <f>SUM(C120:J120)</f>
        <v>0</v>
      </c>
      <c r="L120" s="466">
        <v>0</v>
      </c>
    </row>
    <row r="121" spans="1:14" ht="15.75" customHeight="1" x14ac:dyDescent="0.2">
      <c r="A121" s="646" t="s">
        <v>632</v>
      </c>
      <c r="B121" s="616"/>
      <c r="C121" s="520"/>
      <c r="D121" s="520"/>
      <c r="E121" s="520"/>
      <c r="F121" s="520"/>
      <c r="G121" s="520"/>
      <c r="H121" s="520"/>
      <c r="I121" s="610"/>
      <c r="J121" s="610"/>
      <c r="K121" s="617"/>
      <c r="L121" s="520"/>
    </row>
    <row r="122" spans="1:14" ht="13.5" thickBot="1" x14ac:dyDescent="0.25">
      <c r="A122" s="1516" t="s">
        <v>1127</v>
      </c>
      <c r="B122" s="608">
        <v>2510</v>
      </c>
      <c r="C122" s="1954">
        <f>ROUND(SUMIF(DATA!$A:$A,"20-"&amp;LEFT($B122,3)&amp;"*-"&amp;MID(C$1,2,1)&amp;"*",DATA!$F:$F),0)</f>
        <v>0</v>
      </c>
      <c r="D122" s="1954">
        <f>ROUND(SUMIF(DATA!$A:$A,"20-"&amp;LEFT($B122,3)&amp;"*-"&amp;MID(D$1,2,1)&amp;"*",DATA!$F:$F),0)</f>
        <v>0</v>
      </c>
      <c r="E122" s="1954">
        <f>ROUND(SUMIF(DATA!$A:$A,"20-"&amp;LEFT($B122,3)&amp;"*-"&amp;MID(E$1,2,1)&amp;"*",DATA!$F:$F),0)</f>
        <v>0</v>
      </c>
      <c r="F122" s="1954">
        <f>ROUND(SUMIF(DATA!$A:$A,"20-"&amp;LEFT($B122,3)&amp;"*-"&amp;MID(F$1,2,1)&amp;"*",DATA!$F:$F),0)</f>
        <v>0</v>
      </c>
      <c r="G122" s="1954">
        <f>ROUND(SUMIF(DATA!$A:$A,"20-"&amp;LEFT($B122,3)&amp;"*-"&amp;MID(G$1,2,1)&amp;"*",DATA!$F:$F),0)</f>
        <v>0</v>
      </c>
      <c r="H122" s="1954">
        <f>ROUND(SUMIF(DATA!$A:$A,"20-"&amp;LEFT($B122,3)&amp;"*-"&amp;MID(H$1,2,1)&amp;"*",DATA!$F:$F),0)</f>
        <v>0</v>
      </c>
      <c r="I122" s="1954">
        <f>ROUND(SUMIF(DATA!$A:$A,"20-"&amp;LEFT($B122,3)&amp;"*-"&amp;MID(I$1,2,1)&amp;"*",DATA!$F:$F),0)</f>
        <v>0</v>
      </c>
      <c r="J122" s="1954">
        <f>ROUND(SUMIF(DATA!$A:$A,"20-"&amp;LEFT($B122,3)&amp;"*-"&amp;MID(J$1,2,1)&amp;"*",DATA!$F:$F),0)</f>
        <v>0</v>
      </c>
      <c r="K122" s="1682">
        <f>SUM(C122:J122)</f>
        <v>0</v>
      </c>
      <c r="L122" s="466">
        <v>0</v>
      </c>
    </row>
    <row r="123" spans="1:14" ht="14.25" thickTop="1" thickBot="1" x14ac:dyDescent="0.25">
      <c r="A123" s="1516" t="s">
        <v>4</v>
      </c>
      <c r="B123" s="608">
        <v>2530</v>
      </c>
      <c r="C123" s="1954">
        <f>ROUND(SUMIF(DATA!$A:$A,"20-"&amp;LEFT($B123,3)&amp;"*-"&amp;MID(C$1,2,1)&amp;"*",DATA!$F:$F),0)</f>
        <v>0</v>
      </c>
      <c r="D123" s="1954">
        <f>ROUND(SUMIF(DATA!$A:$A,"20-"&amp;LEFT($B123,3)&amp;"*-"&amp;MID(D$1,2,1)&amp;"*",DATA!$F:$F),0)</f>
        <v>0</v>
      </c>
      <c r="E123" s="1954">
        <f>ROUND(SUMIF(DATA!$A:$A,"20-"&amp;LEFT($B123,3)&amp;"*-"&amp;MID(E$1,2,1)&amp;"*",DATA!$F:$F),0)</f>
        <v>0</v>
      </c>
      <c r="F123" s="1954">
        <f>ROUND(SUMIF(DATA!$A:$A,"20-"&amp;LEFT($B123,3)&amp;"*-"&amp;MID(F$1,2,1)&amp;"*",DATA!$F:$F),0)</f>
        <v>0</v>
      </c>
      <c r="G123" s="1954">
        <f>ROUND(SUMIF(DATA!$A:$A,"20-"&amp;LEFT($B123,3)&amp;"*-"&amp;MID(G$1,2,1)&amp;"*",DATA!$F:$F),0)</f>
        <v>0</v>
      </c>
      <c r="H123" s="1954">
        <f>ROUND(SUMIF(DATA!$A:$A,"20-"&amp;LEFT($B123,3)&amp;"*-"&amp;MID(H$1,2,1)&amp;"*",DATA!$F:$F),0)</f>
        <v>0</v>
      </c>
      <c r="I123" s="1954">
        <f>ROUND(SUMIF(DATA!$A:$A,"20-"&amp;LEFT($B123,3)&amp;"*-"&amp;MID(I$1,2,1)&amp;"*",DATA!$F:$F),0)</f>
        <v>0</v>
      </c>
      <c r="J123" s="1954">
        <f>ROUND(SUMIF(DATA!$A:$A,"20-"&amp;LEFT($B123,3)&amp;"*-"&amp;MID(J$1,2,1)&amp;"*",DATA!$F:$F),0)</f>
        <v>0</v>
      </c>
      <c r="K123" s="1682">
        <f>SUM(C123:J123)</f>
        <v>0</v>
      </c>
      <c r="L123" s="466">
        <v>0</v>
      </c>
    </row>
    <row r="124" spans="1:14" ht="14.25" thickTop="1" thickBot="1" x14ac:dyDescent="0.25">
      <c r="A124" s="1516" t="s">
        <v>206</v>
      </c>
      <c r="B124" s="608">
        <v>2540</v>
      </c>
      <c r="C124" s="1954">
        <f>ROUND(SUMIF(DATA!$A:$A,"20-"&amp;LEFT($B124,3)&amp;"*-"&amp;MID(C$1,2,1)&amp;"*",DATA!$F:$F),0)</f>
        <v>729166</v>
      </c>
      <c r="D124" s="1954">
        <f>ROUND(SUMIF(DATA!$A:$A,"20-"&amp;LEFT($B124,3)&amp;"*-"&amp;MID(D$1,2,1)&amp;"*",DATA!$F:$F),0)</f>
        <v>162392</v>
      </c>
      <c r="E124" s="1954">
        <f>ROUND(SUMIF(DATA!$A:$A,"20-"&amp;LEFT($B124,3)&amp;"*-"&amp;MID(E$1,2,1)&amp;"*",DATA!$F:$F),0)</f>
        <v>156245</v>
      </c>
      <c r="F124" s="1954">
        <f>ROUND(SUMIF(DATA!$A:$A,"20-"&amp;LEFT($B124,3)&amp;"*-"&amp;MID(F$1,2,1)&amp;"*",DATA!$F:$F),0)</f>
        <v>415927</v>
      </c>
      <c r="G124" s="1954">
        <f>ROUND(SUMIF(DATA!$A:$A,"20-"&amp;LEFT($B124,3)&amp;"*-"&amp;MID(G$1,2,1)&amp;"*",DATA!$F:$F),0)</f>
        <v>20049</v>
      </c>
      <c r="H124" s="1954">
        <f>ROUND(SUMIF(DATA!$A:$A,"20-"&amp;LEFT($B124,3)&amp;"*-"&amp;MID(H$1,2,1)&amp;"*",DATA!$F:$F),0)</f>
        <v>0</v>
      </c>
      <c r="I124" s="1954">
        <f>ROUND(SUMIF(DATA!$A:$A,"20-"&amp;LEFT($B124,3)&amp;"*-"&amp;MID(I$1,2,1)&amp;"*",DATA!$F:$F),0)</f>
        <v>0</v>
      </c>
      <c r="J124" s="1954">
        <f>ROUND(SUMIF(DATA!$A:$A,"20-"&amp;LEFT($B124,3)&amp;"*-"&amp;MID(J$1,2,1)&amp;"*",DATA!$F:$F),0)</f>
        <v>0</v>
      </c>
      <c r="K124" s="1682">
        <f>SUM(C124:J124)</f>
        <v>1483779</v>
      </c>
      <c r="L124" s="466">
        <v>1587800</v>
      </c>
    </row>
    <row r="125" spans="1:14" ht="14.25" thickTop="1" thickBot="1" x14ac:dyDescent="0.25">
      <c r="A125" s="1516" t="s">
        <v>1009</v>
      </c>
      <c r="B125" s="608">
        <v>2550</v>
      </c>
      <c r="C125" s="1954">
        <f>ROUND(SUMIF(DATA!$A:$A,"20-"&amp;LEFT($B125,3)&amp;"*-"&amp;MID(C$1,2,1)&amp;"*",DATA!$F:$F),0)</f>
        <v>0</v>
      </c>
      <c r="D125" s="1954">
        <f>ROUND(SUMIF(DATA!$A:$A,"20-"&amp;LEFT($B125,3)&amp;"*-"&amp;MID(D$1,2,1)&amp;"*",DATA!$F:$F),0)</f>
        <v>0</v>
      </c>
      <c r="E125" s="1954">
        <f>ROUND(SUMIF(DATA!$A:$A,"20-"&amp;LEFT($B125,3)&amp;"*-"&amp;MID(E$1,2,1)&amp;"*",DATA!$F:$F),0)</f>
        <v>0</v>
      </c>
      <c r="F125" s="1954">
        <f>ROUND(SUMIF(DATA!$A:$A,"20-"&amp;LEFT($B125,3)&amp;"*-"&amp;MID(F$1,2,1)&amp;"*",DATA!$F:$F),0)</f>
        <v>0</v>
      </c>
      <c r="G125" s="1954">
        <f>ROUND(SUMIF(DATA!$A:$A,"20-"&amp;LEFT($B125,3)&amp;"*-"&amp;MID(G$1,2,1)&amp;"*",DATA!$F:$F),0)</f>
        <v>0</v>
      </c>
      <c r="H125" s="1954">
        <f>ROUND(SUMIF(DATA!$A:$A,"20-"&amp;LEFT($B125,3)&amp;"*-"&amp;MID(H$1,2,1)&amp;"*",DATA!$F:$F),0)</f>
        <v>0</v>
      </c>
      <c r="I125" s="1954">
        <f>ROUND(SUMIF(DATA!$A:$A,"20-"&amp;LEFT($B125,3)&amp;"*-"&amp;MID(I$1,2,1)&amp;"*",DATA!$F:$F),0)</f>
        <v>0</v>
      </c>
      <c r="J125" s="1954">
        <f>ROUND(SUMIF(DATA!$A:$A,"20-"&amp;LEFT($B125,3)&amp;"*-"&amp;MID(J$1,2,1)&amp;"*",DATA!$F:$F),0)</f>
        <v>0</v>
      </c>
      <c r="K125" s="1682">
        <f>SUM(C125:J125)</f>
        <v>0</v>
      </c>
      <c r="L125" s="466">
        <v>0</v>
      </c>
    </row>
    <row r="126" spans="1:14" ht="14.25" thickTop="1" thickBot="1" x14ac:dyDescent="0.25">
      <c r="A126" s="1516" t="s">
        <v>102</v>
      </c>
      <c r="B126" s="608">
        <v>2560</v>
      </c>
      <c r="C126" s="647"/>
      <c r="D126" s="647"/>
      <c r="E126" s="647"/>
      <c r="F126" s="647"/>
      <c r="G126" s="1954">
        <f>SUMIF(DATA!$A:$A,"20-"&amp;$B126&amp;"-5*",DATA!$F:$F)</f>
        <v>0</v>
      </c>
      <c r="H126" s="647"/>
      <c r="I126" s="1954">
        <f>SUMIF(DATA!$A:$A,"20-"&amp;$B126&amp;"-5*",DATA!$F:$F)</f>
        <v>0</v>
      </c>
      <c r="J126" s="610"/>
      <c r="K126" s="1682">
        <f>SUM(C126:J126)</f>
        <v>0</v>
      </c>
      <c r="L126" s="466">
        <v>0</v>
      </c>
    </row>
    <row r="127" spans="1:14" ht="12.75" customHeight="1" thickTop="1" thickBot="1" x14ac:dyDescent="0.25">
      <c r="A127" s="1680" t="s">
        <v>742</v>
      </c>
      <c r="B127" s="1681" t="s">
        <v>35</v>
      </c>
      <c r="C127" s="1682">
        <f>SUM(C122:C126)</f>
        <v>729166</v>
      </c>
      <c r="D127" s="1682">
        <f t="shared" ref="D127:L127" si="14">SUM(D122:D126)</f>
        <v>162392</v>
      </c>
      <c r="E127" s="1682">
        <f t="shared" si="14"/>
        <v>156245</v>
      </c>
      <c r="F127" s="1682">
        <f t="shared" si="14"/>
        <v>415927</v>
      </c>
      <c r="G127" s="1682">
        <f t="shared" si="14"/>
        <v>20049</v>
      </c>
      <c r="H127" s="1682">
        <f t="shared" si="14"/>
        <v>0</v>
      </c>
      <c r="I127" s="1682">
        <f t="shared" si="14"/>
        <v>0</v>
      </c>
      <c r="J127" s="1682">
        <f t="shared" si="14"/>
        <v>0</v>
      </c>
      <c r="K127" s="1682">
        <f t="shared" si="14"/>
        <v>1483779</v>
      </c>
      <c r="L127" s="1682">
        <f t="shared" si="14"/>
        <v>1587800</v>
      </c>
    </row>
    <row r="128" spans="1:14" ht="12.75" customHeight="1" thickTop="1" x14ac:dyDescent="0.2">
      <c r="A128" s="1523" t="s">
        <v>1036</v>
      </c>
      <c r="B128" s="648" t="s">
        <v>594</v>
      </c>
      <c r="C128" s="1954">
        <f>ROUND(SUMIF(DATA!$A:$A,"20-"&amp;LEFT($B128,3)&amp;"*-"&amp;MID(C$1,2,1)&amp;"*",DATA!$F:$F),0)</f>
        <v>0</v>
      </c>
      <c r="D128" s="1954">
        <f>ROUND(SUMIF(DATA!$A:$A,"20-"&amp;LEFT($B128,3)&amp;"*-"&amp;MID(D$1,2,1)&amp;"*",DATA!$F:$F),0)</f>
        <v>0</v>
      </c>
      <c r="E128" s="1954">
        <f>ROUND(SUMIF(DATA!$A:$A,"20-"&amp;LEFT($B128,3)&amp;"*-"&amp;MID(E$1,2,1)&amp;"*",DATA!$F:$F),0)</f>
        <v>0</v>
      </c>
      <c r="F128" s="1954">
        <f>ROUND(SUMIF(DATA!$A:$A,"20-"&amp;LEFT($B128,3)&amp;"*-"&amp;MID(F$1,2,1)&amp;"*",DATA!$F:$F),0)</f>
        <v>0</v>
      </c>
      <c r="G128" s="1954">
        <f>ROUND(SUMIF(DATA!$A:$A,"20-"&amp;LEFT($B128,3)&amp;"*-"&amp;MID(G$1,2,1)&amp;"*",DATA!$F:$F),0)</f>
        <v>0</v>
      </c>
      <c r="H128" s="1954">
        <f>ROUND(SUMIF(DATA!$A:$A,"20-"&amp;LEFT($B128,3)&amp;"*-"&amp;MID(H$1,2,1)&amp;"*",DATA!$F:$F),0)</f>
        <v>0</v>
      </c>
      <c r="I128" s="1954">
        <f>ROUND(SUMIF(DATA!$A:$A,"20-"&amp;LEFT($B128,3)&amp;"*-"&amp;MID(I$1,2,1)&amp;"*",DATA!$F:$F),0)</f>
        <v>0</v>
      </c>
      <c r="J128" s="1954">
        <f>ROUND(SUMIF(DATA!$A:$A,"20-"&amp;LEFT($B128,3)&amp;"*-"&amp;MID(J$1,2,1)&amp;"*",DATA!$F:$F),0)</f>
        <v>0</v>
      </c>
      <c r="K128" s="1697">
        <f>SUM(C128:J128)</f>
        <v>0</v>
      </c>
      <c r="L128" s="649">
        <v>0</v>
      </c>
    </row>
    <row r="129" spans="1:14" ht="12.75" customHeight="1" thickBot="1" x14ac:dyDescent="0.25">
      <c r="A129" s="1698" t="s">
        <v>864</v>
      </c>
      <c r="B129" s="1699" t="s">
        <v>589</v>
      </c>
      <c r="C129" s="1689">
        <f>SUM(C120,C127,C128)</f>
        <v>729166</v>
      </c>
      <c r="D129" s="1689">
        <f t="shared" ref="D129:L129" si="15">SUM(D120,D127,D128)</f>
        <v>162392</v>
      </c>
      <c r="E129" s="1689">
        <f t="shared" si="15"/>
        <v>156245</v>
      </c>
      <c r="F129" s="1689">
        <f t="shared" si="15"/>
        <v>415927</v>
      </c>
      <c r="G129" s="1689">
        <f t="shared" si="15"/>
        <v>20049</v>
      </c>
      <c r="H129" s="1689">
        <f t="shared" si="15"/>
        <v>0</v>
      </c>
      <c r="I129" s="1689">
        <f t="shared" si="15"/>
        <v>0</v>
      </c>
      <c r="J129" s="1689">
        <f t="shared" si="15"/>
        <v>0</v>
      </c>
      <c r="K129" s="1689">
        <f t="shared" si="15"/>
        <v>1483779</v>
      </c>
      <c r="L129" s="1689">
        <f t="shared" si="15"/>
        <v>1587800</v>
      </c>
    </row>
    <row r="130" spans="1:14" ht="15.75" customHeight="1" thickTop="1" thickBot="1" x14ac:dyDescent="0.25">
      <c r="A130" s="1622" t="s">
        <v>1095</v>
      </c>
      <c r="B130" s="1623" t="s">
        <v>595</v>
      </c>
      <c r="C130" s="1954">
        <f>ROUND(SUMIF(DATA!$A:$A,"20-"&amp;LEFT($B130,3)&amp;"*-"&amp;MID(C$1,2,1)&amp;"*",DATA!$F:$F),0)</f>
        <v>0</v>
      </c>
      <c r="D130" s="1954">
        <f>ROUND(SUMIF(DATA!$A:$A,"20-"&amp;LEFT($B130,3)&amp;"*-"&amp;MID(D$1,2,1)&amp;"*",DATA!$F:$F),0)</f>
        <v>0</v>
      </c>
      <c r="E130" s="1954">
        <f>ROUND(SUMIF(DATA!$A:$A,"20-"&amp;LEFT($B130,3)&amp;"*-"&amp;MID(E$1,2,1)&amp;"*",DATA!$F:$F),0)</f>
        <v>0</v>
      </c>
      <c r="F130" s="1954">
        <f>ROUND(SUMIF(DATA!$A:$A,"20-"&amp;LEFT($B130,3)&amp;"*-"&amp;MID(F$1,2,1)&amp;"*",DATA!$F:$F),0)</f>
        <v>0</v>
      </c>
      <c r="G130" s="1954">
        <f>ROUND(SUMIF(DATA!$A:$A,"20-"&amp;LEFT($B130,3)&amp;"*-"&amp;MID(G$1,2,1)&amp;"*",DATA!$F:$F),0)</f>
        <v>0</v>
      </c>
      <c r="H130" s="1954">
        <f>ROUND(SUMIF(DATA!$A:$A,"20-"&amp;LEFT($B130,3)&amp;"*-"&amp;MID(H$1,2,1)&amp;"*",DATA!$F:$F),0)</f>
        <v>0</v>
      </c>
      <c r="I130" s="1954">
        <f>ROUND(SUMIF(DATA!$A:$A,"20-"&amp;LEFT($B130,3)&amp;"*-"&amp;MID(I$1,2,1)&amp;"*",DATA!$F:$F),0)</f>
        <v>0</v>
      </c>
      <c r="J130" s="1954">
        <f>ROUND(SUMIF(DATA!$A:$A,"20-"&amp;LEFT($B130,3)&amp;"*-"&amp;MID(J$1,2,1)&amp;"*",DATA!$F:$F),0)</f>
        <v>0</v>
      </c>
      <c r="K130" s="1682">
        <f>SUM(C130:J130)</f>
        <v>0</v>
      </c>
      <c r="L130" s="572">
        <v>0</v>
      </c>
    </row>
    <row r="131" spans="1:14" ht="15.75" customHeight="1" thickTop="1" x14ac:dyDescent="0.2">
      <c r="A131" s="1628" t="s">
        <v>636</v>
      </c>
      <c r="B131" s="1621" t="s">
        <v>914</v>
      </c>
      <c r="C131" s="468"/>
      <c r="D131" s="468"/>
      <c r="E131" s="563"/>
      <c r="F131" s="468"/>
      <c r="G131" s="468"/>
      <c r="H131" s="563"/>
      <c r="I131" s="468"/>
      <c r="J131" s="468"/>
      <c r="K131" s="563"/>
      <c r="L131" s="563"/>
    </row>
    <row r="132" spans="1:14" s="384" customFormat="1" ht="13.5" customHeight="1" x14ac:dyDescent="0.2">
      <c r="A132" s="650" t="s">
        <v>634</v>
      </c>
      <c r="B132" s="651"/>
      <c r="C132" s="468"/>
      <c r="D132" s="468"/>
      <c r="E132" s="520"/>
      <c r="F132" s="468"/>
      <c r="G132" s="468"/>
      <c r="H132" s="520"/>
      <c r="I132" s="468"/>
      <c r="J132" s="468"/>
      <c r="K132" s="520"/>
      <c r="L132" s="520"/>
      <c r="M132" s="206"/>
      <c r="N132" s="206"/>
    </row>
    <row r="133" spans="1:14" s="384" customFormat="1" ht="13.5" customHeight="1" x14ac:dyDescent="0.2">
      <c r="A133" s="1502" t="s">
        <v>516</v>
      </c>
      <c r="B133" s="1854" t="s">
        <v>1956</v>
      </c>
      <c r="C133" s="468"/>
      <c r="D133" s="468"/>
      <c r="E133" s="1954">
        <f>ROUND(SUMIF(DATA!$A:$A,"20-"&amp;LEFT($B133,3)&amp;"*-"&amp;MID(E$1,2,1)&amp;"*",DATA!$F:$F),0)</f>
        <v>0</v>
      </c>
      <c r="F133" s="468"/>
      <c r="G133" s="468"/>
      <c r="H133" s="1954">
        <f>ROUND(SUMIF(DATA!$A:$A,"20-"&amp;LEFT($B133,3)&amp;"*-"&amp;MID(H$1,2,1)&amp;"*",DATA!$F:$F),0)</f>
        <v>0</v>
      </c>
      <c r="I133" s="468"/>
      <c r="J133" s="468"/>
      <c r="K133" s="1834">
        <f>SUM(E133,H133)</f>
        <v>0</v>
      </c>
      <c r="L133" s="634">
        <v>0</v>
      </c>
      <c r="M133" s="206"/>
      <c r="N133" s="206"/>
    </row>
    <row r="134" spans="1:14" x14ac:dyDescent="0.2">
      <c r="A134" s="1516" t="s">
        <v>321</v>
      </c>
      <c r="B134" s="608">
        <v>4120</v>
      </c>
      <c r="C134" s="610"/>
      <c r="D134" s="610"/>
      <c r="E134" s="1954">
        <f>ROUND(SUMIF(DATA!$A:$A,"20-"&amp;LEFT($B134,3)&amp;"*-"&amp;MID(E$1,2,1)&amp;"*",DATA!$F:$F),0)</f>
        <v>0</v>
      </c>
      <c r="F134" s="610"/>
      <c r="G134" s="610"/>
      <c r="H134" s="1954">
        <f>ROUND(SUMIF(DATA!$A:$A,"20-"&amp;LEFT($B134,3)&amp;"*-"&amp;MID(H$1,2,1)&amp;"*",DATA!$F:$F),0)</f>
        <v>0</v>
      </c>
      <c r="I134" s="476"/>
      <c r="J134" s="610"/>
      <c r="K134" s="1684">
        <f>SUM(E134,H134)</f>
        <v>0</v>
      </c>
      <c r="L134" s="480">
        <v>0</v>
      </c>
    </row>
    <row r="135" spans="1:14" x14ac:dyDescent="0.2">
      <c r="A135" s="1516" t="s">
        <v>720</v>
      </c>
      <c r="B135" s="608">
        <v>4140</v>
      </c>
      <c r="C135" s="610"/>
      <c r="D135" s="610"/>
      <c r="E135" s="1954">
        <f>ROUND(SUMIF(DATA!$A:$A,"20-"&amp;LEFT($B135,3)&amp;"*-"&amp;MID(E$1,2,1)&amp;"*",DATA!$F:$F),0)</f>
        <v>0</v>
      </c>
      <c r="F135" s="610"/>
      <c r="G135" s="610"/>
      <c r="H135" s="1954">
        <f>ROUND(SUMIF(DATA!$A:$A,"20-"&amp;LEFT($B135,3)&amp;"*-"&amp;MID(H$1,2,1)&amp;"*",DATA!$F:$F),0)</f>
        <v>0</v>
      </c>
      <c r="I135" s="476"/>
      <c r="J135" s="610"/>
      <c r="K135" s="1684">
        <f>SUM(E135,H135)</f>
        <v>0</v>
      </c>
      <c r="L135" s="466">
        <v>0</v>
      </c>
    </row>
    <row r="136" spans="1:14" x14ac:dyDescent="0.2">
      <c r="A136" s="1520" t="s">
        <v>721</v>
      </c>
      <c r="B136" s="622">
        <v>4190</v>
      </c>
      <c r="C136" s="610"/>
      <c r="D136" s="610"/>
      <c r="E136" s="1954">
        <f>ROUND(SUMIF(DATA!$A:$A,"20-"&amp;LEFT($B136,3)&amp;"*-"&amp;MID(E$1,2,1)&amp;"*",DATA!$F:$F),0)</f>
        <v>0</v>
      </c>
      <c r="F136" s="610"/>
      <c r="G136" s="610"/>
      <c r="H136" s="1954">
        <f>ROUND(SUMIF(DATA!$A:$A,"20-"&amp;LEFT($B136,3)&amp;"*-"&amp;MID(H$1,2,1)&amp;"*",DATA!$F:$F),0)</f>
        <v>0</v>
      </c>
      <c r="I136" s="476"/>
      <c r="J136" s="610"/>
      <c r="K136" s="1684">
        <f>SUM(E136,H136)</f>
        <v>0</v>
      </c>
      <c r="L136" s="466">
        <v>0</v>
      </c>
    </row>
    <row r="137" spans="1:14" ht="12.75" customHeight="1" thickBot="1" x14ac:dyDescent="0.25">
      <c r="A137" s="1680" t="s">
        <v>500</v>
      </c>
      <c r="B137" s="1690">
        <v>4100</v>
      </c>
      <c r="C137" s="610"/>
      <c r="D137" s="610"/>
      <c r="E137" s="1682">
        <f>SUM(E133:E136)</f>
        <v>0</v>
      </c>
      <c r="F137" s="610"/>
      <c r="G137" s="610"/>
      <c r="H137" s="1682">
        <f>SUM(H133:H136)</f>
        <v>0</v>
      </c>
      <c r="I137" s="476"/>
      <c r="J137" s="610"/>
      <c r="K137" s="1682">
        <f>SUM(K133:K136)</f>
        <v>0</v>
      </c>
      <c r="L137" s="1682">
        <f>SUM(L133:L136)</f>
        <v>0</v>
      </c>
    </row>
    <row r="138" spans="1:14" ht="12.75" customHeight="1" thickTop="1" thickBot="1" x14ac:dyDescent="0.25">
      <c r="A138" s="1522" t="s">
        <v>98</v>
      </c>
      <c r="B138" s="636" t="s">
        <v>987</v>
      </c>
      <c r="C138" s="610"/>
      <c r="D138" s="610"/>
      <c r="E138" s="1954">
        <f>SUMIF(DATA!$A:$A,"20-"&amp;$B138&amp;"-3*",DATA!$F:$F)</f>
        <v>0</v>
      </c>
      <c r="F138" s="610"/>
      <c r="G138" s="610"/>
      <c r="H138" s="1954">
        <f>ROUND(SUMIF(DATA!$A:$A,"20-"&amp;LEFT($B138,3)&amp;"*-"&amp;MID(H$1,2,1)&amp;"*",DATA!$F:$F),0)</f>
        <v>0</v>
      </c>
      <c r="I138" s="476"/>
      <c r="J138" s="610"/>
      <c r="K138" s="1684">
        <f>SUM(E138,H138)</f>
        <v>0</v>
      </c>
      <c r="L138" s="572">
        <v>0</v>
      </c>
    </row>
    <row r="139" spans="1:14" ht="12.75" customHeight="1" thickTop="1" thickBot="1" x14ac:dyDescent="0.25">
      <c r="A139" s="1680" t="s">
        <v>1566</v>
      </c>
      <c r="B139" s="1690">
        <v>4000</v>
      </c>
      <c r="C139" s="610"/>
      <c r="D139" s="610"/>
      <c r="E139" s="1682">
        <f>SUM(E137,E138)</f>
        <v>0</v>
      </c>
      <c r="F139" s="610"/>
      <c r="G139" s="610"/>
      <c r="H139" s="1691">
        <f>SUM(H137:H138)</f>
        <v>0</v>
      </c>
      <c r="I139" s="476"/>
      <c r="J139" s="610"/>
      <c r="K139" s="1684">
        <f>SUM(K137,K138)</f>
        <v>0</v>
      </c>
      <c r="L139" s="1691">
        <f>SUM(L137,L138)</f>
        <v>0</v>
      </c>
    </row>
    <row r="140" spans="1:14" ht="15.75" customHeight="1" thickTop="1" x14ac:dyDescent="0.2">
      <c r="A140" s="1624" t="s">
        <v>1096</v>
      </c>
      <c r="B140" s="1625" t="s">
        <v>512</v>
      </c>
      <c r="C140" s="610"/>
      <c r="D140" s="610"/>
      <c r="E140" s="631"/>
      <c r="F140" s="631"/>
      <c r="G140" s="631"/>
      <c r="H140" s="629"/>
      <c r="I140" s="476"/>
      <c r="J140" s="631"/>
      <c r="K140" s="629"/>
      <c r="L140" s="629"/>
    </row>
    <row r="141" spans="1:14" ht="15.75" customHeight="1" x14ac:dyDescent="0.2">
      <c r="A141" s="646" t="s">
        <v>635</v>
      </c>
      <c r="B141" s="616"/>
      <c r="C141" s="610"/>
      <c r="D141" s="610"/>
      <c r="E141" s="610"/>
      <c r="F141" s="610"/>
      <c r="G141" s="610"/>
      <c r="H141" s="617"/>
      <c r="I141" s="468"/>
      <c r="J141" s="610"/>
      <c r="K141" s="617"/>
      <c r="L141" s="617"/>
    </row>
    <row r="142" spans="1:14" x14ac:dyDescent="0.2">
      <c r="A142" s="1516" t="s">
        <v>89</v>
      </c>
      <c r="B142" s="608">
        <v>5110</v>
      </c>
      <c r="C142" s="610"/>
      <c r="D142" s="610"/>
      <c r="E142" s="610"/>
      <c r="F142" s="610"/>
      <c r="G142" s="610"/>
      <c r="H142" s="1954">
        <f>SUMIF(DATA!$A:$A,"20-"&amp;$B142&amp;"-6*",DATA!$F:$F)</f>
        <v>0</v>
      </c>
      <c r="I142" s="468"/>
      <c r="J142" s="610"/>
      <c r="K142" s="1684">
        <f>SUM(H142)</f>
        <v>0</v>
      </c>
      <c r="L142" s="480">
        <v>0</v>
      </c>
    </row>
    <row r="143" spans="1:14" x14ac:dyDescent="0.2">
      <c r="A143" s="1516" t="s">
        <v>90</v>
      </c>
      <c r="B143" s="608">
        <v>5120</v>
      </c>
      <c r="C143" s="610"/>
      <c r="D143" s="610"/>
      <c r="E143" s="610"/>
      <c r="F143" s="610"/>
      <c r="G143" s="610"/>
      <c r="H143" s="1954">
        <f>SUMIF(DATA!$A:$A,"20-"&amp;$B143&amp;"-6*",DATA!$F:$F)</f>
        <v>0</v>
      </c>
      <c r="I143" s="468"/>
      <c r="J143" s="610"/>
      <c r="K143" s="1684">
        <f>SUM(H143)</f>
        <v>0</v>
      </c>
      <c r="L143" s="466">
        <v>0</v>
      </c>
    </row>
    <row r="144" spans="1:14" ht="12.75" customHeight="1" x14ac:dyDescent="0.2">
      <c r="A144" s="1516" t="s">
        <v>1231</v>
      </c>
      <c r="B144" s="622" t="s">
        <v>637</v>
      </c>
      <c r="C144" s="610"/>
      <c r="D144" s="610"/>
      <c r="E144" s="610"/>
      <c r="F144" s="610"/>
      <c r="G144" s="610"/>
      <c r="H144" s="1954">
        <f>SUMIF(DATA!$A:$A,"20-"&amp;$B144&amp;"-6*",DATA!$F:$F)</f>
        <v>0</v>
      </c>
      <c r="I144" s="468"/>
      <c r="J144" s="610"/>
      <c r="K144" s="1684">
        <f>SUM(H144)</f>
        <v>0</v>
      </c>
      <c r="L144" s="466">
        <v>0</v>
      </c>
    </row>
    <row r="145" spans="1:14" x14ac:dyDescent="0.2">
      <c r="A145" s="1516" t="s">
        <v>91</v>
      </c>
      <c r="B145" s="608" t="s">
        <v>609</v>
      </c>
      <c r="C145" s="610"/>
      <c r="D145" s="610"/>
      <c r="E145" s="610"/>
      <c r="F145" s="610"/>
      <c r="G145" s="610"/>
      <c r="H145" s="1954">
        <f>SUMIF(DATA!$A:$A,"20-"&amp;$B145&amp;"-6*",DATA!$F:$F)</f>
        <v>0</v>
      </c>
      <c r="I145" s="468"/>
      <c r="J145" s="610"/>
      <c r="K145" s="1684">
        <f>SUM(H145)</f>
        <v>0</v>
      </c>
      <c r="L145" s="466">
        <v>0</v>
      </c>
    </row>
    <row r="146" spans="1:14" ht="12.75" customHeight="1" x14ac:dyDescent="0.2">
      <c r="A146" s="1516" t="s">
        <v>639</v>
      </c>
      <c r="B146" s="608" t="s">
        <v>638</v>
      </c>
      <c r="C146" s="610"/>
      <c r="D146" s="610"/>
      <c r="E146" s="610"/>
      <c r="F146" s="610"/>
      <c r="G146" s="610"/>
      <c r="H146" s="1954">
        <f>SUMIF(DATA!$A:$A,"20-"&amp;$B146&amp;"-6*",DATA!$F:$F)</f>
        <v>0</v>
      </c>
      <c r="I146" s="468"/>
      <c r="J146" s="610"/>
      <c r="K146" s="1684">
        <f>SUM(H146)</f>
        <v>0</v>
      </c>
      <c r="L146" s="466">
        <v>0</v>
      </c>
    </row>
    <row r="147" spans="1:14" ht="12.75" customHeight="1" thickBot="1" x14ac:dyDescent="0.25">
      <c r="A147" s="1527" t="s">
        <v>646</v>
      </c>
      <c r="B147" s="652" t="s">
        <v>741</v>
      </c>
      <c r="C147" s="610"/>
      <c r="D147" s="610"/>
      <c r="E147" s="610"/>
      <c r="F147" s="610"/>
      <c r="G147" s="610"/>
      <c r="H147" s="1700">
        <f>SUM(H142:H146)</f>
        <v>0</v>
      </c>
      <c r="I147" s="468"/>
      <c r="J147" s="610"/>
      <c r="K147" s="1682">
        <f>SUM(K142:K146)</f>
        <v>0</v>
      </c>
      <c r="L147" s="1700">
        <f>SUM(L142:L146)</f>
        <v>0</v>
      </c>
    </row>
    <row r="148" spans="1:14" ht="15.75" customHeight="1" thickTop="1" x14ac:dyDescent="0.2">
      <c r="A148" s="653" t="s">
        <v>1164</v>
      </c>
      <c r="B148" s="654" t="s">
        <v>38</v>
      </c>
      <c r="C148" s="610"/>
      <c r="D148" s="610"/>
      <c r="E148" s="610"/>
      <c r="F148" s="610"/>
      <c r="G148" s="610"/>
      <c r="H148" s="1954">
        <f>SUMIF(DATA!$A:$A,"20-"&amp;$B148&amp;"-6*",DATA!$F:$F)</f>
        <v>0</v>
      </c>
      <c r="I148" s="468"/>
      <c r="J148" s="610"/>
      <c r="K148" s="1684">
        <f>SUM(H148)</f>
        <v>0</v>
      </c>
      <c r="L148" s="491">
        <v>0</v>
      </c>
    </row>
    <row r="149" spans="1:14" ht="12.75" customHeight="1" thickBot="1" x14ac:dyDescent="0.25">
      <c r="A149" s="1519" t="s">
        <v>658</v>
      </c>
      <c r="B149" s="611" t="s">
        <v>512</v>
      </c>
      <c r="C149" s="610"/>
      <c r="D149" s="610"/>
      <c r="E149" s="610"/>
      <c r="F149" s="610"/>
      <c r="G149" s="610"/>
      <c r="H149" s="1682">
        <f>SUM(H147,H148)</f>
        <v>0</v>
      </c>
      <c r="I149" s="468"/>
      <c r="J149" s="610"/>
      <c r="K149" s="1682">
        <f>SUM(K147:K148)</f>
        <v>0</v>
      </c>
      <c r="L149" s="1682">
        <f>SUM(L142:L146,L148)</f>
        <v>0</v>
      </c>
    </row>
    <row r="150" spans="1:14" ht="15.75" customHeight="1" thickTop="1" thickBot="1" x14ac:dyDescent="0.25">
      <c r="A150" s="1618" t="s">
        <v>1097</v>
      </c>
      <c r="B150" s="1625" t="s">
        <v>915</v>
      </c>
      <c r="C150" s="610"/>
      <c r="D150" s="610"/>
      <c r="E150" s="610"/>
      <c r="F150" s="610"/>
      <c r="G150" s="610"/>
      <c r="H150" s="655"/>
      <c r="I150" s="520"/>
      <c r="J150" s="610"/>
      <c r="K150" s="617"/>
      <c r="L150" s="570">
        <v>0</v>
      </c>
    </row>
    <row r="151" spans="1:14" ht="12.75" customHeight="1" thickTop="1" thickBot="1" x14ac:dyDescent="0.25">
      <c r="A151" s="2202" t="s">
        <v>640</v>
      </c>
      <c r="B151" s="2184"/>
      <c r="C151" s="1682">
        <f>SUM(C129,C130,C139,C149,C150)</f>
        <v>729166</v>
      </c>
      <c r="D151" s="1682">
        <f t="shared" ref="D151:K151" si="16">SUM(D129,D130,D139,D149,D150)</f>
        <v>162392</v>
      </c>
      <c r="E151" s="1682">
        <f t="shared" si="16"/>
        <v>156245</v>
      </c>
      <c r="F151" s="1682">
        <f t="shared" si="16"/>
        <v>415927</v>
      </c>
      <c r="G151" s="1682">
        <f t="shared" si="16"/>
        <v>20049</v>
      </c>
      <c r="H151" s="1682">
        <f t="shared" si="16"/>
        <v>0</v>
      </c>
      <c r="I151" s="1682">
        <f t="shared" si="16"/>
        <v>0</v>
      </c>
      <c r="J151" s="1682">
        <f t="shared" si="16"/>
        <v>0</v>
      </c>
      <c r="K151" s="1682">
        <f t="shared" si="16"/>
        <v>1483779</v>
      </c>
      <c r="L151" s="1682">
        <f>SUM(L129,L130,L139,L149,L150)</f>
        <v>1587800</v>
      </c>
    </row>
    <row r="152" spans="1:14" ht="12.75" customHeight="1" thickTop="1" x14ac:dyDescent="0.2">
      <c r="A152" s="2205" t="s">
        <v>1239</v>
      </c>
      <c r="B152" s="2206"/>
      <c r="C152" s="612"/>
      <c r="D152" s="612"/>
      <c r="E152" s="612"/>
      <c r="F152" s="612"/>
      <c r="G152" s="612"/>
      <c r="H152" s="612"/>
      <c r="I152" s="612"/>
      <c r="J152" s="610"/>
      <c r="K152" s="1696">
        <f>'Revenues 9-14'!D275-'Expenditures 15-22'!K151</f>
        <v>268278</v>
      </c>
      <c r="L152" s="612"/>
    </row>
    <row r="153" spans="1:14" s="659" customFormat="1" ht="9" customHeight="1" x14ac:dyDescent="0.2">
      <c r="A153" s="656"/>
      <c r="B153" s="657"/>
      <c r="C153" s="643"/>
      <c r="D153" s="643"/>
      <c r="E153" s="643"/>
      <c r="F153" s="643"/>
      <c r="G153" s="643"/>
      <c r="H153" s="643"/>
      <c r="I153" s="643"/>
      <c r="J153" s="643"/>
      <c r="K153" s="643"/>
      <c r="L153" s="643"/>
      <c r="M153" s="658"/>
      <c r="N153" s="658"/>
    </row>
    <row r="154" spans="1:14" s="661" customFormat="1" ht="16.7" customHeight="1" x14ac:dyDescent="0.2">
      <c r="A154" s="2190" t="s">
        <v>641</v>
      </c>
      <c r="B154" s="2192"/>
      <c r="C154" s="1638"/>
      <c r="D154" s="1639"/>
      <c r="E154" s="1639"/>
      <c r="F154" s="1639"/>
      <c r="G154" s="1639"/>
      <c r="H154" s="1639"/>
      <c r="I154" s="1639"/>
      <c r="J154" s="1639"/>
      <c r="K154" s="1639"/>
      <c r="L154" s="1640"/>
      <c r="M154" s="660"/>
      <c r="N154" s="660"/>
    </row>
    <row r="155" spans="1:14" s="614" customFormat="1" ht="15.75" customHeight="1" thickBot="1" x14ac:dyDescent="0.25">
      <c r="A155" s="1629" t="s">
        <v>83</v>
      </c>
      <c r="B155" s="1630" t="s">
        <v>914</v>
      </c>
      <c r="C155" s="610"/>
      <c r="D155" s="610"/>
      <c r="E155" s="610"/>
      <c r="F155" s="610"/>
      <c r="G155" s="610"/>
      <c r="H155" s="1855"/>
      <c r="I155" s="610"/>
      <c r="J155" s="610"/>
      <c r="K155" s="1838"/>
      <c r="L155" s="1855"/>
      <c r="M155" s="613"/>
      <c r="N155" s="613"/>
    </row>
    <row r="156" spans="1:14" s="614" customFormat="1" ht="15.75" customHeight="1" thickTop="1" x14ac:dyDescent="0.2">
      <c r="A156" s="1835" t="s">
        <v>1957</v>
      </c>
      <c r="B156" s="1836"/>
      <c r="C156" s="610"/>
      <c r="D156" s="610"/>
      <c r="E156" s="610"/>
      <c r="F156" s="610"/>
      <c r="G156" s="610"/>
      <c r="H156" s="1856"/>
      <c r="I156" s="610"/>
      <c r="J156" s="610"/>
      <c r="K156" s="1837"/>
      <c r="L156" s="1856"/>
      <c r="M156" s="613"/>
      <c r="N156" s="613"/>
    </row>
    <row r="157" spans="1:14" s="614" customFormat="1" ht="12" x14ac:dyDescent="0.2">
      <c r="A157" s="1839" t="s">
        <v>516</v>
      </c>
      <c r="B157" s="1840" t="s">
        <v>1956</v>
      </c>
      <c r="C157" s="610"/>
      <c r="D157" s="610"/>
      <c r="E157" s="610"/>
      <c r="F157" s="610"/>
      <c r="G157" s="610"/>
      <c r="H157" s="1954">
        <f>ROUND(SUMIF(DATA!$A:$A,"30-"&amp;LEFT($B157,3)&amp;"*-"&amp;MID(H$1,2,1)&amp;"*",DATA!$F:$F),0)</f>
        <v>0</v>
      </c>
      <c r="I157" s="610"/>
      <c r="J157" s="610"/>
      <c r="K157" s="1683">
        <f>H157</f>
        <v>0</v>
      </c>
      <c r="L157" s="467">
        <v>0</v>
      </c>
      <c r="M157" s="613"/>
      <c r="N157" s="613"/>
    </row>
    <row r="158" spans="1:14" s="614" customFormat="1" ht="12" x14ac:dyDescent="0.2">
      <c r="A158" s="1839" t="s">
        <v>321</v>
      </c>
      <c r="B158" s="1840" t="s">
        <v>1958</v>
      </c>
      <c r="C158" s="610"/>
      <c r="D158" s="610"/>
      <c r="E158" s="610"/>
      <c r="F158" s="610"/>
      <c r="G158" s="610"/>
      <c r="H158" s="1954">
        <f>ROUND(SUMIF(DATA!$A:$A,"30-"&amp;LEFT($B158,3)&amp;"*-"&amp;MID(H$1,2,1)&amp;"*",DATA!$F:$F),0)</f>
        <v>0</v>
      </c>
      <c r="I158" s="610"/>
      <c r="J158" s="610"/>
      <c r="K158" s="1683">
        <f>H158</f>
        <v>0</v>
      </c>
      <c r="L158" s="467">
        <v>0</v>
      </c>
      <c r="M158" s="613"/>
      <c r="N158" s="613"/>
    </row>
    <row r="159" spans="1:14" s="614" customFormat="1" ht="12" x14ac:dyDescent="0.2">
      <c r="A159" s="1839" t="s">
        <v>1959</v>
      </c>
      <c r="B159" s="1840" t="s">
        <v>578</v>
      </c>
      <c r="C159" s="610"/>
      <c r="D159" s="610"/>
      <c r="E159" s="610"/>
      <c r="F159" s="610"/>
      <c r="G159" s="610"/>
      <c r="H159" s="1954">
        <f>ROUND(SUMIF(DATA!$A:$A,"30-"&amp;LEFT($B159,3)&amp;"*-"&amp;MID(H$1,2,1)&amp;"*",DATA!$F:$F),0)</f>
        <v>0</v>
      </c>
      <c r="I159" s="610"/>
      <c r="J159" s="610"/>
      <c r="K159" s="1683">
        <f>H159</f>
        <v>0</v>
      </c>
      <c r="L159" s="467">
        <v>0</v>
      </c>
      <c r="M159" s="613"/>
      <c r="N159" s="613"/>
    </row>
    <row r="160" spans="1:14" s="614" customFormat="1" ht="15.75" customHeight="1" thickBot="1" x14ac:dyDescent="0.25">
      <c r="A160" s="1841" t="s">
        <v>1960</v>
      </c>
      <c r="B160" s="1842" t="s">
        <v>914</v>
      </c>
      <c r="C160" s="610"/>
      <c r="D160" s="610"/>
      <c r="E160" s="610"/>
      <c r="F160" s="610"/>
      <c r="G160" s="610"/>
      <c r="H160" s="1700">
        <f>SUM(H157:H159)</f>
        <v>0</v>
      </c>
      <c r="I160" s="610"/>
      <c r="J160" s="610"/>
      <c r="K160" s="1682">
        <f>SUM(K157:K159)</f>
        <v>0</v>
      </c>
      <c r="L160" s="1700">
        <f>SUM(L157:L159)</f>
        <v>0</v>
      </c>
      <c r="M160" s="613"/>
      <c r="N160" s="613"/>
    </row>
    <row r="161" spans="1:14" s="259" customFormat="1" ht="15.75" customHeight="1" thickTop="1" x14ac:dyDescent="0.2">
      <c r="A161" s="1624" t="s">
        <v>84</v>
      </c>
      <c r="B161" s="1625" t="s">
        <v>512</v>
      </c>
      <c r="C161" s="610"/>
      <c r="D161" s="610"/>
      <c r="E161" s="610"/>
      <c r="F161" s="610"/>
      <c r="G161" s="610"/>
      <c r="H161" s="610"/>
      <c r="I161" s="610"/>
      <c r="J161" s="610"/>
      <c r="K161" s="610"/>
      <c r="L161" s="610"/>
      <c r="M161" s="607"/>
      <c r="N161" s="607"/>
    </row>
    <row r="162" spans="1:14" s="259" customFormat="1" ht="15.75" customHeight="1" x14ac:dyDescent="0.2">
      <c r="A162" s="646" t="s">
        <v>635</v>
      </c>
      <c r="B162" s="616"/>
      <c r="C162" s="610"/>
      <c r="D162" s="610"/>
      <c r="E162" s="610"/>
      <c r="F162" s="610"/>
      <c r="G162" s="610"/>
      <c r="H162" s="610"/>
      <c r="I162" s="610"/>
      <c r="J162" s="610"/>
      <c r="K162" s="617"/>
      <c r="L162" s="617"/>
      <c r="M162" s="607"/>
      <c r="N162" s="607"/>
    </row>
    <row r="163" spans="1:14" x14ac:dyDescent="0.2">
      <c r="A163" s="1516" t="s">
        <v>89</v>
      </c>
      <c r="B163" s="608">
        <v>5110</v>
      </c>
      <c r="C163" s="610"/>
      <c r="D163" s="610"/>
      <c r="E163" s="610"/>
      <c r="F163" s="610"/>
      <c r="G163" s="610"/>
      <c r="H163" s="1954">
        <f>ROUND(SUMIF(DATA!$A:$A,"30-"&amp;LEFT($B163,3)&amp;"*-"&amp;MID(H$1,2,1)&amp;"*",DATA!$F:$F),0)</f>
        <v>0</v>
      </c>
      <c r="I163" s="610"/>
      <c r="J163" s="610"/>
      <c r="K163" s="1683">
        <f>SUM(C163:J163)</f>
        <v>0</v>
      </c>
      <c r="L163" s="466">
        <v>0</v>
      </c>
    </row>
    <row r="164" spans="1:14" x14ac:dyDescent="0.2">
      <c r="A164" s="1516" t="s">
        <v>90</v>
      </c>
      <c r="B164" s="608">
        <v>5120</v>
      </c>
      <c r="C164" s="610"/>
      <c r="D164" s="610"/>
      <c r="E164" s="610"/>
      <c r="F164" s="610"/>
      <c r="G164" s="610"/>
      <c r="H164" s="1954">
        <f>ROUND(SUMIF(DATA!$A:$A,"30-"&amp;LEFT($B164,3)&amp;"*-"&amp;MID(H$1,2,1)&amp;"*",DATA!$F:$F),0)</f>
        <v>0</v>
      </c>
      <c r="I164" s="610"/>
      <c r="J164" s="610"/>
      <c r="K164" s="1683">
        <f>SUM(C164:J164)</f>
        <v>0</v>
      </c>
      <c r="L164" s="466">
        <v>0</v>
      </c>
    </row>
    <row r="165" spans="1:14" ht="12.75" customHeight="1" x14ac:dyDescent="0.2">
      <c r="A165" s="1516" t="s">
        <v>1231</v>
      </c>
      <c r="B165" s="608" t="s">
        <v>637</v>
      </c>
      <c r="C165" s="610"/>
      <c r="D165" s="610"/>
      <c r="E165" s="610"/>
      <c r="F165" s="610"/>
      <c r="G165" s="610"/>
      <c r="H165" s="1954">
        <f>ROUND(SUMIF(DATA!$A:$A,"30-"&amp;LEFT($B165,3)&amp;"*-"&amp;MID(H$1,2,1)&amp;"*",DATA!$F:$F),0)</f>
        <v>0</v>
      </c>
      <c r="I165" s="610"/>
      <c r="J165" s="610"/>
      <c r="K165" s="1683">
        <f>SUM(C165:J165)</f>
        <v>0</v>
      </c>
      <c r="L165" s="466">
        <v>0</v>
      </c>
    </row>
    <row r="166" spans="1:14" x14ac:dyDescent="0.2">
      <c r="A166" s="1516" t="s">
        <v>91</v>
      </c>
      <c r="B166" s="622" t="s">
        <v>609</v>
      </c>
      <c r="C166" s="610"/>
      <c r="D166" s="610"/>
      <c r="E166" s="610"/>
      <c r="F166" s="610"/>
      <c r="G166" s="610"/>
      <c r="H166" s="1954">
        <f>ROUND(SUMIF(DATA!$A:$A,"30-"&amp;LEFT($B166,3)&amp;"*-"&amp;MID(H$1,2,1)&amp;"*",DATA!$F:$F),0)</f>
        <v>0</v>
      </c>
      <c r="I166" s="610"/>
      <c r="J166" s="610"/>
      <c r="K166" s="1683">
        <f>SUM(C166:J166)</f>
        <v>0</v>
      </c>
      <c r="L166" s="466">
        <v>0</v>
      </c>
    </row>
    <row r="167" spans="1:14" ht="12.75" customHeight="1" x14ac:dyDescent="0.2">
      <c r="A167" s="1516" t="s">
        <v>639</v>
      </c>
      <c r="B167" s="608" t="s">
        <v>638</v>
      </c>
      <c r="C167" s="610"/>
      <c r="D167" s="610"/>
      <c r="E167" s="610"/>
      <c r="F167" s="610"/>
      <c r="G167" s="610"/>
      <c r="H167" s="1954">
        <f>ROUND(SUMIF(DATA!$A:$A,"30-"&amp;LEFT($B167,3)&amp;"*-"&amp;MID(H$1,2,1)&amp;"*",DATA!$F:$F),0)</f>
        <v>0</v>
      </c>
      <c r="I167" s="610"/>
      <c r="J167" s="610"/>
      <c r="K167" s="1683">
        <f>SUM(C167:J167)</f>
        <v>0</v>
      </c>
      <c r="L167" s="466">
        <v>0</v>
      </c>
    </row>
    <row r="168" spans="1:14" ht="13.5" thickBot="1" x14ac:dyDescent="0.25">
      <c r="A168" s="1680" t="s">
        <v>293</v>
      </c>
      <c r="B168" s="1687" t="s">
        <v>741</v>
      </c>
      <c r="C168" s="610"/>
      <c r="D168" s="610"/>
      <c r="E168" s="610"/>
      <c r="F168" s="610"/>
      <c r="G168" s="610"/>
      <c r="H168" s="1682">
        <f>SUM(H163:H167)</f>
        <v>0</v>
      </c>
      <c r="I168" s="610"/>
      <c r="J168" s="610"/>
      <c r="K168" s="1682">
        <f>SUM(K163:K167)</f>
        <v>0</v>
      </c>
      <c r="L168" s="1682">
        <f>SUM(L163:L167)</f>
        <v>0</v>
      </c>
    </row>
    <row r="169" spans="1:14" ht="15.75" customHeight="1" thickTop="1" x14ac:dyDescent="0.2">
      <c r="A169" s="662" t="s">
        <v>85</v>
      </c>
      <c r="B169" s="663" t="s">
        <v>38</v>
      </c>
      <c r="C169" s="610"/>
      <c r="D169" s="610"/>
      <c r="E169" s="610"/>
      <c r="F169" s="610"/>
      <c r="G169" s="610"/>
      <c r="H169" s="1954">
        <f>ROUND(SUMIF(DATA!$A:$A,"30-"&amp;LEFT($B169,3)&amp;"*-"&amp;MID(H$1,2,1)&amp;"*",DATA!$F:$F),0)</f>
        <v>225743</v>
      </c>
      <c r="I169" s="610"/>
      <c r="J169" s="610"/>
      <c r="K169" s="1683">
        <f>SUM(C169:H169)</f>
        <v>225743</v>
      </c>
      <c r="L169" s="649">
        <v>284766</v>
      </c>
    </row>
    <row r="170" spans="1:14" ht="33.75" customHeight="1" x14ac:dyDescent="0.2">
      <c r="A170" s="662" t="s">
        <v>1768</v>
      </c>
      <c r="B170" s="664" t="s">
        <v>31</v>
      </c>
      <c r="C170" s="610"/>
      <c r="D170" s="610"/>
      <c r="E170" s="610"/>
      <c r="F170" s="610"/>
      <c r="G170" s="610"/>
      <c r="H170" s="1954">
        <f>ROUND(SUMIF(DATA!$A:$A,"30-"&amp;LEFT($B170,3)&amp;"*-"&amp;MID(H$1,2,1)&amp;"*",DATA!$F:$F),0)</f>
        <v>2571912</v>
      </c>
      <c r="I170" s="610"/>
      <c r="J170" s="610"/>
      <c r="K170" s="1683">
        <f>SUM(C170:J170)</f>
        <v>2571912</v>
      </c>
      <c r="L170" s="566">
        <v>2570932</v>
      </c>
    </row>
    <row r="171" spans="1:14" ht="15.75" customHeight="1" x14ac:dyDescent="0.2">
      <c r="A171" s="615" t="s">
        <v>789</v>
      </c>
      <c r="B171" s="665" t="s">
        <v>86</v>
      </c>
      <c r="C171" s="610"/>
      <c r="D171" s="610"/>
      <c r="E171" s="466"/>
      <c r="F171" s="610"/>
      <c r="G171" s="610"/>
      <c r="H171" s="1954">
        <f>ROUND(SUMIF(DATA!$A:$A,"30-"&amp;LEFT($B171,3)&amp;"*-"&amp;MID(H$1,2,1)&amp;"*",DATA!$F:$F),0)</f>
        <v>1475</v>
      </c>
      <c r="I171" s="476"/>
      <c r="J171" s="610"/>
      <c r="K171" s="1683">
        <f>SUM(C171:J171)</f>
        <v>1475</v>
      </c>
      <c r="L171" s="566">
        <v>2000</v>
      </c>
    </row>
    <row r="172" spans="1:14" ht="12.75" customHeight="1" thickBot="1" x14ac:dyDescent="0.25">
      <c r="A172" s="1680" t="s">
        <v>658</v>
      </c>
      <c r="B172" s="1681" t="s">
        <v>512</v>
      </c>
      <c r="C172" s="610"/>
      <c r="D172" s="610"/>
      <c r="E172" s="1689">
        <f>SUM(E168,E169,E170,E171)</f>
        <v>0</v>
      </c>
      <c r="F172" s="610"/>
      <c r="G172" s="610"/>
      <c r="H172" s="1689">
        <f>SUM(H168,H169,H170,H171)</f>
        <v>2799130</v>
      </c>
      <c r="I172" s="631"/>
      <c r="J172" s="610"/>
      <c r="K172" s="1689">
        <f>SUM(K168,K169,K170,K171)</f>
        <v>2799130</v>
      </c>
      <c r="L172" s="1689">
        <f>SUM(L168,L169,L170,L171)</f>
        <v>2857698</v>
      </c>
    </row>
    <row r="173" spans="1:14" ht="15.75" customHeight="1" thickTop="1" thickBot="1" x14ac:dyDescent="0.25">
      <c r="A173" s="1631" t="s">
        <v>87</v>
      </c>
      <c r="B173" s="1623" t="s">
        <v>915</v>
      </c>
      <c r="C173" s="610"/>
      <c r="D173" s="610"/>
      <c r="E173" s="617"/>
      <c r="F173" s="610"/>
      <c r="G173" s="610"/>
      <c r="H173" s="620"/>
      <c r="I173" s="631"/>
      <c r="J173" s="610"/>
      <c r="K173" s="617"/>
      <c r="L173" s="572">
        <v>0</v>
      </c>
    </row>
    <row r="174" spans="1:14" ht="12.75" customHeight="1" thickTop="1" thickBot="1" x14ac:dyDescent="0.25">
      <c r="A174" s="1701" t="s">
        <v>92</v>
      </c>
      <c r="B174" s="1702"/>
      <c r="C174" s="610"/>
      <c r="D174" s="610"/>
      <c r="E174" s="1689">
        <f>SUM(E155,E172,E173)</f>
        <v>0</v>
      </c>
      <c r="F174" s="610"/>
      <c r="G174" s="610"/>
      <c r="H174" s="1689">
        <f>SUM(H160,H172,H173)</f>
        <v>2799130</v>
      </c>
      <c r="I174" s="631"/>
      <c r="J174" s="610"/>
      <c r="K174" s="1689">
        <f>SUM(K160,K172,K173)</f>
        <v>2799130</v>
      </c>
      <c r="L174" s="1689">
        <f>SUM(L160,L172,L173)</f>
        <v>2857698</v>
      </c>
    </row>
    <row r="175" spans="1:14" ht="13.5" thickTop="1" x14ac:dyDescent="0.2">
      <c r="A175" s="2212" t="s">
        <v>1052</v>
      </c>
      <c r="B175" s="2213"/>
      <c r="C175" s="610"/>
      <c r="D175" s="610"/>
      <c r="E175" s="610"/>
      <c r="F175" s="610"/>
      <c r="G175" s="610"/>
      <c r="H175" s="612"/>
      <c r="I175" s="610"/>
      <c r="J175" s="610"/>
      <c r="K175" s="1696">
        <f>'Revenues 9-14'!E275-'Expenditures 15-22'!K174</f>
        <v>-70472</v>
      </c>
      <c r="L175" s="612"/>
    </row>
    <row r="176" spans="1:14" s="659" customFormat="1" ht="9" customHeight="1" x14ac:dyDescent="0.2">
      <c r="A176" s="656"/>
      <c r="B176" s="666"/>
      <c r="C176" s="643"/>
      <c r="D176" s="643"/>
      <c r="E176" s="643"/>
      <c r="F176" s="643"/>
      <c r="G176" s="643"/>
      <c r="H176" s="643"/>
      <c r="I176" s="643"/>
      <c r="J176" s="643"/>
      <c r="K176" s="643"/>
      <c r="L176" s="643"/>
      <c r="M176" s="658"/>
      <c r="N176" s="658"/>
    </row>
    <row r="177" spans="1:14" s="343" customFormat="1" ht="16.7" customHeight="1" x14ac:dyDescent="0.2">
      <c r="A177" s="1566" t="s">
        <v>993</v>
      </c>
      <c r="B177" s="1567"/>
      <c r="C177" s="1563"/>
      <c r="D177" s="1564"/>
      <c r="E177" s="1564"/>
      <c r="F177" s="1564"/>
      <c r="G177" s="1564"/>
      <c r="H177" s="1564"/>
      <c r="I177" s="1564"/>
      <c r="J177" s="1564"/>
      <c r="K177" s="1564"/>
      <c r="L177" s="1565"/>
      <c r="M177" s="603"/>
      <c r="N177" s="603"/>
    </row>
    <row r="178" spans="1:14" s="667" customFormat="1" ht="15.75" customHeight="1" x14ac:dyDescent="0.2">
      <c r="A178" s="1632" t="s">
        <v>994</v>
      </c>
      <c r="B178" s="1633"/>
      <c r="C178" s="610"/>
      <c r="D178" s="610"/>
      <c r="E178" s="610"/>
      <c r="F178" s="610"/>
      <c r="G178" s="610"/>
      <c r="H178" s="610"/>
      <c r="I178" s="610"/>
      <c r="J178" s="610"/>
      <c r="K178" s="610"/>
      <c r="L178" s="610"/>
      <c r="M178" s="658"/>
      <c r="N178" s="658"/>
    </row>
    <row r="179" spans="1:14" s="667" customFormat="1" ht="15.75" customHeight="1" x14ac:dyDescent="0.2">
      <c r="A179" s="668" t="s">
        <v>611</v>
      </c>
      <c r="B179" s="616"/>
      <c r="C179" s="617"/>
      <c r="D179" s="617"/>
      <c r="E179" s="617"/>
      <c r="F179" s="610"/>
      <c r="G179" s="610"/>
      <c r="H179" s="617"/>
      <c r="I179" s="610"/>
      <c r="J179" s="610"/>
      <c r="K179" s="617"/>
      <c r="L179" s="617"/>
      <c r="M179" s="658"/>
      <c r="N179" s="658"/>
    </row>
    <row r="180" spans="1:14" ht="12.75" customHeight="1" x14ac:dyDescent="0.2">
      <c r="A180" s="1516" t="s">
        <v>167</v>
      </c>
      <c r="B180" s="608">
        <v>2190</v>
      </c>
      <c r="C180" s="1954">
        <f>ROUND(SUMIF(DATA!$A:$A,"40-"&amp;LEFT($B180,3)&amp;"*-"&amp;MID(C$1,2,1)&amp;"*",DATA!$F:$F),0)</f>
        <v>0</v>
      </c>
      <c r="D180" s="1954">
        <f>ROUND(SUMIF(DATA!$A:$A,"40-"&amp;LEFT($B180,3)&amp;"*-"&amp;MID(D$1,2,1)&amp;"*",DATA!$F:$F),0)</f>
        <v>0</v>
      </c>
      <c r="E180" s="1954">
        <f>ROUND(SUMIF(DATA!$A:$A,"40-"&amp;LEFT($B180,3)&amp;"*-"&amp;MID(E$1,2,1)&amp;"*",DATA!$F:$F),0)</f>
        <v>0</v>
      </c>
      <c r="F180" s="1954">
        <f>ROUND(SUMIF(DATA!$A:$A,"40-"&amp;LEFT($B180,3)&amp;"*-"&amp;MID(F$1,2,1)&amp;"*",DATA!$F:$F),0)</f>
        <v>0</v>
      </c>
      <c r="G180" s="1954">
        <f>ROUND(SUMIF(DATA!$A:$A,"40-"&amp;LEFT($B180,3)&amp;"*-"&amp;MID(G$1,2,1)&amp;"*",DATA!$F:$F),0)</f>
        <v>0</v>
      </c>
      <c r="H180" s="1954">
        <f>ROUND(SUMIF(DATA!$A:$A,"40-"&amp;LEFT($B180,3)&amp;"*-"&amp;MID(H$1,2,1)&amp;"*",DATA!$F:$F),0)</f>
        <v>0</v>
      </c>
      <c r="I180" s="1954">
        <f>ROUND(SUMIF(DATA!$A:$A,"40-"&amp;LEFT($B180,3)&amp;"*-"&amp;MID(I$1,2,1)&amp;"*",DATA!$F:$F),0)</f>
        <v>0</v>
      </c>
      <c r="J180" s="1954">
        <f>ROUND(SUMIF(DATA!$A:$A,"40-"&amp;LEFT($B180,3)&amp;"*-"&amp;MID(J$1,2,1)&amp;"*",DATA!$F:$F),0)</f>
        <v>0</v>
      </c>
      <c r="K180" s="1683">
        <f>SUM(C180:J180)</f>
        <v>0</v>
      </c>
      <c r="L180" s="466">
        <v>0</v>
      </c>
    </row>
    <row r="181" spans="1:14" ht="15.75" customHeight="1" x14ac:dyDescent="0.2">
      <c r="A181" s="618" t="s">
        <v>632</v>
      </c>
      <c r="B181" s="669"/>
      <c r="C181" s="567"/>
      <c r="D181" s="567"/>
      <c r="E181" s="567"/>
      <c r="F181" s="567"/>
      <c r="G181" s="567"/>
      <c r="H181" s="567"/>
      <c r="I181" s="468"/>
      <c r="J181" s="468"/>
      <c r="K181" s="567"/>
      <c r="L181" s="567"/>
    </row>
    <row r="182" spans="1:14" ht="12.75" customHeight="1" x14ac:dyDescent="0.2">
      <c r="A182" s="1516" t="s">
        <v>1009</v>
      </c>
      <c r="B182" s="608">
        <v>2550</v>
      </c>
      <c r="C182" s="1954">
        <f>ROUND(SUMIF(DATA!$A:$A,"40-"&amp;LEFT($B182,3)&amp;"*-"&amp;MID(C$1,2,1)&amp;"*",DATA!$F:$F),0)</f>
        <v>6102</v>
      </c>
      <c r="D182" s="1954">
        <f>ROUND(SUMIF(DATA!$A:$A,"40-"&amp;LEFT($B182,3)&amp;"*-"&amp;MID(D$1,2,1)&amp;"*",DATA!$F:$F),0)</f>
        <v>757</v>
      </c>
      <c r="E182" s="1954">
        <f>ROUND(SUMIF(DATA!$A:$A,"40-"&amp;LEFT($B182,3)&amp;"*-"&amp;MID(E$1,2,1)&amp;"*",DATA!$F:$F),0)</f>
        <v>211520</v>
      </c>
      <c r="F182" s="1954">
        <f>ROUND(SUMIF(DATA!$A:$A,"40-"&amp;LEFT($B182,3)&amp;"*-"&amp;MID(F$1,2,1)&amp;"*",DATA!$F:$F),0)</f>
        <v>8523</v>
      </c>
      <c r="G182" s="1954">
        <f>ROUND(SUMIF(DATA!$A:$A,"40-"&amp;LEFT($B182,3)&amp;"*-"&amp;MID(G$1,2,1)&amp;"*",DATA!$F:$F),0)</f>
        <v>0</v>
      </c>
      <c r="H182" s="1954">
        <f>ROUND(SUMIF(DATA!$A:$A,"40-"&amp;LEFT($B182,3)&amp;"*-"&amp;MID(H$1,2,1)&amp;"*",DATA!$F:$F),0)</f>
        <v>0</v>
      </c>
      <c r="I182" s="1954">
        <f>ROUND(SUMIF(DATA!$A:$A,"40-"&amp;LEFT($B182,3)&amp;"*-"&amp;MID(I$1,2,1)&amp;"*",DATA!$F:$F),0)</f>
        <v>0</v>
      </c>
      <c r="J182" s="1954">
        <f>ROUND(SUMIF(DATA!$A:$A,"40-"&amp;LEFT($B182,3)&amp;"*-"&amp;MID(J$1,2,1)&amp;"*",DATA!$F:$F),0)</f>
        <v>0</v>
      </c>
      <c r="K182" s="1683">
        <f>SUM(C182:J182)</f>
        <v>226902</v>
      </c>
      <c r="L182" s="466">
        <v>271915</v>
      </c>
    </row>
    <row r="183" spans="1:14" ht="12.75" customHeight="1" thickBot="1" x14ac:dyDescent="0.25">
      <c r="A183" s="1521" t="s">
        <v>1036</v>
      </c>
      <c r="B183" s="670">
        <v>2900</v>
      </c>
      <c r="C183" s="1954">
        <f>ROUND(SUMIF(DATA!$A:$A,"40-"&amp;LEFT($B183,3)&amp;"*-"&amp;MID(C$1,2,1)&amp;"*",DATA!$F:$F),0)</f>
        <v>0</v>
      </c>
      <c r="D183" s="1954">
        <f>ROUND(SUMIF(DATA!$A:$A,"40-"&amp;LEFT($B183,3)&amp;"*-"&amp;MID(D$1,2,1)&amp;"*",DATA!$F:$F),0)</f>
        <v>0</v>
      </c>
      <c r="E183" s="1954">
        <f>ROUND(SUMIF(DATA!$A:$A,"40-"&amp;LEFT($B183,3)&amp;"*-"&amp;MID(E$1,2,1)&amp;"*",DATA!$F:$F),0)</f>
        <v>0</v>
      </c>
      <c r="F183" s="1954">
        <f>ROUND(SUMIF(DATA!$A:$A,"40-"&amp;LEFT($B183,3)&amp;"*-"&amp;MID(F$1,2,1)&amp;"*",DATA!$F:$F),0)</f>
        <v>0</v>
      </c>
      <c r="G183" s="1954">
        <f>ROUND(SUMIF(DATA!$A:$A,"40-"&amp;LEFT($B183,3)&amp;"*-"&amp;MID(G$1,2,1)&amp;"*",DATA!$F:$F),0)</f>
        <v>0</v>
      </c>
      <c r="H183" s="1954">
        <f>ROUND(SUMIF(DATA!$A:$A,"40-"&amp;LEFT($B183,3)&amp;"*-"&amp;MID(H$1,2,1)&amp;"*",DATA!$F:$F),0)</f>
        <v>0</v>
      </c>
      <c r="I183" s="1954">
        <f>ROUND(SUMIF(DATA!$A:$A,"40-"&amp;LEFT($B183,3)&amp;"*-"&amp;MID(I$1,2,1)&amp;"*",DATA!$F:$F),0)</f>
        <v>0</v>
      </c>
      <c r="J183" s="1954">
        <f>ROUND(SUMIF(DATA!$A:$A,"40-"&amp;LEFT($B183,3)&amp;"*-"&amp;MID(J$1,2,1)&amp;"*",DATA!$F:$F),0)</f>
        <v>0</v>
      </c>
      <c r="K183" s="1689">
        <f>SUM(C183:J183)</f>
        <v>0</v>
      </c>
      <c r="L183" s="570">
        <v>0</v>
      </c>
    </row>
    <row r="184" spans="1:14" ht="12.75" customHeight="1" thickTop="1" thickBot="1" x14ac:dyDescent="0.25">
      <c r="A184" s="1703" t="s">
        <v>864</v>
      </c>
      <c r="B184" s="1681" t="s">
        <v>589</v>
      </c>
      <c r="C184" s="1689">
        <f>SUM(C180,C182,C183)</f>
        <v>6102</v>
      </c>
      <c r="D184" s="1689">
        <f t="shared" ref="D184:J184" si="17">SUM(D180,D182,D183)</f>
        <v>757</v>
      </c>
      <c r="E184" s="1689">
        <f t="shared" si="17"/>
        <v>211520</v>
      </c>
      <c r="F184" s="1689">
        <f t="shared" si="17"/>
        <v>8523</v>
      </c>
      <c r="G184" s="1689">
        <f t="shared" si="17"/>
        <v>0</v>
      </c>
      <c r="H184" s="1689">
        <f t="shared" si="17"/>
        <v>0</v>
      </c>
      <c r="I184" s="1689">
        <f t="shared" si="17"/>
        <v>0</v>
      </c>
      <c r="J184" s="1689">
        <f t="shared" si="17"/>
        <v>0</v>
      </c>
      <c r="K184" s="1689">
        <f>SUM(K180,K182,K183)</f>
        <v>226902</v>
      </c>
      <c r="L184" s="1689">
        <f>SUM(L180, L182:L183)</f>
        <v>271915</v>
      </c>
    </row>
    <row r="185" spans="1:14" ht="15.75" customHeight="1" thickTop="1" thickBot="1" x14ac:dyDescent="0.25">
      <c r="A185" s="1634" t="s">
        <v>995</v>
      </c>
      <c r="B185" s="1623">
        <v>3000</v>
      </c>
      <c r="C185" s="1954">
        <f>SUMIF(DATA!$A:$A,"40-"&amp;$B185&amp;"-1*",DATA!$F:$F)</f>
        <v>0</v>
      </c>
      <c r="D185" s="1954">
        <f>SUMIF(DATA!$A:$A,"40-"&amp;$B185&amp;"-2*",DATA!$F:$F)</f>
        <v>0</v>
      </c>
      <c r="E185" s="1954">
        <f>SUMIF(DATA!$A:$A,"40-"&amp;$B185&amp;"-3*",DATA!$F:$F)</f>
        <v>0</v>
      </c>
      <c r="F185" s="1954">
        <f>SUMIF(DATA!$A:$A,"40-"&amp;$B185&amp;"-4*",DATA!$F:$F)</f>
        <v>0</v>
      </c>
      <c r="G185" s="1954">
        <f>SUMIF(DATA!$A:$A,"40-"&amp;$B185&amp;"-5*",DATA!$F:$F)</f>
        <v>0</v>
      </c>
      <c r="H185" s="1954">
        <f>SUMIF(DATA!$A:$A,"40-"&amp;$B185&amp;"-6*",DATA!$F:$F)</f>
        <v>0</v>
      </c>
      <c r="I185" s="1954">
        <f>SUMIF(DATA!$A:$A,"40-"&amp;$B185&amp;"-7*",DATA!$F:$F)</f>
        <v>0</v>
      </c>
      <c r="J185" s="1954">
        <f>SUMIF(DATA!$A:$A,"40-"&amp;$B185&amp;"-8*",DATA!$F:$F)</f>
        <v>0</v>
      </c>
      <c r="K185" s="1682">
        <f>SUM(C185:J185)</f>
        <v>0</v>
      </c>
      <c r="L185" s="572">
        <v>0</v>
      </c>
    </row>
    <row r="186" spans="1:14" s="667" customFormat="1" ht="15.75" customHeight="1" thickTop="1" x14ac:dyDescent="0.2">
      <c r="A186" s="1618" t="s">
        <v>93</v>
      </c>
      <c r="B186" s="1621" t="s">
        <v>914</v>
      </c>
      <c r="C186" s="610"/>
      <c r="D186" s="610"/>
      <c r="E186" s="610"/>
      <c r="F186" s="610"/>
      <c r="G186" s="610"/>
      <c r="H186" s="610"/>
      <c r="I186" s="610"/>
      <c r="J186" s="610"/>
      <c r="K186" s="610"/>
      <c r="L186" s="610"/>
      <c r="M186" s="658"/>
      <c r="N186" s="658"/>
    </row>
    <row r="187" spans="1:14" s="667" customFormat="1" ht="15.75" customHeight="1" x14ac:dyDescent="0.2">
      <c r="A187" s="615" t="s">
        <v>1192</v>
      </c>
      <c r="B187" s="616"/>
      <c r="C187" s="610"/>
      <c r="D187" s="610"/>
      <c r="E187" s="610"/>
      <c r="F187" s="610"/>
      <c r="G187" s="610"/>
      <c r="H187" s="610"/>
      <c r="I187" s="610"/>
      <c r="J187" s="610"/>
      <c r="K187" s="610"/>
      <c r="L187" s="610"/>
      <c r="M187" s="658"/>
      <c r="N187" s="658"/>
    </row>
    <row r="188" spans="1:14" x14ac:dyDescent="0.2">
      <c r="A188" s="1516" t="s">
        <v>516</v>
      </c>
      <c r="B188" s="608">
        <v>4110</v>
      </c>
      <c r="C188" s="610"/>
      <c r="D188" s="610"/>
      <c r="E188" s="1954">
        <f>ROUND(SUMIF(DATA!$A:$A,"40-"&amp;LEFT($B188,3)&amp;"*-"&amp;MID(E$1,2,1)&amp;"*",DATA!$F:$F),0)</f>
        <v>416144</v>
      </c>
      <c r="F188" s="610"/>
      <c r="G188" s="610"/>
      <c r="H188" s="1954">
        <f>ROUND(SUMIF(DATA!$A:$A,"40-"&amp;LEFT($B188,3)&amp;"*-"&amp;MID(H$1,2,1)&amp;"*",DATA!$F:$F),0)</f>
        <v>0</v>
      </c>
      <c r="I188" s="476"/>
      <c r="J188" s="610"/>
      <c r="K188" s="1683">
        <f t="shared" ref="K188:K193" si="18">SUM(E188,H188)</f>
        <v>416144</v>
      </c>
      <c r="L188" s="466">
        <v>409695</v>
      </c>
    </row>
    <row r="189" spans="1:14" x14ac:dyDescent="0.2">
      <c r="A189" s="1516" t="s">
        <v>321</v>
      </c>
      <c r="B189" s="608">
        <v>4120</v>
      </c>
      <c r="C189" s="610"/>
      <c r="D189" s="610"/>
      <c r="E189" s="1954">
        <f>ROUND(SUMIF(DATA!$A:$A,"40-"&amp;LEFT($B189,3)&amp;"*-"&amp;MID(E$1,2,1)&amp;"*",DATA!$F:$F),0)</f>
        <v>321085</v>
      </c>
      <c r="F189" s="610"/>
      <c r="G189" s="610"/>
      <c r="H189" s="1954">
        <f>ROUND(SUMIF(DATA!$A:$A,"40-"&amp;LEFT($B189,3)&amp;"*-"&amp;MID(H$1,2,1)&amp;"*",DATA!$F:$F),0)</f>
        <v>0</v>
      </c>
      <c r="I189" s="476"/>
      <c r="J189" s="610"/>
      <c r="K189" s="1683">
        <f t="shared" si="18"/>
        <v>321085</v>
      </c>
      <c r="L189" s="466">
        <v>375203</v>
      </c>
    </row>
    <row r="190" spans="1:14" x14ac:dyDescent="0.2">
      <c r="A190" s="1516" t="s">
        <v>322</v>
      </c>
      <c r="B190" s="622">
        <v>4130</v>
      </c>
      <c r="C190" s="610"/>
      <c r="D190" s="610"/>
      <c r="E190" s="1954">
        <f>ROUND(SUMIF(DATA!$A:$A,"40-"&amp;LEFT($B190,3)&amp;"*-"&amp;MID(E$1,2,1)&amp;"*",DATA!$F:$F),0)</f>
        <v>0</v>
      </c>
      <c r="F190" s="610"/>
      <c r="G190" s="610"/>
      <c r="H190" s="1954">
        <f>ROUND(SUMIF(DATA!$A:$A,"40-"&amp;LEFT($B190,3)&amp;"*-"&amp;MID(H$1,2,1)&amp;"*",DATA!$F:$F),0)</f>
        <v>0</v>
      </c>
      <c r="I190" s="476"/>
      <c r="J190" s="610"/>
      <c r="K190" s="1683">
        <f t="shared" si="18"/>
        <v>0</v>
      </c>
      <c r="L190" s="466">
        <v>0</v>
      </c>
    </row>
    <row r="191" spans="1:14" x14ac:dyDescent="0.2">
      <c r="A191" s="1516" t="s">
        <v>720</v>
      </c>
      <c r="B191" s="608">
        <v>4140</v>
      </c>
      <c r="C191" s="610"/>
      <c r="D191" s="610"/>
      <c r="E191" s="1954">
        <f>ROUND(SUMIF(DATA!$A:$A,"40-"&amp;LEFT($B191,3)&amp;"*-"&amp;MID(E$1,2,1)&amp;"*",DATA!$F:$F),0)</f>
        <v>1387</v>
      </c>
      <c r="F191" s="610"/>
      <c r="G191" s="610"/>
      <c r="H191" s="1954">
        <f>ROUND(SUMIF(DATA!$A:$A,"40-"&amp;LEFT($B191,3)&amp;"*-"&amp;MID(H$1,2,1)&amp;"*",DATA!$F:$F),0)</f>
        <v>0</v>
      </c>
      <c r="I191" s="476"/>
      <c r="J191" s="610"/>
      <c r="K191" s="1683">
        <f t="shared" si="18"/>
        <v>1387</v>
      </c>
      <c r="L191" s="466">
        <v>5362</v>
      </c>
    </row>
    <row r="192" spans="1:14" x14ac:dyDescent="0.2">
      <c r="A192" s="1516" t="s">
        <v>88</v>
      </c>
      <c r="B192" s="608">
        <v>4170</v>
      </c>
      <c r="C192" s="610"/>
      <c r="D192" s="610"/>
      <c r="E192" s="1954">
        <f>ROUND(SUMIF(DATA!$A:$A,"40-"&amp;LEFT($B192,3)&amp;"*-"&amp;MID(E$1,2,1)&amp;"*",DATA!$F:$F),0)</f>
        <v>0</v>
      </c>
      <c r="F192" s="610"/>
      <c r="G192" s="610"/>
      <c r="H192" s="1954">
        <f>ROUND(SUMIF(DATA!$A:$A,"40-"&amp;LEFT($B192,3)&amp;"*-"&amp;MID(H$1,2,1)&amp;"*",DATA!$F:$F),0)</f>
        <v>0</v>
      </c>
      <c r="I192" s="476"/>
      <c r="J192" s="610"/>
      <c r="K192" s="1683">
        <f t="shared" si="18"/>
        <v>0</v>
      </c>
      <c r="L192" s="466">
        <v>0</v>
      </c>
    </row>
    <row r="193" spans="1:14" x14ac:dyDescent="0.2">
      <c r="A193" s="1520" t="s">
        <v>721</v>
      </c>
      <c r="B193" s="622">
        <v>4190</v>
      </c>
      <c r="C193" s="610"/>
      <c r="D193" s="610"/>
      <c r="E193" s="1954">
        <f>ROUND(SUMIF(DATA!$A:$A,"40-"&amp;LEFT($B193,3)&amp;"*-"&amp;MID(E$1,2,1)&amp;"*",DATA!$F:$F),0)</f>
        <v>118685</v>
      </c>
      <c r="F193" s="610"/>
      <c r="G193" s="610"/>
      <c r="H193" s="1954">
        <f>ROUND(SUMIF(DATA!$A:$A,"40-"&amp;LEFT($B193,3)&amp;"*-"&amp;MID(H$1,2,1)&amp;"*",DATA!$F:$F),0)</f>
        <v>0</v>
      </c>
      <c r="I193" s="476"/>
      <c r="J193" s="610"/>
      <c r="K193" s="1683">
        <f t="shared" si="18"/>
        <v>118685</v>
      </c>
      <c r="L193" s="466">
        <v>124740</v>
      </c>
    </row>
    <row r="194" spans="1:14" ht="12.75" customHeight="1" thickBot="1" x14ac:dyDescent="0.25">
      <c r="A194" s="1680" t="s">
        <v>1201</v>
      </c>
      <c r="B194" s="1681" t="s">
        <v>579</v>
      </c>
      <c r="C194" s="610"/>
      <c r="D194" s="610"/>
      <c r="E194" s="1682">
        <f>SUM(E188:E193)</f>
        <v>857301</v>
      </c>
      <c r="F194" s="610"/>
      <c r="G194" s="610"/>
      <c r="H194" s="1682">
        <f>SUM(H188:H193)</f>
        <v>0</v>
      </c>
      <c r="I194" s="476"/>
      <c r="J194" s="610"/>
      <c r="K194" s="1682">
        <f>SUM(K188:K193)</f>
        <v>857301</v>
      </c>
      <c r="L194" s="1682">
        <f>SUM(L188:L193)</f>
        <v>915000</v>
      </c>
    </row>
    <row r="195" spans="1:14" ht="15.75" customHeight="1" thickTop="1" x14ac:dyDescent="0.2">
      <c r="A195" s="662" t="s">
        <v>94</v>
      </c>
      <c r="B195" s="671" t="s">
        <v>987</v>
      </c>
      <c r="C195" s="610"/>
      <c r="D195" s="610"/>
      <c r="E195" s="649"/>
      <c r="F195" s="610"/>
      <c r="G195" s="610"/>
      <c r="H195" s="1954">
        <f>ROUND(SUMIF(DATA!$A:$A,"40-"&amp;LEFT($B195,3)&amp;"*-"&amp;MID(H$1,2,1)&amp;"*",DATA!$F:$F),0)</f>
        <v>0</v>
      </c>
      <c r="I195" s="476"/>
      <c r="J195" s="610"/>
      <c r="K195" s="1697">
        <f>SUM(E195,H195)</f>
        <v>0</v>
      </c>
      <c r="L195" s="649">
        <v>0</v>
      </c>
    </row>
    <row r="196" spans="1:14" ht="12.75" customHeight="1" thickBot="1" x14ac:dyDescent="0.25">
      <c r="A196" s="1680" t="s">
        <v>1566</v>
      </c>
      <c r="B196" s="1681" t="s">
        <v>914</v>
      </c>
      <c r="C196" s="610"/>
      <c r="D196" s="610"/>
      <c r="E196" s="1689">
        <f>SUM(E194,E195)</f>
        <v>857301</v>
      </c>
      <c r="F196" s="610"/>
      <c r="G196" s="610"/>
      <c r="H196" s="1689">
        <f>SUM(H194,H195)</f>
        <v>0</v>
      </c>
      <c r="I196" s="476"/>
      <c r="J196" s="610"/>
      <c r="K196" s="1689">
        <f>SUM(K194,K195)</f>
        <v>857301</v>
      </c>
      <c r="L196" s="1689">
        <f>SUM(L194,L195)</f>
        <v>915000</v>
      </c>
    </row>
    <row r="197" spans="1:14" s="667" customFormat="1" ht="15.75" customHeight="1" thickTop="1" x14ac:dyDescent="0.2">
      <c r="A197" s="1624" t="s">
        <v>996</v>
      </c>
      <c r="B197" s="1621" t="s">
        <v>512</v>
      </c>
      <c r="C197" s="610"/>
      <c r="D197" s="610"/>
      <c r="E197" s="610"/>
      <c r="F197" s="610"/>
      <c r="G197" s="610"/>
      <c r="H197" s="610"/>
      <c r="I197" s="610"/>
      <c r="J197" s="610"/>
      <c r="K197" s="610"/>
      <c r="L197" s="610"/>
      <c r="M197" s="658"/>
      <c r="N197" s="658"/>
    </row>
    <row r="198" spans="1:14" s="667" customFormat="1" ht="15.75" customHeight="1" x14ac:dyDescent="0.2">
      <c r="A198" s="646" t="s">
        <v>95</v>
      </c>
      <c r="B198" s="616"/>
      <c r="C198" s="610"/>
      <c r="D198" s="610"/>
      <c r="E198" s="610"/>
      <c r="F198" s="610"/>
      <c r="G198" s="610"/>
      <c r="H198" s="610"/>
      <c r="I198" s="610"/>
      <c r="J198" s="610"/>
      <c r="K198" s="610"/>
      <c r="L198" s="610"/>
      <c r="M198" s="658"/>
      <c r="N198" s="658"/>
    </row>
    <row r="199" spans="1:14" x14ac:dyDescent="0.2">
      <c r="A199" s="1516" t="s">
        <v>89</v>
      </c>
      <c r="B199" s="608">
        <v>5110</v>
      </c>
      <c r="C199" s="610"/>
      <c r="D199" s="610"/>
      <c r="E199" s="610"/>
      <c r="F199" s="610"/>
      <c r="G199" s="610"/>
      <c r="H199" s="466"/>
      <c r="I199" s="610"/>
      <c r="J199" s="610"/>
      <c r="K199" s="1683">
        <f>SUM(H199)</f>
        <v>0</v>
      </c>
      <c r="L199" s="466">
        <v>0</v>
      </c>
    </row>
    <row r="200" spans="1:14" x14ac:dyDescent="0.2">
      <c r="A200" s="1516" t="s">
        <v>90</v>
      </c>
      <c r="B200" s="608">
        <v>5120</v>
      </c>
      <c r="C200" s="610"/>
      <c r="D200" s="610"/>
      <c r="E200" s="610"/>
      <c r="F200" s="610"/>
      <c r="G200" s="610"/>
      <c r="H200" s="466"/>
      <c r="I200" s="610"/>
      <c r="J200" s="610"/>
      <c r="K200" s="1683">
        <f>SUM(H200)</f>
        <v>0</v>
      </c>
      <c r="L200" s="466">
        <v>0</v>
      </c>
    </row>
    <row r="201" spans="1:14" ht="12.75" customHeight="1" x14ac:dyDescent="0.2">
      <c r="A201" s="1516" t="s">
        <v>1231</v>
      </c>
      <c r="B201" s="622" t="s">
        <v>637</v>
      </c>
      <c r="C201" s="610"/>
      <c r="D201" s="610"/>
      <c r="E201" s="610"/>
      <c r="F201" s="610"/>
      <c r="G201" s="610"/>
      <c r="H201" s="466"/>
      <c r="I201" s="610"/>
      <c r="J201" s="610"/>
      <c r="K201" s="1683">
        <f>SUM(H201)</f>
        <v>0</v>
      </c>
      <c r="L201" s="466">
        <v>0</v>
      </c>
    </row>
    <row r="202" spans="1:14" x14ac:dyDescent="0.2">
      <c r="A202" s="1516" t="s">
        <v>91</v>
      </c>
      <c r="B202" s="608" t="s">
        <v>609</v>
      </c>
      <c r="C202" s="610"/>
      <c r="D202" s="610"/>
      <c r="E202" s="610"/>
      <c r="F202" s="610"/>
      <c r="G202" s="610"/>
      <c r="H202" s="466"/>
      <c r="I202" s="610"/>
      <c r="J202" s="610"/>
      <c r="K202" s="1683">
        <f>SUM(H202)</f>
        <v>0</v>
      </c>
      <c r="L202" s="466">
        <v>0</v>
      </c>
    </row>
    <row r="203" spans="1:14" x14ac:dyDescent="0.2">
      <c r="A203" s="1528" t="s">
        <v>639</v>
      </c>
      <c r="B203" s="608" t="s">
        <v>638</v>
      </c>
      <c r="C203" s="610"/>
      <c r="D203" s="610"/>
      <c r="E203" s="610"/>
      <c r="F203" s="610"/>
      <c r="G203" s="610"/>
      <c r="H203" s="471"/>
      <c r="I203" s="610"/>
      <c r="J203" s="610"/>
      <c r="K203" s="1683">
        <f>SUM(H203)</f>
        <v>0</v>
      </c>
      <c r="L203" s="471">
        <v>0</v>
      </c>
    </row>
    <row r="204" spans="1:14" ht="13.5" thickBot="1" x14ac:dyDescent="0.25">
      <c r="A204" s="1680" t="s">
        <v>293</v>
      </c>
      <c r="B204" s="1681" t="s">
        <v>741</v>
      </c>
      <c r="C204" s="610"/>
      <c r="D204" s="610"/>
      <c r="E204" s="610"/>
      <c r="F204" s="610"/>
      <c r="G204" s="610"/>
      <c r="H204" s="1682">
        <f>SUM(H199:H203)</f>
        <v>0</v>
      </c>
      <c r="I204" s="610"/>
      <c r="J204" s="610"/>
      <c r="K204" s="1682">
        <f>SUM(K199:K203)</f>
        <v>0</v>
      </c>
      <c r="L204" s="1682">
        <f>SUM(L199:L203)</f>
        <v>0</v>
      </c>
    </row>
    <row r="205" spans="1:14" ht="15.75" customHeight="1" thickTop="1" x14ac:dyDescent="0.2">
      <c r="A205" s="672" t="s">
        <v>85</v>
      </c>
      <c r="B205" s="673" t="s">
        <v>38</v>
      </c>
      <c r="C205" s="610"/>
      <c r="D205" s="610"/>
      <c r="E205" s="610"/>
      <c r="F205" s="610"/>
      <c r="G205" s="610"/>
      <c r="H205" s="534"/>
      <c r="I205" s="610"/>
      <c r="J205" s="610"/>
      <c r="K205" s="1697">
        <f>SUM(H205)</f>
        <v>0</v>
      </c>
      <c r="L205" s="534">
        <v>0</v>
      </c>
    </row>
    <row r="206" spans="1:14" ht="30" customHeight="1" x14ac:dyDescent="0.2">
      <c r="A206" s="674" t="s">
        <v>1769</v>
      </c>
      <c r="B206" s="665" t="s">
        <v>31</v>
      </c>
      <c r="C206" s="610"/>
      <c r="D206" s="610"/>
      <c r="E206" s="610"/>
      <c r="F206" s="610"/>
      <c r="G206" s="610"/>
      <c r="H206" s="466"/>
      <c r="I206" s="610"/>
      <c r="J206" s="610"/>
      <c r="K206" s="1683">
        <f>SUM(H206)</f>
        <v>0</v>
      </c>
      <c r="L206" s="466">
        <v>0</v>
      </c>
    </row>
    <row r="207" spans="1:14" ht="15.75" customHeight="1" x14ac:dyDescent="0.2">
      <c r="A207" s="615" t="s">
        <v>789</v>
      </c>
      <c r="B207" s="665" t="s">
        <v>86</v>
      </c>
      <c r="C207" s="610"/>
      <c r="D207" s="610"/>
      <c r="E207" s="610"/>
      <c r="F207" s="610"/>
      <c r="G207" s="610"/>
      <c r="H207" s="467"/>
      <c r="I207" s="610"/>
      <c r="J207" s="610"/>
      <c r="K207" s="1683">
        <f>H207</f>
        <v>0</v>
      </c>
      <c r="L207" s="466">
        <v>0</v>
      </c>
    </row>
    <row r="208" spans="1:14" ht="12.75" customHeight="1" thickBot="1" x14ac:dyDescent="0.25">
      <c r="A208" s="1698" t="s">
        <v>658</v>
      </c>
      <c r="B208" s="1699" t="s">
        <v>512</v>
      </c>
      <c r="C208" s="610"/>
      <c r="D208" s="610"/>
      <c r="E208" s="610"/>
      <c r="F208" s="610"/>
      <c r="G208" s="610"/>
      <c r="H208" s="1689">
        <f>SUM(H204,H205,H206,H207)</f>
        <v>0</v>
      </c>
      <c r="I208" s="610"/>
      <c r="J208" s="610"/>
      <c r="K208" s="1689">
        <f>SUM(K204,K205,K206,K207)</f>
        <v>0</v>
      </c>
      <c r="L208" s="1689">
        <f>SUM(L204,L205,L206,L207)</f>
        <v>0</v>
      </c>
    </row>
    <row r="209" spans="1:14" ht="15.75" customHeight="1" thickTop="1" thickBot="1" x14ac:dyDescent="0.25">
      <c r="A209" s="1618" t="s">
        <v>926</v>
      </c>
      <c r="B209" s="1625" t="s">
        <v>915</v>
      </c>
      <c r="C209" s="617"/>
      <c r="D209" s="617"/>
      <c r="E209" s="617"/>
      <c r="F209" s="617"/>
      <c r="G209" s="617"/>
      <c r="H209" s="617"/>
      <c r="I209" s="610"/>
      <c r="J209" s="610"/>
      <c r="K209" s="617"/>
      <c r="L209" s="572">
        <v>0</v>
      </c>
    </row>
    <row r="210" spans="1:14" ht="12.75" customHeight="1" thickTop="1" thickBot="1" x14ac:dyDescent="0.25">
      <c r="A210" s="1704" t="s">
        <v>294</v>
      </c>
      <c r="B210" s="1705"/>
      <c r="C210" s="1682">
        <f>SUM(C184,C185)</f>
        <v>6102</v>
      </c>
      <c r="D210" s="1682">
        <f>SUM(D184,D185)</f>
        <v>757</v>
      </c>
      <c r="E210" s="1682">
        <f>SUM(E184,E185,E196)</f>
        <v>1068821</v>
      </c>
      <c r="F210" s="1682">
        <f>SUM(F184,F185)</f>
        <v>8523</v>
      </c>
      <c r="G210" s="1682">
        <f>SUM(G184,G185)</f>
        <v>0</v>
      </c>
      <c r="H210" s="1682">
        <f>SUM(H184,H185,H196,H208,H209)</f>
        <v>0</v>
      </c>
      <c r="I210" s="1682">
        <f>SUM(I184,I185)</f>
        <v>0</v>
      </c>
      <c r="J210" s="1682">
        <f>SUM(J184,J185)</f>
        <v>0</v>
      </c>
      <c r="K210" s="1683">
        <f>SUM(K184,K185,K196,K208,K209)</f>
        <v>1084203</v>
      </c>
      <c r="L210" s="1682">
        <f>SUM(L184,L185,L196,L208,L209)</f>
        <v>1186915</v>
      </c>
    </row>
    <row r="211" spans="1:14" ht="13.5" thickTop="1" x14ac:dyDescent="0.2">
      <c r="A211" s="2212" t="s">
        <v>1052</v>
      </c>
      <c r="B211" s="2213"/>
      <c r="C211" s="612"/>
      <c r="D211" s="612"/>
      <c r="E211" s="612"/>
      <c r="F211" s="612"/>
      <c r="G211" s="612"/>
      <c r="H211" s="612"/>
      <c r="I211" s="610"/>
      <c r="J211" s="610"/>
      <c r="K211" s="1696">
        <f>'Revenues 9-14'!F275-'Expenditures 15-22'!K210</f>
        <v>150001</v>
      </c>
      <c r="L211" s="612"/>
    </row>
    <row r="212" spans="1:14" s="659" customFormat="1" ht="9" customHeight="1" x14ac:dyDescent="0.2">
      <c r="A212" s="656"/>
      <c r="B212" s="666"/>
      <c r="C212" s="643"/>
      <c r="D212" s="643"/>
      <c r="E212" s="643"/>
      <c r="F212" s="643"/>
      <c r="G212" s="643"/>
      <c r="H212" s="643"/>
      <c r="I212" s="643"/>
      <c r="J212" s="643"/>
      <c r="K212" s="643"/>
      <c r="L212" s="643"/>
      <c r="M212" s="658"/>
      <c r="N212" s="658"/>
    </row>
    <row r="213" spans="1:14" s="343" customFormat="1" ht="16.7" customHeight="1" x14ac:dyDescent="0.2">
      <c r="A213" s="2207" t="s">
        <v>1021</v>
      </c>
      <c r="B213" s="2208"/>
      <c r="C213" s="1563"/>
      <c r="D213" s="1564"/>
      <c r="E213" s="1564"/>
      <c r="F213" s="1564"/>
      <c r="G213" s="1564"/>
      <c r="H213" s="1564"/>
      <c r="I213" s="1564"/>
      <c r="J213" s="1564"/>
      <c r="K213" s="1564"/>
      <c r="L213" s="1565"/>
      <c r="M213" s="603"/>
      <c r="N213" s="603"/>
    </row>
    <row r="214" spans="1:14" s="667" customFormat="1" ht="15.75" customHeight="1" x14ac:dyDescent="0.2">
      <c r="A214" s="1635" t="s">
        <v>927</v>
      </c>
      <c r="B214" s="1627" t="s">
        <v>590</v>
      </c>
      <c r="C214" s="610"/>
      <c r="D214" s="617"/>
      <c r="E214" s="610"/>
      <c r="F214" s="610"/>
      <c r="G214" s="610"/>
      <c r="H214" s="610"/>
      <c r="I214" s="610"/>
      <c r="J214" s="610"/>
      <c r="K214" s="617"/>
      <c r="L214" s="617"/>
      <c r="M214" s="658"/>
      <c r="N214" s="658"/>
    </row>
    <row r="215" spans="1:14" x14ac:dyDescent="0.2">
      <c r="A215" s="1516" t="s">
        <v>1017</v>
      </c>
      <c r="B215" s="608">
        <v>1100</v>
      </c>
      <c r="C215" s="610"/>
      <c r="D215" s="1954">
        <f>ROUND(SUMIF(DATA!$A:$A,"50-"&amp;LEFT($B215,3)&amp;"*-"&amp;MID(D$1,2,1)&amp;"*",DATA!$F:$F),0)</f>
        <v>55047</v>
      </c>
      <c r="E215" s="610"/>
      <c r="F215" s="610"/>
      <c r="G215" s="610"/>
      <c r="H215" s="610"/>
      <c r="I215" s="610"/>
      <c r="J215" s="610"/>
      <c r="K215" s="1683">
        <f>D215</f>
        <v>55047</v>
      </c>
      <c r="L215" s="466">
        <v>62200</v>
      </c>
    </row>
    <row r="216" spans="1:14" x14ac:dyDescent="0.2">
      <c r="A216" s="1516" t="s">
        <v>165</v>
      </c>
      <c r="B216" s="608" t="s">
        <v>1023</v>
      </c>
      <c r="C216" s="610"/>
      <c r="D216" s="1954">
        <f>ROUND(SUMIF(DATA!$A:$A,"50-"&amp;LEFT($B216,3)&amp;"*-"&amp;MID(D$1,2,1)&amp;"*",DATA!$F:$F),0)</f>
        <v>0</v>
      </c>
      <c r="E216" s="610"/>
      <c r="F216" s="610"/>
      <c r="G216" s="610"/>
      <c r="H216" s="610"/>
      <c r="I216" s="610"/>
      <c r="J216" s="610"/>
      <c r="K216" s="1683">
        <f t="shared" ref="K216:K228" si="19">D216</f>
        <v>0</v>
      </c>
      <c r="L216" s="466">
        <v>0</v>
      </c>
    </row>
    <row r="217" spans="1:14" x14ac:dyDescent="0.2">
      <c r="A217" s="1516" t="s">
        <v>166</v>
      </c>
      <c r="B217" s="608">
        <v>1200</v>
      </c>
      <c r="C217" s="610"/>
      <c r="D217" s="1954">
        <f>ROUND(SUMIF(DATA!$A:$A,"50-"&amp;LEFT($B217,3)&amp;"*-"&amp;MID(D$1,2,1)&amp;"*",DATA!$F:$F),0)</f>
        <v>53558</v>
      </c>
      <c r="E217" s="610"/>
      <c r="F217" s="610"/>
      <c r="G217" s="610"/>
      <c r="H217" s="610"/>
      <c r="I217" s="610"/>
      <c r="J217" s="610"/>
      <c r="K217" s="1683">
        <f t="shared" si="19"/>
        <v>53558</v>
      </c>
      <c r="L217" s="466">
        <v>64990</v>
      </c>
    </row>
    <row r="218" spans="1:14" x14ac:dyDescent="0.2">
      <c r="A218" s="1516" t="s">
        <v>295</v>
      </c>
      <c r="B218" s="608" t="s">
        <v>1024</v>
      </c>
      <c r="C218" s="610"/>
      <c r="D218" s="1954">
        <f>ROUND(SUMIF(DATA!$A:$A,"50-"&amp;LEFT($B218,3)&amp;"*-"&amp;MID(D$1,2,1)&amp;"*",DATA!$F:$F),0)</f>
        <v>0</v>
      </c>
      <c r="E218" s="610"/>
      <c r="F218" s="610"/>
      <c r="G218" s="610"/>
      <c r="H218" s="610"/>
      <c r="I218" s="610"/>
      <c r="J218" s="610"/>
      <c r="K218" s="1683">
        <f t="shared" si="19"/>
        <v>0</v>
      </c>
      <c r="L218" s="466">
        <v>0</v>
      </c>
    </row>
    <row r="219" spans="1:14" x14ac:dyDescent="0.2">
      <c r="A219" s="1516" t="s">
        <v>296</v>
      </c>
      <c r="B219" s="608">
        <v>1250</v>
      </c>
      <c r="C219" s="610"/>
      <c r="D219" s="1954">
        <f>ROUND(SUMIF(DATA!$A:$A,"50-"&amp;LEFT($B219,3)&amp;"*-"&amp;MID(D$1,2,1)&amp;"*",DATA!$F:$F),0)</f>
        <v>5140</v>
      </c>
      <c r="E219" s="610"/>
      <c r="F219" s="610"/>
      <c r="G219" s="610"/>
      <c r="H219" s="610"/>
      <c r="I219" s="610"/>
      <c r="J219" s="610"/>
      <c r="K219" s="1683">
        <f t="shared" si="19"/>
        <v>5140</v>
      </c>
      <c r="L219" s="466">
        <v>4800</v>
      </c>
    </row>
    <row r="220" spans="1:14" x14ac:dyDescent="0.2">
      <c r="A220" s="1516" t="s">
        <v>297</v>
      </c>
      <c r="B220" s="608" t="s">
        <v>163</v>
      </c>
      <c r="C220" s="610"/>
      <c r="D220" s="1954">
        <f>ROUND(SUMIF(DATA!$A:$A,"50-"&amp;LEFT($B220,3)&amp;"*-"&amp;MID(D$1,2,1)&amp;"*",DATA!$F:$F),0)</f>
        <v>0</v>
      </c>
      <c r="E220" s="610"/>
      <c r="F220" s="610"/>
      <c r="G220" s="610"/>
      <c r="H220" s="610"/>
      <c r="I220" s="610"/>
      <c r="J220" s="610"/>
      <c r="K220" s="1683">
        <f t="shared" si="19"/>
        <v>0</v>
      </c>
      <c r="L220" s="466">
        <v>0</v>
      </c>
    </row>
    <row r="221" spans="1:14" x14ac:dyDescent="0.2">
      <c r="A221" s="1516" t="s">
        <v>1018</v>
      </c>
      <c r="B221" s="608">
        <v>1300</v>
      </c>
      <c r="C221" s="610"/>
      <c r="D221" s="1954">
        <f>ROUND(SUMIF(DATA!$A:$A,"50-"&amp;LEFT($B221,3)&amp;"*-"&amp;MID(D$1,2,1)&amp;"*",DATA!$F:$F),0)</f>
        <v>0</v>
      </c>
      <c r="E221" s="610"/>
      <c r="F221" s="610"/>
      <c r="G221" s="610"/>
      <c r="H221" s="610"/>
      <c r="I221" s="610"/>
      <c r="J221" s="610"/>
      <c r="K221" s="1683">
        <f t="shared" si="19"/>
        <v>0</v>
      </c>
      <c r="L221" s="466">
        <v>0</v>
      </c>
    </row>
    <row r="222" spans="1:14" x14ac:dyDescent="0.2">
      <c r="A222" s="1516" t="s">
        <v>746</v>
      </c>
      <c r="B222" s="608">
        <v>1400</v>
      </c>
      <c r="C222" s="610"/>
      <c r="D222" s="1954">
        <f>ROUND(SUMIF(DATA!$A:$A,"50-"&amp;LEFT($B222,3)&amp;"*-"&amp;MID(D$1,2,1)&amp;"*",DATA!$F:$F),0)</f>
        <v>8648</v>
      </c>
      <c r="E222" s="610"/>
      <c r="F222" s="610"/>
      <c r="G222" s="610"/>
      <c r="H222" s="610"/>
      <c r="I222" s="610"/>
      <c r="J222" s="610"/>
      <c r="K222" s="1683">
        <f t="shared" si="19"/>
        <v>8648</v>
      </c>
      <c r="L222" s="466">
        <v>11500</v>
      </c>
    </row>
    <row r="223" spans="1:14" x14ac:dyDescent="0.2">
      <c r="A223" s="1516" t="s">
        <v>1019</v>
      </c>
      <c r="B223" s="608">
        <v>1500</v>
      </c>
      <c r="C223" s="610"/>
      <c r="D223" s="1954">
        <f>ROUND(SUMIF(DATA!$A:$A,"50-"&amp;LEFT($B223,3)&amp;"*-"&amp;MID(D$1,2,1)&amp;"*",DATA!$F:$F),0)</f>
        <v>16700</v>
      </c>
      <c r="E223" s="610"/>
      <c r="F223" s="610"/>
      <c r="G223" s="610"/>
      <c r="H223" s="610"/>
      <c r="I223" s="610"/>
      <c r="J223" s="610"/>
      <c r="K223" s="1683">
        <f t="shared" si="19"/>
        <v>16700</v>
      </c>
      <c r="L223" s="466">
        <v>17550</v>
      </c>
    </row>
    <row r="224" spans="1:14" x14ac:dyDescent="0.2">
      <c r="A224" s="1516" t="s">
        <v>1020</v>
      </c>
      <c r="B224" s="608">
        <v>1600</v>
      </c>
      <c r="C224" s="610"/>
      <c r="D224" s="1954">
        <f>ROUND(SUMIF(DATA!$A:$A,"50-"&amp;LEFT($B224,3)&amp;"*-"&amp;MID(D$1,2,1)&amp;"*",DATA!$F:$F),0)</f>
        <v>12</v>
      </c>
      <c r="E224" s="610"/>
      <c r="F224" s="610"/>
      <c r="G224" s="610"/>
      <c r="H224" s="610"/>
      <c r="I224" s="610"/>
      <c r="J224" s="610"/>
      <c r="K224" s="1683">
        <f t="shared" si="19"/>
        <v>12</v>
      </c>
      <c r="L224" s="466">
        <v>0</v>
      </c>
    </row>
    <row r="225" spans="1:12" x14ac:dyDescent="0.2">
      <c r="A225" s="1516" t="s">
        <v>1043</v>
      </c>
      <c r="B225" s="608">
        <v>1650</v>
      </c>
      <c r="C225" s="610"/>
      <c r="D225" s="1954">
        <f>ROUND(SUMIF(DATA!$A:$A,"50-"&amp;LEFT($B225,3)&amp;"*-"&amp;MID(D$1,2,1)&amp;"*",DATA!$F:$F),0)</f>
        <v>28</v>
      </c>
      <c r="E225" s="610"/>
      <c r="F225" s="610"/>
      <c r="G225" s="610"/>
      <c r="H225" s="610"/>
      <c r="I225" s="610"/>
      <c r="J225" s="610"/>
      <c r="K225" s="1683">
        <f t="shared" si="19"/>
        <v>28</v>
      </c>
      <c r="L225" s="466">
        <v>14</v>
      </c>
    </row>
    <row r="226" spans="1:12" x14ac:dyDescent="0.2">
      <c r="A226" s="1516" t="s">
        <v>747</v>
      </c>
      <c r="B226" s="608" t="s">
        <v>164</v>
      </c>
      <c r="C226" s="610"/>
      <c r="D226" s="1954">
        <f>ROUND(SUMIF(DATA!$A:$A,"50-"&amp;LEFT($B226,3)&amp;"*-"&amp;MID(D$1,2,1)&amp;"*",DATA!$F:$F),0)</f>
        <v>1704</v>
      </c>
      <c r="E226" s="610"/>
      <c r="F226" s="610"/>
      <c r="G226" s="610"/>
      <c r="H226" s="610"/>
      <c r="I226" s="610"/>
      <c r="J226" s="610"/>
      <c r="K226" s="1683">
        <f t="shared" si="19"/>
        <v>1704</v>
      </c>
      <c r="L226" s="466">
        <v>2240</v>
      </c>
    </row>
    <row r="227" spans="1:12" x14ac:dyDescent="0.2">
      <c r="A227" s="1516" t="s">
        <v>1147</v>
      </c>
      <c r="B227" s="608">
        <v>1800</v>
      </c>
      <c r="C227" s="610"/>
      <c r="D227" s="1954">
        <f>ROUND(SUMIF(DATA!$A:$A,"50-"&amp;LEFT($B227,3)&amp;"*-"&amp;MID(D$1,2,1)&amp;"*",DATA!$F:$F),0)</f>
        <v>70</v>
      </c>
      <c r="E227" s="610"/>
      <c r="F227" s="610"/>
      <c r="G227" s="610"/>
      <c r="H227" s="610"/>
      <c r="I227" s="610"/>
      <c r="J227" s="610"/>
      <c r="K227" s="1683">
        <f t="shared" si="19"/>
        <v>70</v>
      </c>
      <c r="L227" s="466">
        <v>22</v>
      </c>
    </row>
    <row r="228" spans="1:12" x14ac:dyDescent="0.2">
      <c r="A228" s="1516" t="s">
        <v>1148</v>
      </c>
      <c r="B228" s="608">
        <v>1900</v>
      </c>
      <c r="C228" s="610"/>
      <c r="D228" s="1954">
        <f>ROUND(SUMIF(DATA!$A:$A,"50-"&amp;LEFT($B228,3)&amp;"*-"&amp;MID(D$1,2,1)&amp;"*",DATA!$F:$F),0)</f>
        <v>0</v>
      </c>
      <c r="E228" s="610"/>
      <c r="F228" s="610"/>
      <c r="G228" s="610"/>
      <c r="H228" s="610"/>
      <c r="I228" s="610"/>
      <c r="J228" s="610"/>
      <c r="K228" s="1683">
        <f t="shared" si="19"/>
        <v>0</v>
      </c>
      <c r="L228" s="466">
        <v>0</v>
      </c>
    </row>
    <row r="229" spans="1:12" ht="12.75" customHeight="1" thickBot="1" x14ac:dyDescent="0.25">
      <c r="A229" s="1680" t="s">
        <v>738</v>
      </c>
      <c r="B229" s="1687" t="s">
        <v>590</v>
      </c>
      <c r="C229" s="610"/>
      <c r="D229" s="1682">
        <f>SUM(D215:D228)</f>
        <v>140907</v>
      </c>
      <c r="E229" s="610"/>
      <c r="F229" s="610"/>
      <c r="G229" s="610"/>
      <c r="H229" s="610"/>
      <c r="I229" s="610"/>
      <c r="J229" s="610"/>
      <c r="K229" s="1682">
        <f>SUM(K215:K228)</f>
        <v>140907</v>
      </c>
      <c r="L229" s="1682">
        <f>SUM(L215:L228)</f>
        <v>163316</v>
      </c>
    </row>
    <row r="230" spans="1:12" ht="15.75" customHeight="1" thickTop="1" x14ac:dyDescent="0.2">
      <c r="A230" s="1624" t="s">
        <v>928</v>
      </c>
      <c r="B230" s="1625" t="s">
        <v>589</v>
      </c>
      <c r="C230" s="610"/>
      <c r="D230" s="610"/>
      <c r="E230" s="610"/>
      <c r="F230" s="610"/>
      <c r="G230" s="610"/>
      <c r="H230" s="610"/>
      <c r="I230" s="610"/>
      <c r="J230" s="610"/>
      <c r="K230" s="610"/>
      <c r="L230" s="610"/>
    </row>
    <row r="231" spans="1:12" ht="15.75" customHeight="1" x14ac:dyDescent="0.2">
      <c r="A231" s="646" t="s">
        <v>611</v>
      </c>
      <c r="B231" s="616"/>
      <c r="C231" s="610"/>
      <c r="D231" s="610"/>
      <c r="E231" s="610"/>
      <c r="F231" s="610"/>
      <c r="G231" s="610"/>
      <c r="H231" s="610"/>
      <c r="I231" s="610"/>
      <c r="J231" s="610"/>
      <c r="K231" s="610"/>
      <c r="L231" s="610"/>
    </row>
    <row r="232" spans="1:12" x14ac:dyDescent="0.2">
      <c r="A232" s="1516" t="s">
        <v>1149</v>
      </c>
      <c r="B232" s="608">
        <v>2110</v>
      </c>
      <c r="C232" s="610"/>
      <c r="D232" s="1954">
        <f>ROUND(SUMIF(DATA!$A:$A,"50-"&amp;LEFT($B232,3)&amp;"*-"&amp;MID(D$1,2,1)&amp;"*",DATA!$F:$F),0)</f>
        <v>24274</v>
      </c>
      <c r="E232" s="610"/>
      <c r="F232" s="610"/>
      <c r="G232" s="610"/>
      <c r="H232" s="610"/>
      <c r="I232" s="610"/>
      <c r="J232" s="610"/>
      <c r="K232" s="1683">
        <f t="shared" ref="K232:K237" si="20">D232</f>
        <v>24274</v>
      </c>
      <c r="L232" s="466">
        <v>24400</v>
      </c>
    </row>
    <row r="233" spans="1:12" x14ac:dyDescent="0.2">
      <c r="A233" s="1516" t="s">
        <v>1150</v>
      </c>
      <c r="B233" s="608">
        <v>2120</v>
      </c>
      <c r="C233" s="610"/>
      <c r="D233" s="1954">
        <f>ROUND(SUMIF(DATA!$A:$A,"50-"&amp;LEFT($B233,3)&amp;"*-"&amp;MID(D$1,2,1)&amp;"*",DATA!$F:$F),0)</f>
        <v>11796</v>
      </c>
      <c r="E233" s="610"/>
      <c r="F233" s="610"/>
      <c r="G233" s="610"/>
      <c r="H233" s="610"/>
      <c r="I233" s="610"/>
      <c r="J233" s="610"/>
      <c r="K233" s="1683">
        <f t="shared" si="20"/>
        <v>11796</v>
      </c>
      <c r="L233" s="466">
        <v>11600</v>
      </c>
    </row>
    <row r="234" spans="1:12" x14ac:dyDescent="0.2">
      <c r="A234" s="1516" t="s">
        <v>207</v>
      </c>
      <c r="B234" s="608">
        <v>2130</v>
      </c>
      <c r="C234" s="610"/>
      <c r="D234" s="1954">
        <f>ROUND(SUMIF(DATA!$A:$A,"50-"&amp;LEFT($B234,3)&amp;"*-"&amp;MID(D$1,2,1)&amp;"*",DATA!$F:$F),0)</f>
        <v>633</v>
      </c>
      <c r="E234" s="610"/>
      <c r="F234" s="610"/>
      <c r="G234" s="610"/>
      <c r="H234" s="610"/>
      <c r="I234" s="610"/>
      <c r="J234" s="610"/>
      <c r="K234" s="1683">
        <f t="shared" si="20"/>
        <v>633</v>
      </c>
      <c r="L234" s="466">
        <v>1000</v>
      </c>
    </row>
    <row r="235" spans="1:12" x14ac:dyDescent="0.2">
      <c r="A235" s="1516" t="s">
        <v>208</v>
      </c>
      <c r="B235" s="608">
        <v>2140</v>
      </c>
      <c r="C235" s="610"/>
      <c r="D235" s="1954">
        <f>ROUND(SUMIF(DATA!$A:$A,"50-"&amp;LEFT($B235,3)&amp;"*-"&amp;MID(D$1,2,1)&amp;"*",DATA!$F:$F),0)</f>
        <v>5760</v>
      </c>
      <c r="E235" s="610"/>
      <c r="F235" s="610"/>
      <c r="G235" s="610"/>
      <c r="H235" s="610"/>
      <c r="I235" s="610"/>
      <c r="J235" s="610"/>
      <c r="K235" s="1683">
        <f t="shared" si="20"/>
        <v>5760</v>
      </c>
      <c r="L235" s="466">
        <v>9100</v>
      </c>
    </row>
    <row r="236" spans="1:12" x14ac:dyDescent="0.2">
      <c r="A236" s="1516" t="s">
        <v>209</v>
      </c>
      <c r="B236" s="608">
        <v>2150</v>
      </c>
      <c r="C236" s="610"/>
      <c r="D236" s="1954">
        <f>ROUND(SUMIF(DATA!$A:$A,"50-"&amp;LEFT($B236,3)&amp;"*-"&amp;MID(D$1,2,1)&amp;"*",DATA!$F:$F),0)</f>
        <v>651</v>
      </c>
      <c r="E236" s="610"/>
      <c r="F236" s="610"/>
      <c r="G236" s="610"/>
      <c r="H236" s="610"/>
      <c r="I236" s="610"/>
      <c r="J236" s="610"/>
      <c r="K236" s="1683">
        <f t="shared" si="20"/>
        <v>651</v>
      </c>
      <c r="L236" s="466">
        <v>700</v>
      </c>
    </row>
    <row r="237" spans="1:12" x14ac:dyDescent="0.2">
      <c r="A237" s="1516" t="s">
        <v>167</v>
      </c>
      <c r="B237" s="608">
        <v>2190</v>
      </c>
      <c r="C237" s="610"/>
      <c r="D237" s="1954">
        <f>ROUND(SUMIF(DATA!$A:$A,"50-"&amp;LEFT($B237,3)&amp;"*-"&amp;MID(D$1,2,1)&amp;"*",DATA!$F:$F),0)</f>
        <v>7298</v>
      </c>
      <c r="E237" s="610"/>
      <c r="F237" s="610"/>
      <c r="G237" s="610"/>
      <c r="H237" s="610"/>
      <c r="I237" s="610"/>
      <c r="J237" s="610"/>
      <c r="K237" s="1683">
        <f t="shared" si="20"/>
        <v>7298</v>
      </c>
      <c r="L237" s="466">
        <v>8850</v>
      </c>
    </row>
    <row r="238" spans="1:12" ht="12.75" customHeight="1" thickBot="1" x14ac:dyDescent="0.25">
      <c r="A238" s="1680" t="s">
        <v>580</v>
      </c>
      <c r="B238" s="1687" t="s">
        <v>739</v>
      </c>
      <c r="C238" s="610"/>
      <c r="D238" s="1682">
        <f>SUM(D232:D237)</f>
        <v>50412</v>
      </c>
      <c r="E238" s="610"/>
      <c r="F238" s="610"/>
      <c r="G238" s="610"/>
      <c r="H238" s="610"/>
      <c r="I238" s="610"/>
      <c r="J238" s="610"/>
      <c r="K238" s="1682">
        <f>SUM(K232:K237)</f>
        <v>50412</v>
      </c>
      <c r="L238" s="1682">
        <f>SUM(L232:L237)</f>
        <v>55650</v>
      </c>
    </row>
    <row r="239" spans="1:12" ht="15.75" customHeight="1" thickTop="1" x14ac:dyDescent="0.2">
      <c r="A239" s="618" t="s">
        <v>612</v>
      </c>
      <c r="B239" s="625"/>
      <c r="C239" s="610"/>
      <c r="D239" s="620"/>
      <c r="E239" s="610"/>
      <c r="F239" s="610"/>
      <c r="G239" s="610"/>
      <c r="H239" s="610"/>
      <c r="I239" s="610"/>
      <c r="J239" s="610"/>
      <c r="K239" s="620"/>
      <c r="L239" s="620"/>
    </row>
    <row r="240" spans="1:12" x14ac:dyDescent="0.2">
      <c r="A240" s="1516" t="s">
        <v>867</v>
      </c>
      <c r="B240" s="608">
        <v>2210</v>
      </c>
      <c r="C240" s="610"/>
      <c r="D240" s="1954">
        <f>ROUND(SUMIF(DATA!$A:$A,"50-"&amp;LEFT($B240,3)&amp;"*-"&amp;MID(D$1,2,1)&amp;"*",DATA!$F:$F),0)</f>
        <v>1012</v>
      </c>
      <c r="E240" s="610"/>
      <c r="F240" s="610"/>
      <c r="G240" s="610"/>
      <c r="H240" s="610"/>
      <c r="I240" s="610"/>
      <c r="J240" s="610"/>
      <c r="K240" s="1684">
        <f>D240</f>
        <v>1012</v>
      </c>
      <c r="L240" s="480">
        <v>50</v>
      </c>
    </row>
    <row r="241" spans="1:12" x14ac:dyDescent="0.2">
      <c r="A241" s="1516" t="s">
        <v>868</v>
      </c>
      <c r="B241" s="608">
        <v>2220</v>
      </c>
      <c r="C241" s="610"/>
      <c r="D241" s="1954">
        <f>ROUND(SUMIF(DATA!$A:$A,"50-"&amp;LEFT($B241,3)&amp;"*-"&amp;MID(D$1,2,1)&amp;"*",DATA!$F:$F),0)</f>
        <v>575</v>
      </c>
      <c r="E241" s="610"/>
      <c r="F241" s="610"/>
      <c r="G241" s="610"/>
      <c r="H241" s="610"/>
      <c r="I241" s="610"/>
      <c r="J241" s="610"/>
      <c r="K241" s="1684">
        <f>D241</f>
        <v>575</v>
      </c>
      <c r="L241" s="466">
        <v>600</v>
      </c>
    </row>
    <row r="242" spans="1:12" x14ac:dyDescent="0.2">
      <c r="A242" s="1516" t="s">
        <v>869</v>
      </c>
      <c r="B242" s="608">
        <v>2230</v>
      </c>
      <c r="C242" s="610"/>
      <c r="D242" s="1954">
        <f>ROUND(SUMIF(DATA!$A:$A,"50-"&amp;LEFT($B242,3)&amp;"*-"&amp;MID(D$1,2,1)&amp;"*",DATA!$F:$F),0)</f>
        <v>0</v>
      </c>
      <c r="E242" s="610"/>
      <c r="F242" s="610"/>
      <c r="G242" s="610"/>
      <c r="H242" s="610"/>
      <c r="I242" s="610"/>
      <c r="J242" s="610"/>
      <c r="K242" s="1684">
        <f>D242</f>
        <v>0</v>
      </c>
      <c r="L242" s="466">
        <v>0</v>
      </c>
    </row>
    <row r="243" spans="1:12" ht="12.75" customHeight="1" thickBot="1" x14ac:dyDescent="0.25">
      <c r="A243" s="1706" t="s">
        <v>581</v>
      </c>
      <c r="B243" s="1707">
        <v>2200</v>
      </c>
      <c r="C243" s="610"/>
      <c r="D243" s="1682">
        <f>SUM(D240:D242)</f>
        <v>1587</v>
      </c>
      <c r="E243" s="610"/>
      <c r="F243" s="610"/>
      <c r="G243" s="610"/>
      <c r="H243" s="610"/>
      <c r="I243" s="610"/>
      <c r="J243" s="610"/>
      <c r="K243" s="1682">
        <f>SUM(K240:K242)</f>
        <v>1587</v>
      </c>
      <c r="L243" s="1682">
        <f>SUM(L240:L242)</f>
        <v>650</v>
      </c>
    </row>
    <row r="244" spans="1:12" ht="15.75" customHeight="1" thickTop="1" x14ac:dyDescent="0.2">
      <c r="A244" s="618" t="s">
        <v>630</v>
      </c>
      <c r="B244" s="675"/>
      <c r="C244" s="610"/>
      <c r="D244" s="620"/>
      <c r="E244" s="610"/>
      <c r="F244" s="610"/>
      <c r="G244" s="610"/>
      <c r="H244" s="610"/>
      <c r="I244" s="610"/>
      <c r="J244" s="610"/>
      <c r="K244" s="620"/>
      <c r="L244" s="620"/>
    </row>
    <row r="245" spans="1:12" x14ac:dyDescent="0.2">
      <c r="A245" s="1516" t="s">
        <v>870</v>
      </c>
      <c r="B245" s="608">
        <v>2310</v>
      </c>
      <c r="C245" s="610"/>
      <c r="D245" s="1954">
        <f>ROUND(SUMIF(DATA!$A:$A,"50-"&amp;LEFT($B245,3)&amp;"*-"&amp;MID(D$1,2,1)&amp;"*",DATA!$F:$F),0)</f>
        <v>0</v>
      </c>
      <c r="E245" s="610"/>
      <c r="F245" s="610"/>
      <c r="G245" s="610"/>
      <c r="H245" s="610"/>
      <c r="I245" s="610"/>
      <c r="J245" s="610"/>
      <c r="K245" s="1684">
        <f>D245</f>
        <v>0</v>
      </c>
      <c r="L245" s="480">
        <v>0</v>
      </c>
    </row>
    <row r="246" spans="1:12" x14ac:dyDescent="0.2">
      <c r="A246" s="1516" t="s">
        <v>871</v>
      </c>
      <c r="B246" s="608">
        <v>2320</v>
      </c>
      <c r="C246" s="610"/>
      <c r="D246" s="1954">
        <f>ROUND(SUMIF(DATA!$A:$A,"50-"&amp;LEFT($B246,3)&amp;"*-"&amp;MID(D$1,2,1)&amp;"*",DATA!$F:$F),0)</f>
        <v>10467</v>
      </c>
      <c r="E246" s="610"/>
      <c r="F246" s="610"/>
      <c r="G246" s="610"/>
      <c r="H246" s="610"/>
      <c r="I246" s="610"/>
      <c r="J246" s="610"/>
      <c r="K246" s="1684">
        <f t="shared" ref="K246:K256" si="21">D246</f>
        <v>10467</v>
      </c>
      <c r="L246" s="466">
        <v>10950</v>
      </c>
    </row>
    <row r="247" spans="1:12" x14ac:dyDescent="0.2">
      <c r="A247" s="1516" t="s">
        <v>872</v>
      </c>
      <c r="B247" s="608">
        <v>2330</v>
      </c>
      <c r="C247" s="610"/>
      <c r="D247" s="1954">
        <f>ROUND(SUMIF(DATA!$A:$A,"50-"&amp;LEFT($B247,4)&amp;"*-"&amp;MID(D$1,2,1)&amp;"*",DATA!$F:$F),0)</f>
        <v>0</v>
      </c>
      <c r="E247" s="610"/>
      <c r="F247" s="610"/>
      <c r="G247" s="610"/>
      <c r="H247" s="610"/>
      <c r="I247" s="610"/>
      <c r="J247" s="610"/>
      <c r="K247" s="1684">
        <f t="shared" si="21"/>
        <v>0</v>
      </c>
      <c r="L247" s="466">
        <v>0</v>
      </c>
    </row>
    <row r="248" spans="1:12" x14ac:dyDescent="0.2">
      <c r="A248" s="1517" t="s">
        <v>316</v>
      </c>
      <c r="B248" s="596" t="s">
        <v>298</v>
      </c>
      <c r="C248" s="610"/>
      <c r="D248" s="1954">
        <f>ROUND(SUMIF(DATA!$A:$A,"50-"&amp;LEFT($B248,4)&amp;"*-"&amp;MID(D$1,2,1)&amp;"*",DATA!$F:$F),0)</f>
        <v>0</v>
      </c>
      <c r="E248" s="610"/>
      <c r="F248" s="610"/>
      <c r="G248" s="610"/>
      <c r="H248" s="610"/>
      <c r="I248" s="610"/>
      <c r="J248" s="610"/>
      <c r="K248" s="1684">
        <f t="shared" si="21"/>
        <v>0</v>
      </c>
      <c r="L248" s="466">
        <v>0</v>
      </c>
    </row>
    <row r="249" spans="1:12" x14ac:dyDescent="0.2">
      <c r="A249" s="1518" t="s">
        <v>1907</v>
      </c>
      <c r="B249" s="676" t="s">
        <v>299</v>
      </c>
      <c r="C249" s="610"/>
      <c r="D249" s="1954">
        <f>ROUND(SUMIF(DATA!$A:$A,"50-"&amp;LEFT($B249,4)&amp;"*-"&amp;MID(D$1,2,1)&amp;"*",DATA!$F:$F),0)</f>
        <v>0</v>
      </c>
      <c r="E249" s="610"/>
      <c r="F249" s="610"/>
      <c r="G249" s="610"/>
      <c r="H249" s="610"/>
      <c r="I249" s="610"/>
      <c r="J249" s="610"/>
      <c r="K249" s="1684">
        <f t="shared" si="21"/>
        <v>0</v>
      </c>
      <c r="L249" s="466">
        <v>0</v>
      </c>
    </row>
    <row r="250" spans="1:12" x14ac:dyDescent="0.2">
      <c r="A250" s="1517" t="s">
        <v>1908</v>
      </c>
      <c r="B250" s="596" t="s">
        <v>300</v>
      </c>
      <c r="C250" s="610"/>
      <c r="D250" s="1954">
        <f>ROUND(SUMIF(DATA!$A:$A,"50-"&amp;LEFT($B250,4)&amp;"*-"&amp;MID(D$1,2,1)&amp;"*",DATA!$F:$F),0)</f>
        <v>0</v>
      </c>
      <c r="E250" s="610"/>
      <c r="F250" s="610"/>
      <c r="G250" s="610"/>
      <c r="H250" s="610"/>
      <c r="I250" s="610"/>
      <c r="J250" s="610"/>
      <c r="K250" s="1684">
        <f t="shared" si="21"/>
        <v>0</v>
      </c>
      <c r="L250" s="466">
        <v>0</v>
      </c>
    </row>
    <row r="251" spans="1:12" x14ac:dyDescent="0.2">
      <c r="A251" s="1517" t="s">
        <v>256</v>
      </c>
      <c r="B251" s="596" t="s">
        <v>301</v>
      </c>
      <c r="C251" s="610"/>
      <c r="D251" s="1954">
        <f>ROUND(SUMIF(DATA!$A:$A,"50-"&amp;LEFT($B251,4)&amp;"*-"&amp;MID(D$1,2,1)&amp;"*",DATA!$F:$F),0)</f>
        <v>0</v>
      </c>
      <c r="E251" s="610"/>
      <c r="F251" s="610"/>
      <c r="G251" s="610"/>
      <c r="H251" s="610"/>
      <c r="I251" s="610"/>
      <c r="J251" s="610"/>
      <c r="K251" s="1684">
        <f t="shared" si="21"/>
        <v>0</v>
      </c>
      <c r="L251" s="466">
        <v>0</v>
      </c>
    </row>
    <row r="252" spans="1:12" x14ac:dyDescent="0.2">
      <c r="A252" s="1517" t="s">
        <v>725</v>
      </c>
      <c r="B252" s="596" t="s">
        <v>302</v>
      </c>
      <c r="C252" s="610"/>
      <c r="D252" s="1954">
        <f>ROUND(SUMIF(DATA!$A:$A,"50-"&amp;LEFT($B252,4)&amp;"*-"&amp;MID(D$1,2,1)&amp;"*",DATA!$F:$F),0)</f>
        <v>0</v>
      </c>
      <c r="E252" s="610"/>
      <c r="F252" s="610"/>
      <c r="G252" s="610"/>
      <c r="H252" s="610"/>
      <c r="I252" s="610"/>
      <c r="J252" s="610"/>
      <c r="K252" s="1684">
        <f t="shared" si="21"/>
        <v>0</v>
      </c>
      <c r="L252" s="466">
        <v>0</v>
      </c>
    </row>
    <row r="253" spans="1:12" x14ac:dyDescent="0.2">
      <c r="A253" s="1517" t="s">
        <v>257</v>
      </c>
      <c r="B253" s="596" t="s">
        <v>303</v>
      </c>
      <c r="C253" s="610"/>
      <c r="D253" s="1954">
        <f>ROUND(SUMIF(DATA!$A:$A,"50-"&amp;LEFT($B253,4)&amp;"*-"&amp;MID(D$1,2,1)&amp;"*",DATA!$F:$F),0)</f>
        <v>0</v>
      </c>
      <c r="E253" s="610"/>
      <c r="F253" s="610"/>
      <c r="G253" s="610"/>
      <c r="H253" s="610"/>
      <c r="I253" s="610"/>
      <c r="J253" s="610"/>
      <c r="K253" s="1684">
        <f t="shared" si="21"/>
        <v>0</v>
      </c>
      <c r="L253" s="466">
        <v>0</v>
      </c>
    </row>
    <row r="254" spans="1:12" ht="22.5" x14ac:dyDescent="0.2">
      <c r="A254" s="1517" t="s">
        <v>1086</v>
      </c>
      <c r="B254" s="676" t="s">
        <v>304</v>
      </c>
      <c r="C254" s="610"/>
      <c r="D254" s="1954">
        <f>ROUND(SUMIF(DATA!$A:$A,"50-"&amp;LEFT($B254,4)&amp;"*-"&amp;MID(D$1,2,1)&amp;"*",DATA!$F:$F),0)</f>
        <v>21983</v>
      </c>
      <c r="E254" s="610"/>
      <c r="F254" s="610"/>
      <c r="G254" s="610"/>
      <c r="H254" s="610"/>
      <c r="I254" s="610"/>
      <c r="J254" s="610"/>
      <c r="K254" s="1684">
        <f t="shared" si="21"/>
        <v>21983</v>
      </c>
      <c r="L254" s="466">
        <v>0</v>
      </c>
    </row>
    <row r="255" spans="1:12" x14ac:dyDescent="0.2">
      <c r="A255" s="1517" t="s">
        <v>1087</v>
      </c>
      <c r="B255" s="596" t="s">
        <v>305</v>
      </c>
      <c r="C255" s="610"/>
      <c r="D255" s="1954">
        <f>ROUND(SUMIF(DATA!$A:$A,"50-"&amp;LEFT($B255,4)&amp;"*-"&amp;MID(D$1,2,1)&amp;"*",DATA!$F:$F),0)</f>
        <v>0</v>
      </c>
      <c r="E255" s="610"/>
      <c r="F255" s="610"/>
      <c r="G255" s="610"/>
      <c r="H255" s="610"/>
      <c r="I255" s="610"/>
      <c r="J255" s="610"/>
      <c r="K255" s="1684">
        <f t="shared" si="21"/>
        <v>0</v>
      </c>
      <c r="L255" s="466">
        <v>0</v>
      </c>
    </row>
    <row r="256" spans="1:12" x14ac:dyDescent="0.2">
      <c r="A256" s="1517" t="s">
        <v>1027</v>
      </c>
      <c r="B256" s="608" t="s">
        <v>306</v>
      </c>
      <c r="C256" s="610"/>
      <c r="D256" s="1954">
        <f>ROUND(SUMIF(DATA!$A:$A,"50-"&amp;LEFT($B256,4)&amp;"*-"&amp;MID(D$1,2,1)&amp;"*",DATA!$F:$F),0)</f>
        <v>0</v>
      </c>
      <c r="E256" s="610"/>
      <c r="F256" s="610"/>
      <c r="G256" s="610"/>
      <c r="H256" s="610"/>
      <c r="I256" s="610"/>
      <c r="J256" s="610"/>
      <c r="K256" s="1684">
        <f t="shared" si="21"/>
        <v>0</v>
      </c>
      <c r="L256" s="466">
        <v>0</v>
      </c>
    </row>
    <row r="257" spans="1:14" ht="12.75" customHeight="1" thickBot="1" x14ac:dyDescent="0.25">
      <c r="A257" s="1680" t="s">
        <v>740</v>
      </c>
      <c r="B257" s="1708">
        <v>2300</v>
      </c>
      <c r="C257" s="610"/>
      <c r="D257" s="1682">
        <f>SUM(D245:D256)</f>
        <v>32450</v>
      </c>
      <c r="E257" s="610"/>
      <c r="F257" s="610"/>
      <c r="G257" s="610"/>
      <c r="H257" s="610"/>
      <c r="I257" s="610"/>
      <c r="J257" s="610"/>
      <c r="K257" s="1682">
        <f>SUM(K245:K256)</f>
        <v>32450</v>
      </c>
      <c r="L257" s="1682">
        <f>SUM(L245:L256)</f>
        <v>10950</v>
      </c>
    </row>
    <row r="258" spans="1:14" ht="15.75" customHeight="1" thickTop="1" x14ac:dyDescent="0.2">
      <c r="A258" s="618" t="s">
        <v>631</v>
      </c>
      <c r="B258" s="677"/>
      <c r="C258" s="610"/>
      <c r="D258" s="620"/>
      <c r="E258" s="610"/>
      <c r="F258" s="610"/>
      <c r="G258" s="610"/>
      <c r="H258" s="610"/>
      <c r="I258" s="610"/>
      <c r="J258" s="610"/>
      <c r="K258" s="620"/>
      <c r="L258" s="620"/>
    </row>
    <row r="259" spans="1:14" x14ac:dyDescent="0.2">
      <c r="A259" s="1516" t="s">
        <v>1126</v>
      </c>
      <c r="B259" s="678">
        <v>2410</v>
      </c>
      <c r="C259" s="610"/>
      <c r="D259" s="1954">
        <f>ROUND(SUMIF(DATA!$A:$A,"50-"&amp;LEFT($B259,4)&amp;"*-"&amp;MID(D$1,2,1)&amp;"*",DATA!$F:$F),0)</f>
        <v>15255</v>
      </c>
      <c r="E259" s="610"/>
      <c r="F259" s="610"/>
      <c r="G259" s="610"/>
      <c r="H259" s="610"/>
      <c r="I259" s="610"/>
      <c r="J259" s="610"/>
      <c r="K259" s="1684">
        <f>D259</f>
        <v>15255</v>
      </c>
      <c r="L259" s="480">
        <v>14100</v>
      </c>
    </row>
    <row r="260" spans="1:14" s="591" customFormat="1" x14ac:dyDescent="0.2">
      <c r="A260" s="1534" t="s">
        <v>1906</v>
      </c>
      <c r="B260" s="622">
        <v>2490</v>
      </c>
      <c r="C260" s="610"/>
      <c r="D260" s="1954">
        <f>ROUND(SUMIF(DATA!$A:$A,"50-"&amp;LEFT($B260,4)&amp;"*-"&amp;MID(D$1,2,1)&amp;"*",DATA!$F:$F),0)</f>
        <v>0</v>
      </c>
      <c r="E260" s="610"/>
      <c r="F260" s="610"/>
      <c r="G260" s="610"/>
      <c r="H260" s="610"/>
      <c r="I260" s="610"/>
      <c r="J260" s="610"/>
      <c r="K260" s="1684">
        <f>D260</f>
        <v>0</v>
      </c>
      <c r="L260" s="466">
        <v>0</v>
      </c>
      <c r="M260" s="210"/>
      <c r="N260" s="210"/>
    </row>
    <row r="261" spans="1:14" ht="12.75" customHeight="1" thickBot="1" x14ac:dyDescent="0.25">
      <c r="A261" s="1704" t="s">
        <v>281</v>
      </c>
      <c r="B261" s="1709" t="s">
        <v>34</v>
      </c>
      <c r="C261" s="610"/>
      <c r="D261" s="1682">
        <f>SUM(D259:D260)</f>
        <v>15255</v>
      </c>
      <c r="E261" s="610"/>
      <c r="F261" s="610"/>
      <c r="G261" s="610"/>
      <c r="H261" s="610"/>
      <c r="I261" s="610"/>
      <c r="J261" s="610"/>
      <c r="K261" s="1682">
        <f>SUM(K259:K260)</f>
        <v>15255</v>
      </c>
      <c r="L261" s="1682">
        <f>SUM(L259:L260)</f>
        <v>14100</v>
      </c>
    </row>
    <row r="262" spans="1:14" ht="15.75" customHeight="1" thickTop="1" x14ac:dyDescent="0.2">
      <c r="A262" s="618" t="s">
        <v>632</v>
      </c>
      <c r="B262" s="677"/>
      <c r="C262" s="610"/>
      <c r="D262" s="610"/>
      <c r="E262" s="610"/>
      <c r="F262" s="610"/>
      <c r="G262" s="610"/>
      <c r="H262" s="610"/>
      <c r="I262" s="610"/>
      <c r="J262" s="610"/>
      <c r="K262" s="620"/>
      <c r="L262" s="620"/>
    </row>
    <row r="263" spans="1:14" x14ac:dyDescent="0.2">
      <c r="A263" s="1516" t="s">
        <v>1127</v>
      </c>
      <c r="B263" s="678">
        <v>2510</v>
      </c>
      <c r="C263" s="610"/>
      <c r="D263" s="1954">
        <f>ROUND(SUMIF(DATA!$A:$A,"50-"&amp;LEFT($B263,4)&amp;"*-"&amp;MID(D$1,2,1)&amp;"*",DATA!$F:$F),0)</f>
        <v>0</v>
      </c>
      <c r="E263" s="610"/>
      <c r="F263" s="610"/>
      <c r="G263" s="610"/>
      <c r="H263" s="610"/>
      <c r="I263" s="610"/>
      <c r="J263" s="610"/>
      <c r="K263" s="1684">
        <f>D263</f>
        <v>0</v>
      </c>
      <c r="L263" s="480">
        <v>0</v>
      </c>
    </row>
    <row r="264" spans="1:14" x14ac:dyDescent="0.2">
      <c r="A264" s="1516" t="s">
        <v>482</v>
      </c>
      <c r="B264" s="678">
        <v>2520</v>
      </c>
      <c r="C264" s="610"/>
      <c r="D264" s="1954">
        <f>ROUND(SUMIF(DATA!$A:$A,"50-"&amp;LEFT($B264,4)&amp;"*-"&amp;MID(D$1,2,1)&amp;"*",DATA!$F:$F),0)</f>
        <v>27914</v>
      </c>
      <c r="E264" s="610"/>
      <c r="F264" s="610"/>
      <c r="G264" s="610"/>
      <c r="H264" s="610"/>
      <c r="I264" s="610"/>
      <c r="J264" s="610"/>
      <c r="K264" s="1684">
        <f t="shared" ref="K264:K269" si="22">D264</f>
        <v>27914</v>
      </c>
      <c r="L264" s="466">
        <v>29200</v>
      </c>
    </row>
    <row r="265" spans="1:14" x14ac:dyDescent="0.2">
      <c r="A265" s="1516" t="s">
        <v>4</v>
      </c>
      <c r="B265" s="608">
        <v>2530</v>
      </c>
      <c r="C265" s="610"/>
      <c r="D265" s="1954">
        <f>ROUND(SUMIF(DATA!$A:$A,"50-"&amp;LEFT($B265,4)&amp;"*-"&amp;MID(D$1,2,1)&amp;"*",DATA!$F:$F),0)</f>
        <v>0</v>
      </c>
      <c r="E265" s="610"/>
      <c r="F265" s="610"/>
      <c r="G265" s="610"/>
      <c r="H265" s="610"/>
      <c r="I265" s="610"/>
      <c r="J265" s="610"/>
      <c r="K265" s="1684">
        <f t="shared" si="22"/>
        <v>0</v>
      </c>
      <c r="L265" s="466">
        <v>0</v>
      </c>
    </row>
    <row r="266" spans="1:14" x14ac:dyDescent="0.2">
      <c r="A266" s="1516" t="s">
        <v>206</v>
      </c>
      <c r="B266" s="608">
        <v>2540</v>
      </c>
      <c r="C266" s="610"/>
      <c r="D266" s="1954">
        <f>ROUND(SUMIF(DATA!$A:$A,"50-"&amp;LEFT($B266,4)&amp;"*-"&amp;MID(D$1,2,1)&amp;"*",DATA!$F:$F),0)</f>
        <v>145509</v>
      </c>
      <c r="E266" s="610"/>
      <c r="F266" s="610"/>
      <c r="G266" s="610"/>
      <c r="H266" s="610"/>
      <c r="I266" s="610"/>
      <c r="J266" s="610"/>
      <c r="K266" s="1684">
        <f t="shared" si="22"/>
        <v>145509</v>
      </c>
      <c r="L266" s="466">
        <v>171500</v>
      </c>
    </row>
    <row r="267" spans="1:14" x14ac:dyDescent="0.2">
      <c r="A267" s="1516" t="s">
        <v>1009</v>
      </c>
      <c r="B267" s="608">
        <v>2550</v>
      </c>
      <c r="C267" s="610"/>
      <c r="D267" s="1954">
        <f>ROUND(SUMIF(DATA!$A:$A,"50-"&amp;LEFT($B267,4)&amp;"*-"&amp;MID(D$1,2,1)&amp;"*",DATA!$F:$F),0)</f>
        <v>87</v>
      </c>
      <c r="E267" s="610"/>
      <c r="F267" s="610"/>
      <c r="G267" s="610"/>
      <c r="H267" s="610"/>
      <c r="I267" s="610"/>
      <c r="J267" s="610"/>
      <c r="K267" s="1684">
        <f t="shared" si="22"/>
        <v>87</v>
      </c>
      <c r="L267" s="466">
        <v>85</v>
      </c>
    </row>
    <row r="268" spans="1:14" x14ac:dyDescent="0.2">
      <c r="A268" s="1516" t="s">
        <v>102</v>
      </c>
      <c r="B268" s="608">
        <v>2560</v>
      </c>
      <c r="C268" s="610"/>
      <c r="D268" s="1954">
        <f>ROUND(SUMIF(DATA!$A:$A,"50-"&amp;LEFT($B268,4)&amp;"*-"&amp;MID(D$1,2,1)&amp;"*",DATA!$F:$F),0)</f>
        <v>0</v>
      </c>
      <c r="E268" s="610"/>
      <c r="F268" s="610"/>
      <c r="G268" s="610"/>
      <c r="H268" s="610"/>
      <c r="I268" s="610"/>
      <c r="J268" s="610"/>
      <c r="K268" s="1684">
        <f t="shared" si="22"/>
        <v>0</v>
      </c>
      <c r="L268" s="466">
        <v>0</v>
      </c>
    </row>
    <row r="269" spans="1:14" x14ac:dyDescent="0.2">
      <c r="A269" s="1516" t="s">
        <v>103</v>
      </c>
      <c r="B269" s="608">
        <v>2570</v>
      </c>
      <c r="C269" s="610"/>
      <c r="D269" s="1954">
        <f>ROUND(SUMIF(DATA!$A:$A,"50-"&amp;LEFT($B269,4)&amp;"*-"&amp;MID(D$1,2,1)&amp;"*",DATA!$F:$F),0)</f>
        <v>0</v>
      </c>
      <c r="E269" s="610"/>
      <c r="F269" s="610"/>
      <c r="G269" s="610"/>
      <c r="H269" s="610"/>
      <c r="I269" s="610"/>
      <c r="J269" s="610"/>
      <c r="K269" s="1684">
        <f t="shared" si="22"/>
        <v>0</v>
      </c>
      <c r="L269" s="466">
        <v>0</v>
      </c>
    </row>
    <row r="270" spans="1:14" ht="12.75" customHeight="1" thickBot="1" x14ac:dyDescent="0.25">
      <c r="A270" s="1680" t="s">
        <v>742</v>
      </c>
      <c r="B270" s="1687" t="s">
        <v>35</v>
      </c>
      <c r="C270" s="610"/>
      <c r="D270" s="1682">
        <f>SUM(D263:D269)</f>
        <v>173510</v>
      </c>
      <c r="E270" s="610"/>
      <c r="F270" s="610"/>
      <c r="G270" s="610"/>
      <c r="H270" s="610"/>
      <c r="I270" s="610"/>
      <c r="J270" s="610"/>
      <c r="K270" s="1682">
        <f>SUM(K263:K269)</f>
        <v>173510</v>
      </c>
      <c r="L270" s="1682">
        <f>SUM(L263:L269)</f>
        <v>200785</v>
      </c>
    </row>
    <row r="271" spans="1:14" ht="15.75" customHeight="1" thickTop="1" x14ac:dyDescent="0.2">
      <c r="A271" s="662" t="s">
        <v>633</v>
      </c>
      <c r="B271" s="619"/>
      <c r="C271" s="610"/>
      <c r="D271" s="620"/>
      <c r="E271" s="610"/>
      <c r="F271" s="610"/>
      <c r="G271" s="610"/>
      <c r="H271" s="610"/>
      <c r="I271" s="610"/>
      <c r="J271" s="610"/>
      <c r="K271" s="620"/>
      <c r="L271" s="620"/>
    </row>
    <row r="272" spans="1:14" x14ac:dyDescent="0.2">
      <c r="A272" s="1516" t="s">
        <v>1119</v>
      </c>
      <c r="B272" s="608">
        <v>2610</v>
      </c>
      <c r="C272" s="610"/>
      <c r="D272" s="1954">
        <f>ROUND(SUMIF(DATA!$A:$A,"50-"&amp;LEFT($B272,4)&amp;"*-"&amp;MID(D$1,2,1)&amp;"*",DATA!$F:$F),0)</f>
        <v>0</v>
      </c>
      <c r="E272" s="610"/>
      <c r="F272" s="610"/>
      <c r="G272" s="610"/>
      <c r="H272" s="610"/>
      <c r="I272" s="610"/>
      <c r="J272" s="610"/>
      <c r="K272" s="1684">
        <f>D272</f>
        <v>0</v>
      </c>
      <c r="L272" s="480">
        <v>0</v>
      </c>
    </row>
    <row r="273" spans="1:12" x14ac:dyDescent="0.2">
      <c r="A273" s="1516" t="s">
        <v>627</v>
      </c>
      <c r="B273" s="622">
        <v>2620</v>
      </c>
      <c r="C273" s="610"/>
      <c r="D273" s="1954">
        <f>ROUND(SUMIF(DATA!$A:$A,"50-"&amp;LEFT($B273,4)&amp;"*-"&amp;MID(D$1,2,1)&amp;"*",DATA!$F:$F),0)</f>
        <v>0</v>
      </c>
      <c r="E273" s="610"/>
      <c r="F273" s="610"/>
      <c r="G273" s="610"/>
      <c r="H273" s="610"/>
      <c r="I273" s="610"/>
      <c r="J273" s="610"/>
      <c r="K273" s="1684">
        <f>D273</f>
        <v>0</v>
      </c>
      <c r="L273" s="466">
        <v>0</v>
      </c>
    </row>
    <row r="274" spans="1:12" ht="12" customHeight="1" x14ac:dyDescent="0.2">
      <c r="A274" s="1516" t="s">
        <v>1120</v>
      </c>
      <c r="B274" s="608">
        <v>2630</v>
      </c>
      <c r="C274" s="610"/>
      <c r="D274" s="1954">
        <f>ROUND(SUMIF(DATA!$A:$A,"50-"&amp;LEFT($B274,4)&amp;"*-"&amp;MID(D$1,2,1)&amp;"*",DATA!$F:$F),0)</f>
        <v>0</v>
      </c>
      <c r="E274" s="610"/>
      <c r="F274" s="610"/>
      <c r="G274" s="610"/>
      <c r="H274" s="610"/>
      <c r="I274" s="610"/>
      <c r="J274" s="610"/>
      <c r="K274" s="1684">
        <f>D274</f>
        <v>0</v>
      </c>
      <c r="L274" s="466">
        <v>0</v>
      </c>
    </row>
    <row r="275" spans="1:12" x14ac:dyDescent="0.2">
      <c r="A275" s="1516" t="s">
        <v>422</v>
      </c>
      <c r="B275" s="608">
        <v>2640</v>
      </c>
      <c r="C275" s="610"/>
      <c r="D275" s="1954">
        <f>ROUND(SUMIF(DATA!$A:$A,"50-"&amp;LEFT($B275,4)&amp;"*-"&amp;MID(D$1,2,1)&amp;"*",DATA!$F:$F),0)</f>
        <v>0</v>
      </c>
      <c r="E275" s="610"/>
      <c r="F275" s="610"/>
      <c r="G275" s="610"/>
      <c r="H275" s="610"/>
      <c r="I275" s="610"/>
      <c r="J275" s="610"/>
      <c r="K275" s="1684">
        <f>D275</f>
        <v>0</v>
      </c>
      <c r="L275" s="466">
        <v>0</v>
      </c>
    </row>
    <row r="276" spans="1:12" x14ac:dyDescent="0.2">
      <c r="A276" s="1516" t="s">
        <v>423</v>
      </c>
      <c r="B276" s="608">
        <v>2660</v>
      </c>
      <c r="C276" s="610"/>
      <c r="D276" s="1954">
        <f>ROUND(SUMIF(DATA!$A:$A,"50-"&amp;LEFT($B276,4)&amp;"*-"&amp;MID(D$1,2,1)&amp;"*",DATA!$F:$F),0)</f>
        <v>26875</v>
      </c>
      <c r="E276" s="610"/>
      <c r="F276" s="610"/>
      <c r="G276" s="610"/>
      <c r="H276" s="610"/>
      <c r="I276" s="610"/>
      <c r="J276" s="610"/>
      <c r="K276" s="1684">
        <f>D276</f>
        <v>26875</v>
      </c>
      <c r="L276" s="466">
        <v>25650</v>
      </c>
    </row>
    <row r="277" spans="1:12" ht="12.75" customHeight="1" thickBot="1" x14ac:dyDescent="0.25">
      <c r="A277" s="1703" t="s">
        <v>37</v>
      </c>
      <c r="B277" s="1681" t="s">
        <v>36</v>
      </c>
      <c r="C277" s="610"/>
      <c r="D277" s="1682">
        <f>SUM(D272:D276)</f>
        <v>26875</v>
      </c>
      <c r="E277" s="610"/>
      <c r="F277" s="610"/>
      <c r="G277" s="610"/>
      <c r="H277" s="610"/>
      <c r="I277" s="610"/>
      <c r="J277" s="610"/>
      <c r="K277" s="1682">
        <f>SUM(K272:K276)</f>
        <v>26875</v>
      </c>
      <c r="L277" s="1682">
        <f>SUM(L272:L276)</f>
        <v>25650</v>
      </c>
    </row>
    <row r="278" spans="1:12" ht="13.5" customHeight="1" thickTop="1" x14ac:dyDescent="0.2">
      <c r="A278" s="1522" t="s">
        <v>1036</v>
      </c>
      <c r="B278" s="648" t="s">
        <v>594</v>
      </c>
      <c r="C278" s="610"/>
      <c r="D278" s="466">
        <f>SUMIF(DATA!$A:$A,"50-"&amp;$B278&amp;"-2*",DATA!$F:$F)</f>
        <v>0</v>
      </c>
      <c r="E278" s="610"/>
      <c r="F278" s="610"/>
      <c r="G278" s="610"/>
      <c r="H278" s="610"/>
      <c r="I278" s="610"/>
      <c r="J278" s="610"/>
      <c r="K278" s="1697">
        <f>D278</f>
        <v>0</v>
      </c>
      <c r="L278" s="649">
        <v>0</v>
      </c>
    </row>
    <row r="279" spans="1:12" ht="12.75" customHeight="1" thickBot="1" x14ac:dyDescent="0.25">
      <c r="A279" s="1710" t="s">
        <v>864</v>
      </c>
      <c r="B279" s="1693">
        <v>2000</v>
      </c>
      <c r="C279" s="610"/>
      <c r="D279" s="1689">
        <f>SUM(D238,D243,D257,D261,D270,D277,D278)</f>
        <v>300089</v>
      </c>
      <c r="E279" s="610"/>
      <c r="F279" s="610"/>
      <c r="G279" s="610"/>
      <c r="H279" s="610"/>
      <c r="I279" s="610"/>
      <c r="J279" s="610"/>
      <c r="K279" s="1689">
        <f>SUM(K238,K243,K257,K261,K270,K277,K278)</f>
        <v>300089</v>
      </c>
      <c r="L279" s="1689">
        <f>SUM(L238,L243,L257,L261,L270,L277,L278)</f>
        <v>307785</v>
      </c>
    </row>
    <row r="280" spans="1:12" ht="15.75" customHeight="1" thickTop="1" thickBot="1" x14ac:dyDescent="0.25">
      <c r="A280" s="1636" t="s">
        <v>929</v>
      </c>
      <c r="B280" s="1625">
        <v>3000</v>
      </c>
      <c r="C280" s="610"/>
      <c r="D280" s="1954">
        <f>ROUND(SUMIF(DATA!$A:$A,"50-"&amp;LEFT($B280,4)&amp;"*-"&amp;MID(D$1,2,1)&amp;"*",DATA!$F:$F),0)</f>
        <v>152</v>
      </c>
      <c r="E280" s="610"/>
      <c r="F280" s="610"/>
      <c r="G280" s="610"/>
      <c r="H280" s="610"/>
      <c r="I280" s="610"/>
      <c r="J280" s="610"/>
      <c r="K280" s="1691">
        <f>D280</f>
        <v>152</v>
      </c>
      <c r="L280" s="572">
        <v>100</v>
      </c>
    </row>
    <row r="281" spans="1:12" ht="15.75" customHeight="1" thickTop="1" x14ac:dyDescent="0.2">
      <c r="A281" s="1626" t="s">
        <v>144</v>
      </c>
      <c r="B281" s="1627" t="s">
        <v>914</v>
      </c>
      <c r="C281" s="610"/>
      <c r="D281" s="563"/>
      <c r="E281" s="610"/>
      <c r="F281" s="610"/>
      <c r="G281" s="610"/>
      <c r="H281" s="610"/>
      <c r="I281" s="610"/>
      <c r="J281" s="610"/>
      <c r="K281" s="610"/>
      <c r="L281" s="610"/>
    </row>
    <row r="282" spans="1:12" ht="15.75" customHeight="1" x14ac:dyDescent="0.2">
      <c r="A282" s="1843" t="s">
        <v>516</v>
      </c>
      <c r="B282" s="683" t="s">
        <v>1956</v>
      </c>
      <c r="C282" s="610"/>
      <c r="D282" s="466">
        <f>SUMIF(DATA!$A:$A,"50-"&amp;$B282&amp;"-2*",DATA!$F:$F)</f>
        <v>0</v>
      </c>
      <c r="E282" s="610"/>
      <c r="F282" s="610"/>
      <c r="G282" s="610"/>
      <c r="H282" s="610"/>
      <c r="I282" s="610"/>
      <c r="J282" s="610"/>
      <c r="K282" s="1683">
        <f>D282</f>
        <v>0</v>
      </c>
      <c r="L282" s="467">
        <v>0</v>
      </c>
    </row>
    <row r="283" spans="1:12" x14ac:dyDescent="0.2">
      <c r="A283" s="1516" t="s">
        <v>321</v>
      </c>
      <c r="B283" s="608">
        <v>4120</v>
      </c>
      <c r="C283" s="610"/>
      <c r="D283" s="466">
        <f>SUMIF(DATA!$A:$A,"50-"&amp;$B283&amp;"-2*",DATA!$F:$F)</f>
        <v>0</v>
      </c>
      <c r="E283" s="610"/>
      <c r="F283" s="610"/>
      <c r="G283" s="610"/>
      <c r="H283" s="610"/>
      <c r="I283" s="610"/>
      <c r="J283" s="610"/>
      <c r="K283" s="1683">
        <f>D283</f>
        <v>0</v>
      </c>
      <c r="L283" s="466">
        <v>0</v>
      </c>
    </row>
    <row r="284" spans="1:12" x14ac:dyDescent="0.2">
      <c r="A284" s="1516" t="s">
        <v>720</v>
      </c>
      <c r="B284" s="608">
        <v>4140</v>
      </c>
      <c r="C284" s="610"/>
      <c r="D284" s="466">
        <f>SUMIF(DATA!$A:$A,"50-"&amp;$B284&amp;"-2*",DATA!$F:$F)</f>
        <v>0</v>
      </c>
      <c r="E284" s="610"/>
      <c r="F284" s="610"/>
      <c r="G284" s="610"/>
      <c r="H284" s="610"/>
      <c r="I284" s="610"/>
      <c r="J284" s="610"/>
      <c r="K284" s="1683">
        <f>D284</f>
        <v>0</v>
      </c>
      <c r="L284" s="466">
        <v>0</v>
      </c>
    </row>
    <row r="285" spans="1:12" ht="12.75" customHeight="1" thickBot="1" x14ac:dyDescent="0.25">
      <c r="A285" s="1680" t="s">
        <v>1566</v>
      </c>
      <c r="B285" s="1681" t="s">
        <v>914</v>
      </c>
      <c r="C285" s="610"/>
      <c r="D285" s="1682">
        <f>SUM(D282:D284)</f>
        <v>0</v>
      </c>
      <c r="E285" s="610"/>
      <c r="F285" s="610"/>
      <c r="G285" s="610"/>
      <c r="H285" s="610"/>
      <c r="I285" s="610"/>
      <c r="J285" s="610"/>
      <c r="K285" s="1682">
        <f>SUM(K282:K284)</f>
        <v>0</v>
      </c>
      <c r="L285" s="1682">
        <f>SUM(L282:L284)</f>
        <v>0</v>
      </c>
    </row>
    <row r="286" spans="1:12" ht="15.75" customHeight="1" thickTop="1" x14ac:dyDescent="0.2">
      <c r="A286" s="1624" t="s">
        <v>930</v>
      </c>
      <c r="B286" s="1621" t="s">
        <v>512</v>
      </c>
      <c r="C286" s="610"/>
      <c r="D286" s="610"/>
      <c r="E286" s="610"/>
      <c r="F286" s="610"/>
      <c r="G286" s="610"/>
      <c r="H286" s="610"/>
      <c r="I286" s="610"/>
      <c r="J286" s="610"/>
      <c r="K286" s="610"/>
      <c r="L286" s="610"/>
    </row>
    <row r="287" spans="1:12" ht="15.75" customHeight="1" x14ac:dyDescent="0.2">
      <c r="A287" s="646" t="s">
        <v>95</v>
      </c>
      <c r="B287" s="616"/>
      <c r="C287" s="610"/>
      <c r="D287" s="610"/>
      <c r="E287" s="610"/>
      <c r="F287" s="610"/>
      <c r="G287" s="610"/>
      <c r="H287" s="617"/>
      <c r="I287" s="610"/>
      <c r="J287" s="610"/>
      <c r="K287" s="610"/>
      <c r="L287" s="610"/>
    </row>
    <row r="288" spans="1:12" x14ac:dyDescent="0.2">
      <c r="A288" s="1516" t="s">
        <v>89</v>
      </c>
      <c r="B288" s="608">
        <v>5110</v>
      </c>
      <c r="C288" s="610"/>
      <c r="D288" s="610"/>
      <c r="E288" s="610"/>
      <c r="F288" s="610"/>
      <c r="G288" s="610"/>
      <c r="H288" s="466"/>
      <c r="I288" s="610"/>
      <c r="J288" s="610"/>
      <c r="K288" s="1683">
        <f>H288</f>
        <v>0</v>
      </c>
      <c r="L288" s="466">
        <v>0</v>
      </c>
    </row>
    <row r="289" spans="1:14" x14ac:dyDescent="0.2">
      <c r="A289" s="1516" t="s">
        <v>90</v>
      </c>
      <c r="B289" s="608">
        <v>5120</v>
      </c>
      <c r="C289" s="610"/>
      <c r="D289" s="610"/>
      <c r="E289" s="610"/>
      <c r="F289" s="610"/>
      <c r="G289" s="610"/>
      <c r="H289" s="466"/>
      <c r="I289" s="610"/>
      <c r="J289" s="610"/>
      <c r="K289" s="1683">
        <f>H289</f>
        <v>0</v>
      </c>
      <c r="L289" s="466">
        <v>0</v>
      </c>
    </row>
    <row r="290" spans="1:14" ht="12.75" customHeight="1" x14ac:dyDescent="0.2">
      <c r="A290" s="1516" t="s">
        <v>1231</v>
      </c>
      <c r="B290" s="622" t="s">
        <v>637</v>
      </c>
      <c r="C290" s="610"/>
      <c r="D290" s="610"/>
      <c r="E290" s="610"/>
      <c r="F290" s="610"/>
      <c r="G290" s="610"/>
      <c r="H290" s="466"/>
      <c r="I290" s="610"/>
      <c r="J290" s="610"/>
      <c r="K290" s="1683">
        <f>H290</f>
        <v>0</v>
      </c>
      <c r="L290" s="466">
        <v>0</v>
      </c>
    </row>
    <row r="291" spans="1:14" x14ac:dyDescent="0.2">
      <c r="A291" s="1516" t="s">
        <v>91</v>
      </c>
      <c r="B291" s="608" t="s">
        <v>609</v>
      </c>
      <c r="C291" s="610"/>
      <c r="D291" s="610"/>
      <c r="E291" s="610"/>
      <c r="F291" s="610"/>
      <c r="G291" s="610"/>
      <c r="H291" s="466"/>
      <c r="I291" s="610"/>
      <c r="J291" s="610"/>
      <c r="K291" s="1683">
        <f>H291</f>
        <v>0</v>
      </c>
      <c r="L291" s="466">
        <v>0</v>
      </c>
    </row>
    <row r="292" spans="1:14" x14ac:dyDescent="0.2">
      <c r="A292" s="1516" t="s">
        <v>785</v>
      </c>
      <c r="B292" s="608" t="s">
        <v>638</v>
      </c>
      <c r="C292" s="610"/>
      <c r="D292" s="610"/>
      <c r="E292" s="610"/>
      <c r="F292" s="610"/>
      <c r="G292" s="610"/>
      <c r="H292" s="466"/>
      <c r="I292" s="610"/>
      <c r="J292" s="610"/>
      <c r="K292" s="1683">
        <f>H292</f>
        <v>0</v>
      </c>
      <c r="L292" s="466">
        <v>0</v>
      </c>
    </row>
    <row r="293" spans="1:14" ht="12.75" customHeight="1" thickBot="1" x14ac:dyDescent="0.25">
      <c r="A293" s="1680" t="s">
        <v>504</v>
      </c>
      <c r="B293" s="1681" t="s">
        <v>512</v>
      </c>
      <c r="C293" s="610"/>
      <c r="D293" s="610"/>
      <c r="E293" s="610"/>
      <c r="F293" s="610"/>
      <c r="G293" s="610"/>
      <c r="H293" s="1682">
        <f>SUM(H288:H292)</f>
        <v>0</v>
      </c>
      <c r="I293" s="610"/>
      <c r="J293" s="610"/>
      <c r="K293" s="1682">
        <f>SUM(K288:K292)</f>
        <v>0</v>
      </c>
      <c r="L293" s="1682">
        <f>SUM(L288:L292)</f>
        <v>0</v>
      </c>
    </row>
    <row r="294" spans="1:14" ht="15.75" customHeight="1" thickTop="1" thickBot="1" x14ac:dyDescent="0.25">
      <c r="A294" s="1637" t="s">
        <v>931</v>
      </c>
      <c r="B294" s="1625" t="s">
        <v>915</v>
      </c>
      <c r="C294" s="610"/>
      <c r="D294" s="617"/>
      <c r="E294" s="610"/>
      <c r="F294" s="610"/>
      <c r="G294" s="610"/>
      <c r="H294" s="679"/>
      <c r="I294" s="610"/>
      <c r="J294" s="610"/>
      <c r="K294" s="679"/>
      <c r="L294" s="574"/>
    </row>
    <row r="295" spans="1:14" ht="12.75" customHeight="1" thickTop="1" thickBot="1" x14ac:dyDescent="0.25">
      <c r="A295" s="2203" t="s">
        <v>525</v>
      </c>
      <c r="B295" s="2204"/>
      <c r="C295" s="610"/>
      <c r="D295" s="1682">
        <f>SUM(D229,D279,D280,D285)</f>
        <v>441148</v>
      </c>
      <c r="E295" s="610"/>
      <c r="F295" s="610"/>
      <c r="G295" s="610"/>
      <c r="H295" s="1682">
        <f>H293</f>
        <v>0</v>
      </c>
      <c r="I295" s="610"/>
      <c r="J295" s="610"/>
      <c r="K295" s="1682">
        <f>SUM(K229,K279,K280,K285,K293,K294)</f>
        <v>441148</v>
      </c>
      <c r="L295" s="1682">
        <f>SUM(L229,L279,L280,L285,L293,L294)</f>
        <v>471201</v>
      </c>
    </row>
    <row r="296" spans="1:14" ht="13.5" thickTop="1" x14ac:dyDescent="0.2">
      <c r="A296" s="2212" t="s">
        <v>1052</v>
      </c>
      <c r="B296" s="2213"/>
      <c r="C296" s="610"/>
      <c r="D296" s="612"/>
      <c r="E296" s="610"/>
      <c r="F296" s="610"/>
      <c r="G296" s="610"/>
      <c r="H296" s="680"/>
      <c r="I296" s="610"/>
      <c r="J296" s="610"/>
      <c r="K296" s="1696">
        <f>'Revenues 9-14'!G275-'Expenditures 15-22'!K295</f>
        <v>172809</v>
      </c>
      <c r="L296" s="680"/>
    </row>
    <row r="297" spans="1:14" s="659" customFormat="1" ht="9" customHeight="1" x14ac:dyDescent="0.2">
      <c r="A297" s="656"/>
      <c r="B297" s="666"/>
      <c r="C297" s="643"/>
      <c r="D297" s="643"/>
      <c r="E297" s="643"/>
      <c r="F297" s="643"/>
      <c r="G297" s="643"/>
      <c r="H297" s="643"/>
      <c r="I297" s="643"/>
      <c r="J297" s="643"/>
      <c r="K297" s="643"/>
      <c r="L297" s="643"/>
      <c r="M297" s="658"/>
      <c r="N297" s="658"/>
    </row>
    <row r="298" spans="1:14" ht="16.7" customHeight="1" x14ac:dyDescent="0.2">
      <c r="A298" s="2195" t="s">
        <v>145</v>
      </c>
      <c r="B298" s="2189"/>
      <c r="C298" s="1563"/>
      <c r="D298" s="1564"/>
      <c r="E298" s="1564"/>
      <c r="F298" s="1564"/>
      <c r="G298" s="1564"/>
      <c r="H298" s="1564"/>
      <c r="I298" s="1564"/>
      <c r="J298" s="1564"/>
      <c r="K298" s="1564"/>
      <c r="L298" s="1565"/>
    </row>
    <row r="299" spans="1:14" ht="15.75" customHeight="1" x14ac:dyDescent="0.2">
      <c r="A299" s="1624" t="s">
        <v>146</v>
      </c>
      <c r="B299" s="1627" t="s">
        <v>589</v>
      </c>
      <c r="C299" s="610"/>
      <c r="D299" s="610"/>
      <c r="E299" s="610"/>
      <c r="F299" s="610"/>
      <c r="G299" s="610"/>
      <c r="H299" s="610"/>
      <c r="I299" s="610"/>
      <c r="J299" s="610"/>
      <c r="K299" s="610"/>
      <c r="L299" s="610"/>
    </row>
    <row r="300" spans="1:14" ht="15.75" customHeight="1" x14ac:dyDescent="0.2">
      <c r="A300" s="681" t="s">
        <v>632</v>
      </c>
      <c r="B300" s="625"/>
      <c r="C300" s="617"/>
      <c r="D300" s="617"/>
      <c r="E300" s="617"/>
      <c r="F300" s="617"/>
      <c r="G300" s="617"/>
      <c r="H300" s="617"/>
      <c r="I300" s="610"/>
      <c r="J300" s="610"/>
      <c r="K300" s="617"/>
      <c r="L300" s="617"/>
    </row>
    <row r="301" spans="1:14" x14ac:dyDescent="0.2">
      <c r="A301" s="1529" t="s">
        <v>628</v>
      </c>
      <c r="B301" s="682">
        <v>2530</v>
      </c>
      <c r="C301" s="1954">
        <f>ROUND(SUMIF(DATA!$A:$A,"60-"&amp;LEFT($B301,4)&amp;"*-"&amp;MID(C$1,2,1)&amp;"*",DATA!$F:$F),0)</f>
        <v>0</v>
      </c>
      <c r="D301" s="1954">
        <f>ROUND(SUMIF(DATA!$A:$A,"60-"&amp;LEFT($B301,4)&amp;"*-"&amp;MID(D$1,2,1)&amp;"*",DATA!$F:$F),0)</f>
        <v>0</v>
      </c>
      <c r="E301" s="1954">
        <f>ROUND(SUMIF(DATA!$A:$A,"60-"&amp;LEFT($B301,4)&amp;"*-"&amp;MID(E$1,2,1)&amp;"*",DATA!$F:$F),0)</f>
        <v>24118</v>
      </c>
      <c r="F301" s="1954">
        <f>ROUND(SUMIF(DATA!$A:$A,"60-"&amp;LEFT($B301,4)&amp;"*-"&amp;MID(F$1,2,1)&amp;"*",DATA!$F:$F),0)</f>
        <v>0</v>
      </c>
      <c r="G301" s="1954">
        <f>ROUND(SUMIF(DATA!$A:$A,"60-"&amp;LEFT($B301,4)&amp;"*-"&amp;MID(G$1,2,1)&amp;"*",DATA!$F:$F),0)</f>
        <v>91454</v>
      </c>
      <c r="H301" s="1954">
        <f>ROUND(SUMIF(DATA!$A:$A,"60-"&amp;LEFT($B301,4)&amp;"*-"&amp;MID(H$1,2,1)&amp;"*",DATA!$F:$F),0)</f>
        <v>0</v>
      </c>
      <c r="I301" s="1954">
        <f>ROUND(SUMIF(DATA!$A:$A,"60-"&amp;LEFT($B301,4)&amp;"*-"&amp;MID(I$1,2,1)&amp;"*",DATA!$F:$F),0)</f>
        <v>0</v>
      </c>
      <c r="J301" s="1954">
        <f>ROUND(SUMIF(DATA!$A:$A,"60-"&amp;LEFT($B301,4)&amp;"*-"&amp;MID(J$1,2,1)&amp;"*",DATA!$F:$F),0)</f>
        <v>0</v>
      </c>
      <c r="K301" s="1683">
        <f>SUM(C301:J301)</f>
        <v>115572</v>
      </c>
      <c r="L301" s="467">
        <v>270000</v>
      </c>
    </row>
    <row r="302" spans="1:14" ht="13.5" customHeight="1" x14ac:dyDescent="0.2">
      <c r="A302" s="1529" t="s">
        <v>1036</v>
      </c>
      <c r="B302" s="608" t="s">
        <v>594</v>
      </c>
      <c r="C302" s="1954">
        <f>ROUND(SUMIF(DATA!$A:$A,"60-"&amp;LEFT($B302,4)&amp;"*-"&amp;MID(C$1,2,1)&amp;"*",DATA!$F:$F),0)</f>
        <v>0</v>
      </c>
      <c r="D302" s="1954">
        <f>ROUND(SUMIF(DATA!$A:$A,"60-"&amp;LEFT($B302,4)&amp;"*-"&amp;MID(D$1,2,1)&amp;"*",DATA!$F:$F),0)</f>
        <v>0</v>
      </c>
      <c r="E302" s="1954">
        <f>ROUND(SUMIF(DATA!$A:$A,"60-"&amp;LEFT($B302,4)&amp;"*-"&amp;MID(E$1,2,1)&amp;"*",DATA!$F:$F),0)</f>
        <v>0</v>
      </c>
      <c r="F302" s="1954">
        <f>ROUND(SUMIF(DATA!$A:$A,"60-"&amp;LEFT($B302,4)&amp;"*-"&amp;MID(F$1,2,1)&amp;"*",DATA!$F:$F),0)</f>
        <v>0</v>
      </c>
      <c r="G302" s="1954">
        <f>ROUND(SUMIF(DATA!$A:$A,"60-"&amp;LEFT($B302,4)&amp;"*-"&amp;MID(G$1,2,1)&amp;"*",DATA!$F:$F),0)</f>
        <v>0</v>
      </c>
      <c r="H302" s="1954">
        <f>ROUND(SUMIF(DATA!$A:$A,"60-"&amp;LEFT($B302,4)&amp;"*-"&amp;MID(H$1,2,1)&amp;"*",DATA!$F:$F),0)</f>
        <v>0</v>
      </c>
      <c r="I302" s="1954">
        <f>ROUND(SUMIF(DATA!$A:$A,"60-"&amp;LEFT($B302,4)&amp;"*-"&amp;MID(I$1,2,1)&amp;"*",DATA!$F:$F),0)</f>
        <v>0</v>
      </c>
      <c r="J302" s="1954">
        <f>ROUND(SUMIF(DATA!$A:$A,"60-"&amp;LEFT($B302,4)&amp;"*-"&amp;MID(J$1,2,1)&amp;"*",DATA!$F:$F),0)</f>
        <v>0</v>
      </c>
      <c r="K302" s="1683">
        <f>SUM(C302:J302)</f>
        <v>0</v>
      </c>
      <c r="L302" s="466">
        <v>0</v>
      </c>
    </row>
    <row r="303" spans="1:14" ht="12.75" customHeight="1" thickBot="1" x14ac:dyDescent="0.25">
      <c r="A303" s="1680" t="s">
        <v>864</v>
      </c>
      <c r="B303" s="1681" t="s">
        <v>589</v>
      </c>
      <c r="C303" s="1689">
        <f>SUM(C301:C302)</f>
        <v>0</v>
      </c>
      <c r="D303" s="1689">
        <f t="shared" ref="D303:L303" si="23">SUM(D301:D302)</f>
        <v>0</v>
      </c>
      <c r="E303" s="1689">
        <f t="shared" si="23"/>
        <v>24118</v>
      </c>
      <c r="F303" s="1689">
        <f t="shared" si="23"/>
        <v>0</v>
      </c>
      <c r="G303" s="1689">
        <f t="shared" si="23"/>
        <v>91454</v>
      </c>
      <c r="H303" s="1689">
        <f t="shared" si="23"/>
        <v>0</v>
      </c>
      <c r="I303" s="1689">
        <f t="shared" si="23"/>
        <v>0</v>
      </c>
      <c r="J303" s="1689">
        <f t="shared" si="23"/>
        <v>0</v>
      </c>
      <c r="K303" s="1689">
        <f t="shared" si="23"/>
        <v>115572</v>
      </c>
      <c r="L303" s="1689">
        <f t="shared" si="23"/>
        <v>270000</v>
      </c>
    </row>
    <row r="304" spans="1:14" ht="15.75" customHeight="1" thickTop="1" x14ac:dyDescent="0.2">
      <c r="A304" s="1624" t="s">
        <v>147</v>
      </c>
      <c r="B304" s="1625" t="s">
        <v>914</v>
      </c>
      <c r="C304" s="610"/>
      <c r="D304" s="610"/>
      <c r="E304" s="610"/>
      <c r="F304" s="610"/>
      <c r="G304" s="610"/>
      <c r="H304" s="610"/>
      <c r="I304" s="610"/>
      <c r="J304" s="610"/>
      <c r="K304" s="610"/>
      <c r="L304" s="610"/>
    </row>
    <row r="305" spans="1:14" ht="15.75" customHeight="1" x14ac:dyDescent="0.2">
      <c r="A305" s="646" t="s">
        <v>952</v>
      </c>
      <c r="B305" s="616"/>
      <c r="C305" s="610"/>
      <c r="D305" s="610"/>
      <c r="E305" s="610"/>
      <c r="F305" s="610"/>
      <c r="G305" s="610"/>
      <c r="H305" s="610"/>
      <c r="I305" s="610"/>
      <c r="J305" s="610"/>
      <c r="K305" s="610"/>
      <c r="L305" s="610"/>
    </row>
    <row r="306" spans="1:14" x14ac:dyDescent="0.2">
      <c r="A306" s="1530" t="s">
        <v>1961</v>
      </c>
      <c r="B306" s="683" t="s">
        <v>1956</v>
      </c>
      <c r="C306" s="610"/>
      <c r="D306" s="610"/>
      <c r="E306" s="1954">
        <f>SUMIF(DATA!$A:$A,"60-"&amp;$B306&amp;"-3*",DATA!$F:$F)</f>
        <v>0</v>
      </c>
      <c r="F306" s="610"/>
      <c r="G306" s="610"/>
      <c r="H306" s="1954">
        <f>SUMIF(DATA!$A:$A,"60-"&amp;$B306&amp;"-6*",DATA!$F:$F)</f>
        <v>0</v>
      </c>
      <c r="I306" s="610"/>
      <c r="J306" s="610"/>
      <c r="K306" s="1683">
        <f>SUM(E306,H306)</f>
        <v>0</v>
      </c>
      <c r="L306" s="467">
        <v>0</v>
      </c>
    </row>
    <row r="307" spans="1:14" x14ac:dyDescent="0.2">
      <c r="A307" s="1516" t="s">
        <v>321</v>
      </c>
      <c r="B307" s="608">
        <v>4120</v>
      </c>
      <c r="C307" s="610"/>
      <c r="D307" s="610"/>
      <c r="E307" s="1954">
        <f>SUMIF(DATA!$A:$A,"60-"&amp;$B307&amp;"-3*",DATA!$F:$F)</f>
        <v>0</v>
      </c>
      <c r="F307" s="610"/>
      <c r="G307" s="610"/>
      <c r="H307" s="1954">
        <f>SUMIF(DATA!$A:$A,"60-"&amp;$B307&amp;"-6*",DATA!$F:$F)</f>
        <v>0</v>
      </c>
      <c r="I307" s="476"/>
      <c r="J307" s="610"/>
      <c r="K307" s="1683">
        <f>SUM(E307,H307)</f>
        <v>0</v>
      </c>
      <c r="L307" s="466">
        <v>0</v>
      </c>
    </row>
    <row r="308" spans="1:14" x14ac:dyDescent="0.2">
      <c r="A308" s="1516" t="s">
        <v>720</v>
      </c>
      <c r="B308" s="608">
        <v>4140</v>
      </c>
      <c r="C308" s="610"/>
      <c r="D308" s="610"/>
      <c r="E308" s="1954">
        <f>SUMIF(DATA!$A:$A,"60-"&amp;$B308&amp;"-3*",DATA!$F:$F)</f>
        <v>0</v>
      </c>
      <c r="F308" s="610"/>
      <c r="G308" s="610"/>
      <c r="H308" s="1954">
        <f>SUMIF(DATA!$A:$A,"60-"&amp;$B308&amp;"-6*",DATA!$F:$F)</f>
        <v>0</v>
      </c>
      <c r="I308" s="476"/>
      <c r="J308" s="610"/>
      <c r="K308" s="1683">
        <f>SUM(E308,H308)</f>
        <v>0</v>
      </c>
      <c r="L308" s="466">
        <v>0</v>
      </c>
    </row>
    <row r="309" spans="1:14" ht="12.75" customHeight="1" x14ac:dyDescent="0.2">
      <c r="A309" s="1520" t="s">
        <v>721</v>
      </c>
      <c r="B309" s="622">
        <v>4190</v>
      </c>
      <c r="C309" s="610"/>
      <c r="D309" s="610"/>
      <c r="E309" s="1954">
        <f>SUMIF(DATA!$A:$A,"60-"&amp;$B309&amp;"-3*",DATA!$F:$F)</f>
        <v>0</v>
      </c>
      <c r="F309" s="610"/>
      <c r="G309" s="610"/>
      <c r="H309" s="1954">
        <f>SUMIF(DATA!$A:$A,"60-"&amp;$B309&amp;"-6*",DATA!$F:$F)</f>
        <v>0</v>
      </c>
      <c r="I309" s="476"/>
      <c r="J309" s="610"/>
      <c r="K309" s="1683">
        <f>SUM(E309,H309)</f>
        <v>0</v>
      </c>
      <c r="L309" s="466">
        <v>0</v>
      </c>
    </row>
    <row r="310" spans="1:14" ht="12.75" customHeight="1" thickBot="1" x14ac:dyDescent="0.25">
      <c r="A310" s="1680" t="s">
        <v>1566</v>
      </c>
      <c r="B310" s="1687" t="s">
        <v>914</v>
      </c>
      <c r="C310" s="610"/>
      <c r="D310" s="610"/>
      <c r="E310" s="1682">
        <f>SUM(E306:E309)</f>
        <v>0</v>
      </c>
      <c r="F310" s="610"/>
      <c r="G310" s="610"/>
      <c r="H310" s="1682">
        <f>SUM(H306:H309)</f>
        <v>0</v>
      </c>
      <c r="I310" s="476"/>
      <c r="J310" s="610"/>
      <c r="K310" s="1682">
        <f>SUM(K306:K309)</f>
        <v>0</v>
      </c>
      <c r="L310" s="1689">
        <f>SUM(L306:L309)</f>
        <v>0</v>
      </c>
    </row>
    <row r="311" spans="1:14" ht="15.75" customHeight="1" thickTop="1" thickBot="1" x14ac:dyDescent="0.25">
      <c r="A311" s="1631" t="s">
        <v>950</v>
      </c>
      <c r="B311" s="1623" t="s">
        <v>915</v>
      </c>
      <c r="C311" s="617"/>
      <c r="D311" s="617"/>
      <c r="E311" s="617"/>
      <c r="F311" s="617"/>
      <c r="G311" s="617"/>
      <c r="H311" s="617"/>
      <c r="I311" s="617"/>
      <c r="J311" s="610"/>
      <c r="K311" s="617"/>
      <c r="L311" s="572">
        <v>0</v>
      </c>
    </row>
    <row r="312" spans="1:14" s="667" customFormat="1" ht="12.75" customHeight="1" thickTop="1" thickBot="1" x14ac:dyDescent="0.25">
      <c r="A312" s="2200" t="s">
        <v>294</v>
      </c>
      <c r="B312" s="2201"/>
      <c r="C312" s="1682">
        <f>SUM(C303)</f>
        <v>0</v>
      </c>
      <c r="D312" s="1682">
        <f>SUM(D303)</f>
        <v>0</v>
      </c>
      <c r="E312" s="1682">
        <f>SUM(E303,E310)</f>
        <v>24118</v>
      </c>
      <c r="F312" s="1682">
        <f>SUM(F303)</f>
        <v>0</v>
      </c>
      <c r="G312" s="1682">
        <f>SUM(G303)</f>
        <v>91454</v>
      </c>
      <c r="H312" s="1682">
        <f>SUM(H303,H310)</f>
        <v>0</v>
      </c>
      <c r="I312" s="1682">
        <f>SUM(I303)</f>
        <v>0</v>
      </c>
      <c r="J312" s="1682">
        <f>SUM(J303)</f>
        <v>0</v>
      </c>
      <c r="K312" s="1682">
        <f>SUM(K303,K310,K311)</f>
        <v>115572</v>
      </c>
      <c r="L312" s="1682">
        <f>SUM(L303,L310,L311)</f>
        <v>270000</v>
      </c>
      <c r="M312" s="658"/>
      <c r="N312" s="658"/>
    </row>
    <row r="313" spans="1:14" ht="13.5" thickTop="1" x14ac:dyDescent="0.2">
      <c r="A313" s="2196" t="s">
        <v>1052</v>
      </c>
      <c r="B313" s="2197"/>
      <c r="C313" s="620"/>
      <c r="D313" s="620"/>
      <c r="E313" s="620"/>
      <c r="F313" s="620"/>
      <c r="G313" s="620"/>
      <c r="H313" s="620"/>
      <c r="I313" s="620"/>
      <c r="J313" s="620"/>
      <c r="K313" s="1697">
        <f>'Revenues 9-14'!H275-'Expenditures 15-22'!K312</f>
        <v>507472</v>
      </c>
      <c r="L313" s="620"/>
    </row>
    <row r="314" spans="1:14" s="659" customFormat="1" ht="9" customHeight="1" x14ac:dyDescent="0.2">
      <c r="A314" s="684"/>
      <c r="B314" s="685"/>
      <c r="C314" s="686"/>
      <c r="D314" s="686"/>
      <c r="E314" s="686"/>
      <c r="F314" s="686"/>
      <c r="G314" s="686"/>
      <c r="H314" s="686"/>
      <c r="I314" s="686"/>
      <c r="J314" s="686"/>
      <c r="K314" s="686"/>
      <c r="L314" s="686"/>
      <c r="M314" s="658"/>
      <c r="N314" s="658"/>
    </row>
    <row r="315" spans="1:14" ht="16.7" customHeight="1" x14ac:dyDescent="0.2">
      <c r="A315" s="2209" t="s">
        <v>151</v>
      </c>
      <c r="B315" s="2210"/>
      <c r="C315" s="1568"/>
      <c r="D315" s="1569"/>
      <c r="E315" s="1569"/>
      <c r="F315" s="1569"/>
      <c r="G315" s="1569"/>
      <c r="H315" s="1569"/>
      <c r="I315" s="1569"/>
      <c r="J315" s="1569"/>
      <c r="K315" s="1569"/>
      <c r="L315" s="1570"/>
    </row>
    <row r="316" spans="1:14" s="667" customFormat="1" ht="9" customHeight="1" x14ac:dyDescent="0.2">
      <c r="A316" s="684"/>
      <c r="B316" s="685"/>
      <c r="C316" s="687"/>
      <c r="D316" s="687"/>
      <c r="E316" s="687"/>
      <c r="F316" s="687"/>
      <c r="G316" s="687"/>
      <c r="H316" s="687"/>
      <c r="I316" s="687"/>
      <c r="J316" s="687"/>
      <c r="K316" s="687"/>
      <c r="L316" s="687"/>
      <c r="M316" s="658"/>
      <c r="N316" s="658"/>
    </row>
    <row r="317" spans="1:14" ht="16.7" customHeight="1" x14ac:dyDescent="0.2">
      <c r="A317" s="2211" t="s">
        <v>953</v>
      </c>
      <c r="B317" s="2210"/>
      <c r="C317" s="1568"/>
      <c r="D317" s="1569"/>
      <c r="E317" s="1569"/>
      <c r="F317" s="1569"/>
      <c r="G317" s="1569"/>
      <c r="H317" s="1569"/>
      <c r="I317" s="1569"/>
      <c r="J317" s="1569"/>
      <c r="K317" s="1569"/>
      <c r="L317" s="1570"/>
    </row>
    <row r="318" spans="1:14" s="667" customFormat="1" ht="15.75" customHeight="1" x14ac:dyDescent="0.2">
      <c r="A318" s="688" t="s">
        <v>630</v>
      </c>
      <c r="B318" s="689"/>
      <c r="C318" s="631"/>
      <c r="D318" s="631"/>
      <c r="E318" s="631"/>
      <c r="F318" s="631"/>
      <c r="G318" s="631"/>
      <c r="H318" s="631"/>
      <c r="I318" s="631"/>
      <c r="J318" s="631"/>
      <c r="K318" s="631"/>
      <c r="L318" s="631"/>
      <c r="M318" s="658"/>
      <c r="N318" s="658"/>
    </row>
    <row r="319" spans="1:14" s="667" customFormat="1" x14ac:dyDescent="0.2">
      <c r="A319" s="1531" t="s">
        <v>316</v>
      </c>
      <c r="B319" s="690" t="s">
        <v>298</v>
      </c>
      <c r="C319" s="1954">
        <f>ROUND(SUMIF(DATA!$A:$A,"80-"&amp;LEFT($B319,4)&amp;"*-"&amp;MID(C$1,2,1)&amp;"*",DATA!$F:$F),0)</f>
        <v>0</v>
      </c>
      <c r="D319" s="1954">
        <f>ROUND(SUMIF(DATA!$A:$A,"80-"&amp;LEFT($B319,4)&amp;"*-"&amp;MID(D$1,2,1)&amp;"*",DATA!$F:$F),0)</f>
        <v>0</v>
      </c>
      <c r="E319" s="1954">
        <f>ROUND(SUMIF(DATA!$A:$A,"80-"&amp;LEFT($B319,4)&amp;"*-"&amp;MID(E$1,2,1)&amp;"*",DATA!$F:$F),0)</f>
        <v>0</v>
      </c>
      <c r="F319" s="1954">
        <f>ROUND(SUMIF(DATA!$A:$A,"80-"&amp;LEFT($B319,4)&amp;"*-"&amp;MID(F$1,2,1)&amp;"*",DATA!$F:$F),0)</f>
        <v>0</v>
      </c>
      <c r="G319" s="1954">
        <f>ROUND(SUMIF(DATA!$A:$A,"80-"&amp;LEFT($B319,4)&amp;"*-"&amp;MID(G$1,2,1)&amp;"*",DATA!$F:$F),0)</f>
        <v>0</v>
      </c>
      <c r="H319" s="1954">
        <f>ROUND(SUMIF(DATA!$A:$A,"80-"&amp;LEFT($B319,4)&amp;"*-"&amp;MID(H$1,2,1)&amp;"*",DATA!$F:$F),0)</f>
        <v>0</v>
      </c>
      <c r="I319" s="1954">
        <f>ROUND(SUMIF(DATA!$A:$A,"80-"&amp;LEFT($B319,4)&amp;"*-"&amp;MID(I$1,2,1)&amp;"*",DATA!$F:$F),0)</f>
        <v>0</v>
      </c>
      <c r="J319" s="1954">
        <f>ROUND(SUMIF(DATA!$A:$A,"80-"&amp;LEFT($B319,4)&amp;"*-"&amp;MID(J$1,2,1)&amp;"*",DATA!$F:$F),0)</f>
        <v>0</v>
      </c>
      <c r="K319" s="1683">
        <f>SUM(C319:J319)</f>
        <v>0</v>
      </c>
      <c r="L319" s="467">
        <v>0</v>
      </c>
      <c r="M319" s="658"/>
      <c r="N319" s="658"/>
    </row>
    <row r="320" spans="1:14" s="667" customFormat="1" x14ac:dyDescent="0.2">
      <c r="A320" s="1535" t="s">
        <v>1907</v>
      </c>
      <c r="B320" s="691" t="s">
        <v>299</v>
      </c>
      <c r="C320" s="1954">
        <f>ROUND(SUMIF(DATA!$A:$A,"80-"&amp;LEFT($B320,4)&amp;"*-"&amp;MID(C$1,2,1)&amp;"*",DATA!$F:$F),0)</f>
        <v>0</v>
      </c>
      <c r="D320" s="1954">
        <f>ROUND(SUMIF(DATA!$A:$A,"80-"&amp;LEFT($B320,4)&amp;"*-"&amp;MID(D$1,2,1)&amp;"*",DATA!$F:$F),0)</f>
        <v>0</v>
      </c>
      <c r="E320" s="1954">
        <f>ROUND(SUMIF(DATA!$A:$A,"80-"&amp;LEFT($B320,4)&amp;"*-"&amp;MID(E$1,2,1)&amp;"*",DATA!$F:$F),0)</f>
        <v>78205</v>
      </c>
      <c r="F320" s="1954">
        <f>ROUND(SUMIF(DATA!$A:$A,"80-"&amp;LEFT($B320,4)&amp;"*-"&amp;MID(F$1,2,1)&amp;"*",DATA!$F:$F),0)</f>
        <v>0</v>
      </c>
      <c r="G320" s="1954">
        <f>ROUND(SUMIF(DATA!$A:$A,"80-"&amp;LEFT($B320,4)&amp;"*-"&amp;MID(G$1,2,1)&amp;"*",DATA!$F:$F),0)</f>
        <v>0</v>
      </c>
      <c r="H320" s="1954">
        <f>ROUND(SUMIF(DATA!$A:$A,"80-"&amp;LEFT($B320,4)&amp;"*-"&amp;MID(H$1,2,1)&amp;"*",DATA!$F:$F),0)</f>
        <v>0</v>
      </c>
      <c r="I320" s="1954">
        <f>ROUND(SUMIF(DATA!$A:$A,"80-"&amp;LEFT($B320,4)&amp;"*-"&amp;MID(I$1,2,1)&amp;"*",DATA!$F:$F),0)</f>
        <v>0</v>
      </c>
      <c r="J320" s="1954">
        <f>ROUND(SUMIF(DATA!$A:$A,"80-"&amp;LEFT($B320,4)&amp;"*-"&amp;MID(J$1,2,1)&amp;"*",DATA!$F:$F),0)</f>
        <v>0</v>
      </c>
      <c r="K320" s="1683">
        <f t="shared" ref="K320:K327" si="24">SUM(C320:J320)</f>
        <v>78205</v>
      </c>
      <c r="L320" s="467">
        <v>95000</v>
      </c>
      <c r="M320" s="658"/>
      <c r="N320" s="658"/>
    </row>
    <row r="321" spans="1:14" s="667" customFormat="1" x14ac:dyDescent="0.2">
      <c r="A321" s="1531" t="s">
        <v>317</v>
      </c>
      <c r="B321" s="690" t="s">
        <v>300</v>
      </c>
      <c r="C321" s="1954">
        <f>ROUND(SUMIF(DATA!$A:$A,"80-"&amp;LEFT($B321,4)&amp;"*-"&amp;MID(C$1,2,1)&amp;"*",DATA!$F:$F),0)</f>
        <v>0</v>
      </c>
      <c r="D321" s="1954">
        <f>ROUND(SUMIF(DATA!$A:$A,"80-"&amp;LEFT($B321,4)&amp;"*-"&amp;MID(D$1,2,1)&amp;"*",DATA!$F:$F),0)</f>
        <v>0</v>
      </c>
      <c r="E321" s="1954">
        <f>ROUND(SUMIF(DATA!$A:$A,"80-"&amp;LEFT($B321,4)&amp;"*-"&amp;MID(E$1,2,1)&amp;"*",DATA!$F:$F),0)</f>
        <v>423</v>
      </c>
      <c r="F321" s="1954">
        <f>ROUND(SUMIF(DATA!$A:$A,"80-"&amp;LEFT($B321,4)&amp;"*-"&amp;MID(F$1,2,1)&amp;"*",DATA!$F:$F),0)</f>
        <v>0</v>
      </c>
      <c r="G321" s="1954">
        <f>ROUND(SUMIF(DATA!$A:$A,"80-"&amp;LEFT($B321,4)&amp;"*-"&amp;MID(G$1,2,1)&amp;"*",DATA!$F:$F),0)</f>
        <v>0</v>
      </c>
      <c r="H321" s="1954">
        <f>ROUND(SUMIF(DATA!$A:$A,"80-"&amp;LEFT($B321,4)&amp;"*-"&amp;MID(H$1,2,1)&amp;"*",DATA!$F:$F),0)</f>
        <v>0</v>
      </c>
      <c r="I321" s="1954">
        <f>ROUND(SUMIF(DATA!$A:$A,"80-"&amp;LEFT($B321,4)&amp;"*-"&amp;MID(I$1,2,1)&amp;"*",DATA!$F:$F),0)</f>
        <v>0</v>
      </c>
      <c r="J321" s="1954">
        <f>ROUND(SUMIF(DATA!$A:$A,"80-"&amp;LEFT($B321,4)&amp;"*-"&amp;MID(J$1,2,1)&amp;"*",DATA!$F:$F),0)</f>
        <v>0</v>
      </c>
      <c r="K321" s="1683">
        <f t="shared" si="24"/>
        <v>423</v>
      </c>
      <c r="L321" s="467">
        <v>500</v>
      </c>
      <c r="M321" s="658"/>
      <c r="N321" s="658"/>
    </row>
    <row r="322" spans="1:14" s="667" customFormat="1" x14ac:dyDescent="0.2">
      <c r="A322" s="1531" t="s">
        <v>256</v>
      </c>
      <c r="B322" s="690" t="s">
        <v>301</v>
      </c>
      <c r="C322" s="1954">
        <f>ROUND(SUMIF(DATA!$A:$A,"80-"&amp;LEFT($B322,4)&amp;"*-"&amp;MID(C$1,2,1)&amp;"*",DATA!$F:$F),0)</f>
        <v>0</v>
      </c>
      <c r="D322" s="1954">
        <f>ROUND(SUMIF(DATA!$A:$A,"80-"&amp;LEFT($B322,4)&amp;"*-"&amp;MID(D$1,2,1)&amp;"*",DATA!$F:$F),0)</f>
        <v>0</v>
      </c>
      <c r="E322" s="1954">
        <f>ROUND(SUMIF(DATA!$A:$A,"80-"&amp;LEFT($B322,4)&amp;"*-"&amp;MID(E$1,2,1)&amp;"*",DATA!$F:$F),0)</f>
        <v>0</v>
      </c>
      <c r="F322" s="1954">
        <f>ROUND(SUMIF(DATA!$A:$A,"80-"&amp;LEFT($B322,4)&amp;"*-"&amp;MID(F$1,2,1)&amp;"*",DATA!$F:$F),0)</f>
        <v>0</v>
      </c>
      <c r="G322" s="1954">
        <f>ROUND(SUMIF(DATA!$A:$A,"80-"&amp;LEFT($B322,4)&amp;"*-"&amp;MID(G$1,2,1)&amp;"*",DATA!$F:$F),0)</f>
        <v>0</v>
      </c>
      <c r="H322" s="1954">
        <f>ROUND(SUMIF(DATA!$A:$A,"80-"&amp;LEFT($B322,4)&amp;"*-"&amp;MID(H$1,2,1)&amp;"*",DATA!$F:$F),0)</f>
        <v>0</v>
      </c>
      <c r="I322" s="1954">
        <f>ROUND(SUMIF(DATA!$A:$A,"80-"&amp;LEFT($B322,4)&amp;"*-"&amp;MID(I$1,2,1)&amp;"*",DATA!$F:$F),0)</f>
        <v>0</v>
      </c>
      <c r="J322" s="1954">
        <f>ROUND(SUMIF(DATA!$A:$A,"80-"&amp;LEFT($B322,4)&amp;"*-"&amp;MID(J$1,2,1)&amp;"*",DATA!$F:$F),0)</f>
        <v>0</v>
      </c>
      <c r="K322" s="1683">
        <f t="shared" si="24"/>
        <v>0</v>
      </c>
      <c r="L322" s="467">
        <v>0</v>
      </c>
      <c r="M322" s="658"/>
      <c r="N322" s="658"/>
    </row>
    <row r="323" spans="1:14" s="667" customFormat="1" x14ac:dyDescent="0.2">
      <c r="A323" s="1531" t="s">
        <v>725</v>
      </c>
      <c r="B323" s="690" t="s">
        <v>302</v>
      </c>
      <c r="C323" s="1954">
        <f>ROUND(SUMIF(DATA!$A:$A,"80-"&amp;LEFT($B323,4)&amp;"*-"&amp;MID(C$1,2,1)&amp;"*",DATA!$F:$F),0)</f>
        <v>0</v>
      </c>
      <c r="D323" s="1954">
        <f>ROUND(SUMIF(DATA!$A:$A,"80-"&amp;LEFT($B323,4)&amp;"*-"&amp;MID(D$1,2,1)&amp;"*",DATA!$F:$F),0)</f>
        <v>0</v>
      </c>
      <c r="E323" s="1954">
        <f>ROUND(SUMIF(DATA!$A:$A,"80-"&amp;LEFT($B323,4)&amp;"*-"&amp;MID(E$1,2,1)&amp;"*",DATA!$F:$F),0)</f>
        <v>33708</v>
      </c>
      <c r="F323" s="1954">
        <f>ROUND(SUMIF(DATA!$A:$A,"80-"&amp;LEFT($B323,4)&amp;"*-"&amp;MID(F$1,2,1)&amp;"*",DATA!$F:$F),0)</f>
        <v>5651</v>
      </c>
      <c r="G323" s="1954">
        <f>ROUND(SUMIF(DATA!$A:$A,"80-"&amp;LEFT($B323,4)&amp;"*-"&amp;MID(G$1,2,1)&amp;"*",DATA!$F:$F),0)</f>
        <v>36232</v>
      </c>
      <c r="H323" s="1954">
        <f>ROUND(SUMIF(DATA!$A:$A,"80-"&amp;LEFT($B323,4)&amp;"*-"&amp;MID(H$1,2,1)&amp;"*",DATA!$F:$F),0)</f>
        <v>0</v>
      </c>
      <c r="I323" s="1954">
        <f>ROUND(SUMIF(DATA!$A:$A,"80-"&amp;LEFT($B323,4)&amp;"*-"&amp;MID(I$1,2,1)&amp;"*",DATA!$F:$F),0)</f>
        <v>0</v>
      </c>
      <c r="J323" s="1954">
        <f>ROUND(SUMIF(DATA!$A:$A,"80-"&amp;LEFT($B323,4)&amp;"*-"&amp;MID(J$1,2,1)&amp;"*",DATA!$F:$F),0)</f>
        <v>0</v>
      </c>
      <c r="K323" s="1683">
        <f t="shared" si="24"/>
        <v>75591</v>
      </c>
      <c r="L323" s="467">
        <v>60000</v>
      </c>
      <c r="M323" s="658"/>
      <c r="N323" s="658"/>
    </row>
    <row r="324" spans="1:14" s="667" customFormat="1" x14ac:dyDescent="0.2">
      <c r="A324" s="1531" t="s">
        <v>257</v>
      </c>
      <c r="B324" s="690" t="s">
        <v>303</v>
      </c>
      <c r="C324" s="1954">
        <f>ROUND(SUMIF(DATA!$A:$A,"80-"&amp;LEFT($B324,4)&amp;"*-"&amp;MID(C$1,2,1)&amp;"*",DATA!$F:$F),0)</f>
        <v>0</v>
      </c>
      <c r="D324" s="1954">
        <f>ROUND(SUMIF(DATA!$A:$A,"80-"&amp;LEFT($B324,4)&amp;"*-"&amp;MID(D$1,2,1)&amp;"*",DATA!$F:$F),0)</f>
        <v>0</v>
      </c>
      <c r="E324" s="1954">
        <f>ROUND(SUMIF(DATA!$A:$A,"80-"&amp;LEFT($B324,4)&amp;"*-"&amp;MID(E$1,2,1)&amp;"*",DATA!$F:$F),0)</f>
        <v>0</v>
      </c>
      <c r="F324" s="1954">
        <f>ROUND(SUMIF(DATA!$A:$A,"80-"&amp;LEFT($B324,4)&amp;"*-"&amp;MID(F$1,2,1)&amp;"*",DATA!$F:$F),0)</f>
        <v>0</v>
      </c>
      <c r="G324" s="1954">
        <f>ROUND(SUMIF(DATA!$A:$A,"80-"&amp;LEFT($B324,4)&amp;"*-"&amp;MID(G$1,2,1)&amp;"*",DATA!$F:$F),0)</f>
        <v>0</v>
      </c>
      <c r="H324" s="1954">
        <f>ROUND(SUMIF(DATA!$A:$A,"80-"&amp;LEFT($B324,4)&amp;"*-"&amp;MID(H$1,2,1)&amp;"*",DATA!$F:$F),0)</f>
        <v>0</v>
      </c>
      <c r="I324" s="1954">
        <f>ROUND(SUMIF(DATA!$A:$A,"80-"&amp;LEFT($B324,4)&amp;"*-"&amp;MID(I$1,2,1)&amp;"*",DATA!$F:$F),0)</f>
        <v>0</v>
      </c>
      <c r="J324" s="1954">
        <f>ROUND(SUMIF(DATA!$A:$A,"80-"&amp;LEFT($B324,4)&amp;"*-"&amp;MID(J$1,2,1)&amp;"*",DATA!$F:$F),0)</f>
        <v>0</v>
      </c>
      <c r="K324" s="1683">
        <f t="shared" si="24"/>
        <v>0</v>
      </c>
      <c r="L324" s="467">
        <v>0</v>
      </c>
      <c r="M324" s="658"/>
      <c r="N324" s="658"/>
    </row>
    <row r="325" spans="1:14" s="667" customFormat="1" ht="22.5" x14ac:dyDescent="0.2">
      <c r="A325" s="1531" t="s">
        <v>1086</v>
      </c>
      <c r="B325" s="691" t="s">
        <v>304</v>
      </c>
      <c r="C325" s="1954">
        <f>ROUND(SUMIF(DATA!$A:$A,"80-"&amp;LEFT($B325,4)&amp;"*-"&amp;MID(C$1,2,1)&amp;"*",DATA!$F:$F),0)</f>
        <v>268516</v>
      </c>
      <c r="D325" s="1954">
        <f>ROUND(SUMIF(DATA!$A:$A,"80-"&amp;LEFT($B325,4)&amp;"*-"&amp;MID(D$1,2,1)&amp;"*",DATA!$F:$F),0)</f>
        <v>24190</v>
      </c>
      <c r="E325" s="1954">
        <f>ROUND(SUMIF(DATA!$A:$A,"80-"&amp;LEFT($B325,4)&amp;"*-"&amp;MID(E$1,2,1)&amp;"*",DATA!$F:$F),0)</f>
        <v>7647</v>
      </c>
      <c r="F325" s="1954">
        <f>ROUND(SUMIF(DATA!$A:$A,"80-"&amp;LEFT($B325,4)&amp;"*-"&amp;MID(F$1,2,1)&amp;"*",DATA!$F:$F),0)</f>
        <v>0</v>
      </c>
      <c r="G325" s="1954">
        <f>ROUND(SUMIF(DATA!$A:$A,"80-"&amp;LEFT($B325,4)&amp;"*-"&amp;MID(G$1,2,1)&amp;"*",DATA!$F:$F),0)</f>
        <v>0</v>
      </c>
      <c r="H325" s="1954">
        <f>ROUND(SUMIF(DATA!$A:$A,"80-"&amp;LEFT($B325,4)&amp;"*-"&amp;MID(H$1,2,1)&amp;"*",DATA!$F:$F),0)</f>
        <v>0</v>
      </c>
      <c r="I325" s="1954">
        <f>ROUND(SUMIF(DATA!$A:$A,"80-"&amp;LEFT($B325,4)&amp;"*-"&amp;MID(I$1,2,1)&amp;"*",DATA!$F:$F),0)</f>
        <v>0</v>
      </c>
      <c r="J325" s="1954">
        <f>ROUND(SUMIF(DATA!$A:$A,"80-"&amp;LEFT($B325,4)&amp;"*-"&amp;MID(J$1,2,1)&amp;"*",DATA!$F:$F),0)</f>
        <v>0</v>
      </c>
      <c r="K325" s="1683">
        <f t="shared" si="24"/>
        <v>300353</v>
      </c>
      <c r="L325" s="467">
        <v>353500</v>
      </c>
      <c r="M325" s="658"/>
      <c r="N325" s="658"/>
    </row>
    <row r="326" spans="1:14" s="667" customFormat="1" x14ac:dyDescent="0.2">
      <c r="A326" s="1531" t="s">
        <v>1087</v>
      </c>
      <c r="B326" s="690" t="s">
        <v>305</v>
      </c>
      <c r="C326" s="1954">
        <f>ROUND(SUMIF(DATA!$A:$A,"80-"&amp;LEFT($B326,4)&amp;"*-"&amp;MID(C$1,2,1)&amp;"*",DATA!$F:$F),0)</f>
        <v>0</v>
      </c>
      <c r="D326" s="1954">
        <f>ROUND(SUMIF(DATA!$A:$A,"80-"&amp;LEFT($B326,4)&amp;"*-"&amp;MID(D$1,2,1)&amp;"*",DATA!$F:$F),0)</f>
        <v>0</v>
      </c>
      <c r="E326" s="1954">
        <f>ROUND(SUMIF(DATA!$A:$A,"80-"&amp;LEFT($B326,4)&amp;"*-"&amp;MID(E$1,2,1)&amp;"*",DATA!$F:$F),0)</f>
        <v>0</v>
      </c>
      <c r="F326" s="1954">
        <f>ROUND(SUMIF(DATA!$A:$A,"80-"&amp;LEFT($B326,4)&amp;"*-"&amp;MID(F$1,2,1)&amp;"*",DATA!$F:$F),0)</f>
        <v>0</v>
      </c>
      <c r="G326" s="1954">
        <f>ROUND(SUMIF(DATA!$A:$A,"80-"&amp;LEFT($B326,4)&amp;"*-"&amp;MID(G$1,2,1)&amp;"*",DATA!$F:$F),0)</f>
        <v>0</v>
      </c>
      <c r="H326" s="1954">
        <f>ROUND(SUMIF(DATA!$A:$A,"80-"&amp;LEFT($B326,4)&amp;"*-"&amp;MID(H$1,2,1)&amp;"*",DATA!$F:$F),0)</f>
        <v>0</v>
      </c>
      <c r="I326" s="1954">
        <f>ROUND(SUMIF(DATA!$A:$A,"80-"&amp;LEFT($B326,4)&amp;"*-"&amp;MID(I$1,2,1)&amp;"*",DATA!$F:$F),0)</f>
        <v>0</v>
      </c>
      <c r="J326" s="1954">
        <f>ROUND(SUMIF(DATA!$A:$A,"80-"&amp;LEFT($B326,4)&amp;"*-"&amp;MID(J$1,2,1)&amp;"*",DATA!$F:$F),0)</f>
        <v>0</v>
      </c>
      <c r="K326" s="1683">
        <f t="shared" si="24"/>
        <v>0</v>
      </c>
      <c r="L326" s="467">
        <v>0</v>
      </c>
      <c r="M326" s="658"/>
      <c r="N326" s="658"/>
    </row>
    <row r="327" spans="1:14" s="667" customFormat="1" x14ac:dyDescent="0.2">
      <c r="A327" s="1531" t="s">
        <v>1027</v>
      </c>
      <c r="B327" s="690" t="s">
        <v>306</v>
      </c>
      <c r="C327" s="1954">
        <f>ROUND(SUMIF(DATA!$A:$A,"80-"&amp;LEFT($B327,4)&amp;"*-"&amp;MID(C$1,2,1)&amp;"*",DATA!$F:$F),0)</f>
        <v>0</v>
      </c>
      <c r="D327" s="1954">
        <f>ROUND(SUMIF(DATA!$A:$A,"80-"&amp;LEFT($B327,4)&amp;"*-"&amp;MID(D$1,2,1)&amp;"*",DATA!$F:$F),0)</f>
        <v>0</v>
      </c>
      <c r="E327" s="1954">
        <f>ROUND(SUMIF(DATA!$A:$A,"80-"&amp;LEFT($B327,4)&amp;"*-"&amp;MID(E$1,2,1)&amp;"*",DATA!$F:$F),0)</f>
        <v>42800</v>
      </c>
      <c r="F327" s="1954">
        <f>ROUND(SUMIF(DATA!$A:$A,"80-"&amp;LEFT($B327,4)&amp;"*-"&amp;MID(F$1,2,1)&amp;"*",DATA!$F:$F),0)</f>
        <v>0</v>
      </c>
      <c r="G327" s="1954">
        <f>ROUND(SUMIF(DATA!$A:$A,"80-"&amp;LEFT($B327,4)&amp;"*-"&amp;MID(G$1,2,1)&amp;"*",DATA!$F:$F),0)</f>
        <v>0</v>
      </c>
      <c r="H327" s="1954">
        <f>ROUND(SUMIF(DATA!$A:$A,"80-"&amp;LEFT($B327,4)&amp;"*-"&amp;MID(H$1,2,1)&amp;"*",DATA!$F:$F),0)</f>
        <v>0</v>
      </c>
      <c r="I327" s="1954">
        <f>ROUND(SUMIF(DATA!$A:$A,"80-"&amp;LEFT($B327,4)&amp;"*-"&amp;MID(I$1,2,1)&amp;"*",DATA!$F:$F),0)</f>
        <v>0</v>
      </c>
      <c r="J327" s="1954">
        <f>ROUND(SUMIF(DATA!$A:$A,"80-"&amp;LEFT($B327,4)&amp;"*-"&amp;MID(J$1,2,1)&amp;"*",DATA!$F:$F),0)</f>
        <v>0</v>
      </c>
      <c r="K327" s="1683">
        <f t="shared" si="24"/>
        <v>42800</v>
      </c>
      <c r="L327" s="467">
        <v>70000</v>
      </c>
      <c r="M327" s="658"/>
      <c r="N327" s="658"/>
    </row>
    <row r="328" spans="1:14" s="667" customFormat="1" x14ac:dyDescent="0.2">
      <c r="A328" s="1532" t="s">
        <v>491</v>
      </c>
      <c r="B328" s="683" t="s">
        <v>1193</v>
      </c>
      <c r="C328" s="1954">
        <f>ROUND(SUMIF(DATA!$A:$A,"80-"&amp;LEFT($B328,4)&amp;"*-"&amp;MID(C$1,2,1)&amp;"*",DATA!$F:$F),0)</f>
        <v>0</v>
      </c>
      <c r="D328" s="1954">
        <f>ROUND(SUMIF(DATA!$A:$A,"80-"&amp;LEFT($B328,4)&amp;"*-"&amp;MID(D$1,2,1)&amp;"*",DATA!$F:$F),0)</f>
        <v>0</v>
      </c>
      <c r="E328" s="1954">
        <f>ROUND(SUMIF(DATA!$A:$A,"80-"&amp;LEFT($B328,4)&amp;"*-"&amp;MID(E$1,2,1)&amp;"*",DATA!$F:$F),0)</f>
        <v>74853</v>
      </c>
      <c r="F328" s="1954">
        <f>ROUND(SUMIF(DATA!$A:$A,"80-"&amp;LEFT($B328,4)&amp;"*-"&amp;MID(F$1,2,1)&amp;"*",DATA!$F:$F),0)</f>
        <v>0</v>
      </c>
      <c r="G328" s="1954">
        <f>ROUND(SUMIF(DATA!$A:$A,"80-"&amp;LEFT($B328,4)&amp;"*-"&amp;MID(G$1,2,1)&amp;"*",DATA!$F:$F),0)</f>
        <v>0</v>
      </c>
      <c r="H328" s="1954">
        <f>ROUND(SUMIF(DATA!$A:$A,"80-"&amp;LEFT($B328,4)&amp;"*-"&amp;MID(H$1,2,1)&amp;"*",DATA!$F:$F),0)</f>
        <v>0</v>
      </c>
      <c r="I328" s="1954">
        <f>ROUND(SUMIF(DATA!$A:$A,"80-"&amp;LEFT($B328,4)&amp;"*-"&amp;MID(I$1,2,1)&amp;"*",DATA!$F:$F),0)</f>
        <v>0</v>
      </c>
      <c r="J328" s="1954">
        <f>ROUND(SUMIF(DATA!$A:$A,"80-"&amp;LEFT($B328,4)&amp;"*-"&amp;MID(J$1,2,1)&amp;"*",DATA!$F:$F),0)</f>
        <v>0</v>
      </c>
      <c r="K328" s="1711">
        <f>SUM(C328:J328)</f>
        <v>74853</v>
      </c>
      <c r="L328" s="474">
        <v>110000</v>
      </c>
      <c r="M328" s="658"/>
      <c r="N328" s="658"/>
    </row>
    <row r="329" spans="1:14" s="667" customFormat="1" x14ac:dyDescent="0.2">
      <c r="A329" s="1532" t="s">
        <v>1194</v>
      </c>
      <c r="B329" s="683" t="s">
        <v>1195</v>
      </c>
      <c r="C329" s="1954">
        <f>ROUND(SUMIF(DATA!$A:$A,"80-"&amp;LEFT($B329,4)&amp;"*-"&amp;MID(C$1,2,1)&amp;"*",DATA!$F:$F),0)</f>
        <v>0</v>
      </c>
      <c r="D329" s="1954">
        <f>ROUND(SUMIF(DATA!$A:$A,"80-"&amp;LEFT($B329,4)&amp;"*-"&amp;MID(D$1,2,1)&amp;"*",DATA!$F:$F),0)</f>
        <v>0</v>
      </c>
      <c r="E329" s="1954">
        <f>ROUND(SUMIF(DATA!$A:$A,"80-"&amp;LEFT($B329,4)&amp;"*-"&amp;MID(E$1,2,1)&amp;"*",DATA!$F:$F),0)</f>
        <v>0</v>
      </c>
      <c r="F329" s="1954">
        <f>ROUND(SUMIF(DATA!$A:$A,"80-"&amp;LEFT($B329,4)&amp;"*-"&amp;MID(F$1,2,1)&amp;"*",DATA!$F:$F),0)</f>
        <v>0</v>
      </c>
      <c r="G329" s="1954">
        <f>ROUND(SUMIF(DATA!$A:$A,"80-"&amp;LEFT($B329,4)&amp;"*-"&amp;MID(G$1,2,1)&amp;"*",DATA!$F:$F),0)</f>
        <v>0</v>
      </c>
      <c r="H329" s="1954">
        <f>ROUND(SUMIF(DATA!$A:$A,"80-"&amp;LEFT($B329,4)&amp;"*-"&amp;MID(H$1,2,1)&amp;"*",DATA!$F:$F),0)</f>
        <v>0</v>
      </c>
      <c r="I329" s="1954">
        <f>ROUND(SUMIF(DATA!$A:$A,"80-"&amp;LEFT($B329,4)&amp;"*-"&amp;MID(I$1,2,1)&amp;"*",DATA!$F:$F),0)</f>
        <v>0</v>
      </c>
      <c r="J329" s="1954">
        <f>ROUND(SUMIF(DATA!$A:$A,"80-"&amp;LEFT($B329,4)&amp;"*-"&amp;MID(J$1,2,1)&amp;"*",DATA!$F:$F),0)</f>
        <v>0</v>
      </c>
      <c r="K329" s="1711">
        <f>SUM(C329:J329)</f>
        <v>0</v>
      </c>
      <c r="L329" s="474">
        <v>0</v>
      </c>
      <c r="M329" s="658"/>
      <c r="N329" s="658"/>
    </row>
    <row r="330" spans="1:14" s="667" customFormat="1" ht="12.75" customHeight="1" thickBot="1" x14ac:dyDescent="0.25">
      <c r="A330" s="1712" t="s">
        <v>740</v>
      </c>
      <c r="B330" s="1681" t="s">
        <v>589</v>
      </c>
      <c r="C330" s="1682">
        <f>SUM(C319:C329)</f>
        <v>268516</v>
      </c>
      <c r="D330" s="1682">
        <f t="shared" ref="D330:J330" si="25">SUM(D319:D329)</f>
        <v>24190</v>
      </c>
      <c r="E330" s="1682">
        <f t="shared" si="25"/>
        <v>237636</v>
      </c>
      <c r="F330" s="1682">
        <f t="shared" si="25"/>
        <v>5651</v>
      </c>
      <c r="G330" s="1682">
        <f t="shared" si="25"/>
        <v>36232</v>
      </c>
      <c r="H330" s="1682">
        <f t="shared" si="25"/>
        <v>0</v>
      </c>
      <c r="I330" s="1682">
        <f t="shared" si="25"/>
        <v>0</v>
      </c>
      <c r="J330" s="1682">
        <f t="shared" si="25"/>
        <v>0</v>
      </c>
      <c r="K330" s="1682">
        <f>SUM(K319:K329)</f>
        <v>572225</v>
      </c>
      <c r="L330" s="1682">
        <f>SUM(L319:L329)</f>
        <v>689000</v>
      </c>
      <c r="M330" s="658"/>
      <c r="N330" s="658"/>
    </row>
    <row r="331" spans="1:14" s="667" customFormat="1" ht="12.75" customHeight="1" thickTop="1" x14ac:dyDescent="0.2">
      <c r="A331" s="1844" t="s">
        <v>1962</v>
      </c>
      <c r="B331" s="640" t="s">
        <v>914</v>
      </c>
      <c r="C331" s="1846"/>
      <c r="D331" s="1846"/>
      <c r="E331" s="1846"/>
      <c r="F331" s="1846"/>
      <c r="G331" s="1846"/>
      <c r="H331" s="1846"/>
      <c r="I331" s="1846"/>
      <c r="J331" s="1846"/>
      <c r="K331" s="1846"/>
      <c r="L331" s="1846"/>
      <c r="M331" s="658"/>
      <c r="N331" s="658"/>
    </row>
    <row r="332" spans="1:14" s="667" customFormat="1" ht="12.75" customHeight="1" x14ac:dyDescent="0.2">
      <c r="A332" s="1845" t="s">
        <v>516</v>
      </c>
      <c r="B332" s="1840" t="s">
        <v>1956</v>
      </c>
      <c r="C332" s="1846"/>
      <c r="D332" s="1846"/>
      <c r="E332" s="1846"/>
      <c r="F332" s="1846"/>
      <c r="G332" s="1846"/>
      <c r="H332" s="467"/>
      <c r="I332" s="1846"/>
      <c r="J332" s="1846"/>
      <c r="K332" s="1683">
        <f>H332</f>
        <v>0</v>
      </c>
      <c r="L332" s="467"/>
      <c r="M332" s="658"/>
      <c r="N332" s="658"/>
    </row>
    <row r="333" spans="1:14" s="667" customFormat="1" ht="12.75" customHeight="1" x14ac:dyDescent="0.2">
      <c r="A333" s="1845" t="s">
        <v>321</v>
      </c>
      <c r="B333" s="1840" t="s">
        <v>1958</v>
      </c>
      <c r="C333" s="1846"/>
      <c r="D333" s="1846"/>
      <c r="E333" s="1846"/>
      <c r="F333" s="1846"/>
      <c r="G333" s="1846"/>
      <c r="H333" s="467"/>
      <c r="I333" s="1846"/>
      <c r="J333" s="1846"/>
      <c r="K333" s="1683">
        <f>H333</f>
        <v>0</v>
      </c>
      <c r="L333" s="467"/>
      <c r="M333" s="658"/>
      <c r="N333" s="658"/>
    </row>
    <row r="334" spans="1:14" s="667" customFormat="1" ht="12.75" customHeight="1" thickBot="1" x14ac:dyDescent="0.25">
      <c r="A334" s="1845" t="s">
        <v>1963</v>
      </c>
      <c r="B334" s="1840" t="s">
        <v>914</v>
      </c>
      <c r="C334" s="1846"/>
      <c r="D334" s="1846"/>
      <c r="E334" s="1846"/>
      <c r="F334" s="1846"/>
      <c r="G334" s="1846"/>
      <c r="H334" s="1682">
        <f>SUM(H332:H333)</f>
        <v>0</v>
      </c>
      <c r="I334" s="1846"/>
      <c r="J334" s="1846"/>
      <c r="K334" s="1682">
        <f>SUM(K332:K333)</f>
        <v>0</v>
      </c>
      <c r="L334" s="1682">
        <f>SUM(L332:L333)</f>
        <v>0</v>
      </c>
      <c r="M334" s="658"/>
      <c r="N334" s="658"/>
    </row>
    <row r="335" spans="1:14" ht="15.75" customHeight="1" thickTop="1" x14ac:dyDescent="0.2">
      <c r="A335" s="1628" t="s">
        <v>954</v>
      </c>
      <c r="B335" s="1619" t="s">
        <v>512</v>
      </c>
      <c r="C335" s="610"/>
      <c r="D335" s="610"/>
      <c r="E335" s="610"/>
      <c r="F335" s="610"/>
      <c r="G335" s="610"/>
      <c r="H335" s="610"/>
      <c r="I335" s="610"/>
      <c r="J335" s="610"/>
      <c r="K335" s="610"/>
      <c r="L335" s="610"/>
    </row>
    <row r="336" spans="1:14" ht="15.75" customHeight="1" x14ac:dyDescent="0.2">
      <c r="A336" s="646" t="s">
        <v>635</v>
      </c>
      <c r="B336" s="616"/>
      <c r="C336" s="610"/>
      <c r="D336" s="610"/>
      <c r="E336" s="610"/>
      <c r="F336" s="610"/>
      <c r="G336" s="610"/>
      <c r="H336" s="617"/>
      <c r="I336" s="610"/>
      <c r="J336" s="610"/>
      <c r="K336" s="617"/>
      <c r="L336" s="617"/>
    </row>
    <row r="337" spans="1:14" x14ac:dyDescent="0.2">
      <c r="A337" s="1530" t="s">
        <v>89</v>
      </c>
      <c r="B337" s="683" t="s">
        <v>955</v>
      </c>
      <c r="C337" s="631"/>
      <c r="D337" s="631"/>
      <c r="E337" s="631"/>
      <c r="F337" s="631"/>
      <c r="G337" s="631"/>
      <c r="H337" s="477"/>
      <c r="I337" s="631"/>
      <c r="J337" s="631"/>
      <c r="K337" s="1683">
        <f>H337</f>
        <v>0</v>
      </c>
      <c r="L337" s="477"/>
    </row>
    <row r="338" spans="1:14" ht="12.75" customHeight="1" x14ac:dyDescent="0.2">
      <c r="A338" s="1530" t="s">
        <v>1231</v>
      </c>
      <c r="B338" s="683" t="s">
        <v>637</v>
      </c>
      <c r="C338" s="631"/>
      <c r="D338" s="631"/>
      <c r="E338" s="631"/>
      <c r="F338" s="631"/>
      <c r="G338" s="631"/>
      <c r="H338" s="477"/>
      <c r="I338" s="631"/>
      <c r="J338" s="631"/>
      <c r="K338" s="1683">
        <f>H338</f>
        <v>0</v>
      </c>
      <c r="L338" s="477"/>
    </row>
    <row r="339" spans="1:14" x14ac:dyDescent="0.2">
      <c r="A339" s="1516" t="s">
        <v>956</v>
      </c>
      <c r="B339" s="622">
        <v>5150</v>
      </c>
      <c r="C339" s="631"/>
      <c r="D339" s="631"/>
      <c r="E339" s="631"/>
      <c r="F339" s="631"/>
      <c r="G339" s="631"/>
      <c r="H339" s="467"/>
      <c r="I339" s="631"/>
      <c r="J339" s="631"/>
      <c r="K339" s="1683">
        <f>H339</f>
        <v>0</v>
      </c>
      <c r="L339" s="467"/>
    </row>
    <row r="340" spans="1:14" ht="13.5" thickBot="1" x14ac:dyDescent="0.25">
      <c r="A340" s="1706" t="s">
        <v>957</v>
      </c>
      <c r="B340" s="1681" t="s">
        <v>512</v>
      </c>
      <c r="C340" s="610"/>
      <c r="D340" s="610"/>
      <c r="E340" s="610"/>
      <c r="F340" s="610"/>
      <c r="G340" s="610"/>
      <c r="H340" s="1700">
        <f>SUM(H337:H339)</f>
        <v>0</v>
      </c>
      <c r="I340" s="610"/>
      <c r="J340" s="610"/>
      <c r="K340" s="1700">
        <f>SUM(K337:K339)</f>
        <v>0</v>
      </c>
      <c r="L340" s="1700">
        <f>SUM(L337:L339)</f>
        <v>0</v>
      </c>
    </row>
    <row r="341" spans="1:14" ht="15.75" customHeight="1" thickTop="1" thickBot="1" x14ac:dyDescent="0.25">
      <c r="A341" s="1631" t="s">
        <v>958</v>
      </c>
      <c r="B341" s="1623" t="s">
        <v>915</v>
      </c>
      <c r="C341" s="610"/>
      <c r="D341" s="610"/>
      <c r="E341" s="476"/>
      <c r="F341" s="468"/>
      <c r="G341" s="468"/>
      <c r="H341" s="476"/>
      <c r="I341" s="476"/>
      <c r="J341" s="468"/>
      <c r="K341" s="476"/>
      <c r="L341" s="572"/>
    </row>
    <row r="342" spans="1:14" ht="12.75" customHeight="1" thickTop="1" thickBot="1" x14ac:dyDescent="0.25">
      <c r="A342" s="1698" t="s">
        <v>525</v>
      </c>
      <c r="B342" s="1713"/>
      <c r="C342" s="1682">
        <f>SUM(C330)</f>
        <v>268516</v>
      </c>
      <c r="D342" s="1682">
        <f>SUM(D330)</f>
        <v>24190</v>
      </c>
      <c r="E342" s="1682">
        <f>SUM(E330)</f>
        <v>237636</v>
      </c>
      <c r="F342" s="1682">
        <f>SUM(F330)</f>
        <v>5651</v>
      </c>
      <c r="G342" s="1682">
        <f>SUM(G330)</f>
        <v>36232</v>
      </c>
      <c r="H342" s="1682">
        <f>SUM(H330,H334,H340)</f>
        <v>0</v>
      </c>
      <c r="I342" s="1682">
        <f>SUM(I330)</f>
        <v>0</v>
      </c>
      <c r="J342" s="1682">
        <f>SUM(J330)</f>
        <v>0</v>
      </c>
      <c r="K342" s="1682">
        <f>SUM(K330,K334,K340)</f>
        <v>572225</v>
      </c>
      <c r="L342" s="1689">
        <f>SUM(L330,L340,L341)</f>
        <v>689000</v>
      </c>
    </row>
    <row r="343" spans="1:14" ht="12.75" customHeight="1" thickTop="1" x14ac:dyDescent="0.2">
      <c r="A343" s="2198" t="s">
        <v>1052</v>
      </c>
      <c r="B343" s="2199"/>
      <c r="C343" s="610"/>
      <c r="D343" s="610"/>
      <c r="E343" s="610"/>
      <c r="F343" s="610"/>
      <c r="G343" s="610"/>
      <c r="H343" s="610"/>
      <c r="I343" s="610"/>
      <c r="J343" s="610"/>
      <c r="K343" s="1696">
        <f>'Revenues 9-14'!J275-'Expenditures 15-22'!K342</f>
        <v>89317</v>
      </c>
      <c r="L343" s="610"/>
    </row>
    <row r="344" spans="1:14" s="659" customFormat="1" ht="6" customHeight="1" x14ac:dyDescent="0.2">
      <c r="A344" s="656"/>
      <c r="B344" s="657"/>
      <c r="C344" s="643"/>
      <c r="D344" s="643"/>
      <c r="E344" s="643"/>
      <c r="F344" s="643"/>
      <c r="G344" s="643"/>
      <c r="H344" s="643"/>
      <c r="I344" s="643"/>
      <c r="J344" s="643"/>
      <c r="K344" s="643"/>
      <c r="L344" s="643"/>
      <c r="M344" s="658"/>
      <c r="N344" s="658"/>
    </row>
    <row r="345" spans="1:14" s="661" customFormat="1" ht="16.7" customHeight="1" x14ac:dyDescent="0.2">
      <c r="A345" s="2188" t="s">
        <v>1022</v>
      </c>
      <c r="B345" s="2189"/>
      <c r="C345" s="1563"/>
      <c r="D345" s="1564"/>
      <c r="E345" s="1564"/>
      <c r="F345" s="1564"/>
      <c r="G345" s="1564"/>
      <c r="H345" s="1564"/>
      <c r="I345" s="1564"/>
      <c r="J345" s="1564"/>
      <c r="K345" s="1564"/>
      <c r="L345" s="1565"/>
      <c r="M345" s="660"/>
      <c r="N345" s="660"/>
    </row>
    <row r="346" spans="1:14" s="343" customFormat="1" ht="15.75" customHeight="1" x14ac:dyDescent="0.2">
      <c r="A346" s="1635" t="s">
        <v>898</v>
      </c>
      <c r="B346" s="1627" t="s">
        <v>589</v>
      </c>
      <c r="C346" s="610"/>
      <c r="D346" s="610"/>
      <c r="E346" s="610"/>
      <c r="F346" s="610"/>
      <c r="G346" s="610"/>
      <c r="H346" s="610"/>
      <c r="I346" s="610"/>
      <c r="J346" s="610"/>
      <c r="K346" s="610"/>
      <c r="L346" s="610"/>
      <c r="M346" s="603"/>
      <c r="N346" s="603"/>
    </row>
    <row r="347" spans="1:14" ht="15.75" customHeight="1" x14ac:dyDescent="0.2">
      <c r="A347" s="692" t="s">
        <v>632</v>
      </c>
      <c r="B347" s="693"/>
      <c r="C347" s="617"/>
      <c r="D347" s="617"/>
      <c r="E347" s="617"/>
      <c r="F347" s="617"/>
      <c r="G347" s="617"/>
      <c r="H347" s="617"/>
      <c r="I347" s="610"/>
      <c r="J347" s="610"/>
      <c r="K347" s="617"/>
      <c r="L347" s="617"/>
    </row>
    <row r="348" spans="1:14" x14ac:dyDescent="0.2">
      <c r="A348" s="1516" t="s">
        <v>4</v>
      </c>
      <c r="B348" s="608">
        <v>2530</v>
      </c>
      <c r="C348" s="1954">
        <f>ROUND(SUMIF(DATA!$A:$A,"90-"&amp;LEFT($B348,4)&amp;"*-"&amp;MID(C$1,2,1)&amp;"*",DATA!$F:$F),0)</f>
        <v>0</v>
      </c>
      <c r="D348" s="1954">
        <f>ROUND(SUMIF(DATA!$A:$A,"90-"&amp;LEFT($B348,4)&amp;"*-"&amp;MID(D$1,2,1)&amp;"*",DATA!$F:$F),0)</f>
        <v>0</v>
      </c>
      <c r="E348" s="1954">
        <f>ROUND(SUMIF(DATA!$A:$A,"90-"&amp;LEFT($B348,4)&amp;"*-"&amp;MID(E$1,2,1)&amp;"*",DATA!$F:$F),0)</f>
        <v>166046</v>
      </c>
      <c r="F348" s="1954">
        <f>ROUND(SUMIF(DATA!$A:$A,"90-"&amp;LEFT($B348,4)&amp;"*-"&amp;MID(F$1,2,1)&amp;"*",DATA!$F:$F),0)</f>
        <v>0</v>
      </c>
      <c r="G348" s="1954">
        <f>ROUND(SUMIF(DATA!$A:$A,"90-"&amp;LEFT($B348,4)&amp;"*-"&amp;MID(G$1,2,1)&amp;"*",DATA!$F:$F),0)</f>
        <v>140873</v>
      </c>
      <c r="H348" s="1954">
        <f>ROUND(SUMIF(DATA!$A:$A,"90-"&amp;LEFT($B348,4)&amp;"*-"&amp;MID(H$1,2,1)&amp;"*",DATA!$F:$F),0)</f>
        <v>0</v>
      </c>
      <c r="I348" s="1954">
        <f>ROUND(SUMIF(DATA!$A:$A,"90-"&amp;LEFT($B348,4)&amp;"*-"&amp;MID(I$1,2,1)&amp;"*",DATA!$F:$F),0)</f>
        <v>0</v>
      </c>
      <c r="J348" s="1954">
        <f>ROUND(SUMIF(DATA!$A:$A,"90-"&amp;LEFT($B348,4)&amp;"*-"&amp;MID(J$1,2,1)&amp;"*",DATA!$F:$F),0)</f>
        <v>0</v>
      </c>
      <c r="K348" s="1683">
        <f>SUM(C348:J348)</f>
        <v>306919</v>
      </c>
      <c r="L348" s="466">
        <v>240000</v>
      </c>
    </row>
    <row r="349" spans="1:14" x14ac:dyDescent="0.2">
      <c r="A349" s="1516" t="s">
        <v>206</v>
      </c>
      <c r="B349" s="608">
        <v>2540</v>
      </c>
      <c r="C349" s="1954">
        <f>ROUND(SUMIF(DATA!$A:$A,"90-"&amp;LEFT($B349,4)&amp;"*-"&amp;MID(C$1,2,1)&amp;"*",DATA!$F:$F),0)</f>
        <v>0</v>
      </c>
      <c r="D349" s="1954">
        <f>ROUND(SUMIF(DATA!$A:$A,"90-"&amp;LEFT($B349,4)&amp;"*-"&amp;MID(D$1,2,1)&amp;"*",DATA!$F:$F),0)</f>
        <v>0</v>
      </c>
      <c r="E349" s="1954">
        <f>ROUND(SUMIF(DATA!$A:$A,"90-"&amp;LEFT($B349,4)&amp;"*-"&amp;MID(E$1,2,1)&amp;"*",DATA!$F:$F),0)</f>
        <v>0</v>
      </c>
      <c r="F349" s="1954">
        <f>ROUND(SUMIF(DATA!$A:$A,"90-"&amp;LEFT($B349,4)&amp;"*-"&amp;MID(F$1,2,1)&amp;"*",DATA!$F:$F),0)</f>
        <v>0</v>
      </c>
      <c r="G349" s="1954">
        <f>ROUND(SUMIF(DATA!$A:$A,"90-"&amp;LEFT($B349,4)&amp;"*-"&amp;MID(G$1,2,1)&amp;"*",DATA!$F:$F),0)</f>
        <v>0</v>
      </c>
      <c r="H349" s="1954">
        <f>ROUND(SUMIF(DATA!$A:$A,"90-"&amp;LEFT($B349,4)&amp;"*-"&amp;MID(H$1,2,1)&amp;"*",DATA!$F:$F),0)</f>
        <v>0</v>
      </c>
      <c r="I349" s="1954">
        <f>ROUND(SUMIF(DATA!$A:$A,"90-"&amp;LEFT($B349,4)&amp;"*-"&amp;MID(I$1,2,1)&amp;"*",DATA!$F:$F),0)</f>
        <v>0</v>
      </c>
      <c r="J349" s="1954">
        <f>ROUND(SUMIF(DATA!$A:$A,"90-"&amp;LEFT($B349,4)&amp;"*-"&amp;MID(J$1,2,1)&amp;"*",DATA!$F:$F),0)</f>
        <v>0</v>
      </c>
      <c r="K349" s="1683">
        <f>SUM(C349:J349)</f>
        <v>0</v>
      </c>
      <c r="L349" s="466">
        <v>0</v>
      </c>
    </row>
    <row r="350" spans="1:14" ht="12.75" customHeight="1" thickBot="1" x14ac:dyDescent="0.25">
      <c r="A350" s="1680" t="s">
        <v>742</v>
      </c>
      <c r="B350" s="1681" t="s">
        <v>35</v>
      </c>
      <c r="C350" s="1682">
        <f>SUM(C348:C349)</f>
        <v>0</v>
      </c>
      <c r="D350" s="1682">
        <f t="shared" ref="D350:L350" si="26">SUM(D348:D349)</f>
        <v>0</v>
      </c>
      <c r="E350" s="1682">
        <f t="shared" si="26"/>
        <v>166046</v>
      </c>
      <c r="F350" s="1682">
        <f t="shared" si="26"/>
        <v>0</v>
      </c>
      <c r="G350" s="1682">
        <f t="shared" si="26"/>
        <v>140873</v>
      </c>
      <c r="H350" s="1682">
        <f t="shared" si="26"/>
        <v>0</v>
      </c>
      <c r="I350" s="1682">
        <f t="shared" si="26"/>
        <v>0</v>
      </c>
      <c r="J350" s="1682">
        <f t="shared" si="26"/>
        <v>0</v>
      </c>
      <c r="K350" s="1682">
        <f t="shared" si="26"/>
        <v>306919</v>
      </c>
      <c r="L350" s="1682">
        <f t="shared" si="26"/>
        <v>240000</v>
      </c>
    </row>
    <row r="351" spans="1:14" ht="12.75" customHeight="1" thickTop="1" x14ac:dyDescent="0.2">
      <c r="A351" s="1522" t="s">
        <v>1036</v>
      </c>
      <c r="B351" s="636" t="s">
        <v>594</v>
      </c>
      <c r="C351" s="1954">
        <f>ROUND(SUMIF(DATA!$A:$A,"90-"&amp;LEFT($B351,4)&amp;"*-"&amp;MID(C$1,2,1)&amp;"*",DATA!$F:$F),0)</f>
        <v>0</v>
      </c>
      <c r="D351" s="1954">
        <f>ROUND(SUMIF(DATA!$A:$A,"90-"&amp;LEFT($B351,4)&amp;"*-"&amp;MID(D$1,2,1)&amp;"*",DATA!$F:$F),0)</f>
        <v>0</v>
      </c>
      <c r="E351" s="1954">
        <f>ROUND(SUMIF(DATA!$A:$A,"90-"&amp;LEFT($B351,4)&amp;"*-"&amp;MID(E$1,2,1)&amp;"*",DATA!$F:$F),0)</f>
        <v>0</v>
      </c>
      <c r="F351" s="1954">
        <f>ROUND(SUMIF(DATA!$A:$A,"90-"&amp;LEFT($B351,4)&amp;"*-"&amp;MID(F$1,2,1)&amp;"*",DATA!$F:$F),0)</f>
        <v>0</v>
      </c>
      <c r="G351" s="1954">
        <f>ROUND(SUMIF(DATA!$A:$A,"90-"&amp;LEFT($B351,4)&amp;"*-"&amp;MID(G$1,2,1)&amp;"*",DATA!$F:$F),0)</f>
        <v>0</v>
      </c>
      <c r="H351" s="1954">
        <f>ROUND(SUMIF(DATA!$A:$A,"90-"&amp;LEFT($B351,4)&amp;"*-"&amp;MID(H$1,2,1)&amp;"*",DATA!$F:$F),0)</f>
        <v>0</v>
      </c>
      <c r="I351" s="1954">
        <f>ROUND(SUMIF(DATA!$A:$A,"90-"&amp;LEFT($B351,4)&amp;"*-"&amp;MID(I$1,2,1)&amp;"*",DATA!$F:$F),0)</f>
        <v>0</v>
      </c>
      <c r="J351" s="1954">
        <f>ROUND(SUMIF(DATA!$A:$A,"90-"&amp;LEFT($B351,4)&amp;"*-"&amp;MID(J$1,2,1)&amp;"*",DATA!$F:$F),0)</f>
        <v>0</v>
      </c>
      <c r="K351" s="609">
        <f>SUM(C351:J351)</f>
        <v>0</v>
      </c>
      <c r="L351" s="480"/>
    </row>
    <row r="352" spans="1:14" ht="12.75" customHeight="1" thickBot="1" x14ac:dyDescent="0.25">
      <c r="A352" s="1680" t="s">
        <v>644</v>
      </c>
      <c r="B352" s="1687" t="s">
        <v>589</v>
      </c>
      <c r="C352" s="1682">
        <f>SUM(C350:C351)</f>
        <v>0</v>
      </c>
      <c r="D352" s="1682">
        <f t="shared" ref="D352:L352" si="27">SUM(D350:D351)</f>
        <v>0</v>
      </c>
      <c r="E352" s="1682">
        <f t="shared" si="27"/>
        <v>166046</v>
      </c>
      <c r="F352" s="1682">
        <f t="shared" si="27"/>
        <v>0</v>
      </c>
      <c r="G352" s="1682">
        <f t="shared" si="27"/>
        <v>140873</v>
      </c>
      <c r="H352" s="1682">
        <f t="shared" si="27"/>
        <v>0</v>
      </c>
      <c r="I352" s="1682">
        <f t="shared" si="27"/>
        <v>0</v>
      </c>
      <c r="J352" s="1682">
        <f t="shared" si="27"/>
        <v>0</v>
      </c>
      <c r="K352" s="1682">
        <f t="shared" si="27"/>
        <v>306919</v>
      </c>
      <c r="L352" s="1682">
        <f t="shared" si="27"/>
        <v>240000</v>
      </c>
    </row>
    <row r="353" spans="1:14" s="343" customFormat="1" ht="15.75" customHeight="1" thickTop="1" x14ac:dyDescent="0.2">
      <c r="A353" s="1624" t="s">
        <v>645</v>
      </c>
      <c r="B353" s="1621" t="s">
        <v>914</v>
      </c>
      <c r="C353" s="610"/>
      <c r="D353" s="610"/>
      <c r="E353" s="610"/>
      <c r="F353" s="610"/>
      <c r="G353" s="610"/>
      <c r="H353" s="610"/>
      <c r="I353" s="610"/>
      <c r="J353" s="610"/>
      <c r="K353" s="610"/>
      <c r="L353" s="610"/>
      <c r="M353" s="603"/>
      <c r="N353" s="603"/>
    </row>
    <row r="354" spans="1:14" x14ac:dyDescent="0.2">
      <c r="A354" s="1847" t="s">
        <v>1964</v>
      </c>
      <c r="B354" s="676" t="s">
        <v>1956</v>
      </c>
      <c r="C354" s="610"/>
      <c r="D354" s="610"/>
      <c r="E354" s="610"/>
      <c r="F354" s="610"/>
      <c r="G354" s="610"/>
      <c r="H354" s="1954">
        <f>ROUND(SUMIF(DATA!$A:$A,"90-"&amp;LEFT($B354,4)&amp;"*-"&amp;MID(H$1,2,1)&amp;"*",DATA!$F:$F),0)</f>
        <v>0</v>
      </c>
      <c r="I354" s="694"/>
      <c r="J354" s="610"/>
      <c r="K354" s="1711">
        <f>H354</f>
        <v>0</v>
      </c>
      <c r="L354" s="471"/>
    </row>
    <row r="355" spans="1:14" ht="12.75" customHeight="1" x14ac:dyDescent="0.2">
      <c r="A355" s="1525" t="s">
        <v>1965</v>
      </c>
      <c r="B355" s="683" t="s">
        <v>1958</v>
      </c>
      <c r="C355" s="610"/>
      <c r="D355" s="610"/>
      <c r="E355" s="610"/>
      <c r="F355" s="610"/>
      <c r="G355" s="610"/>
      <c r="H355" s="1954">
        <f>ROUND(SUMIF(DATA!$A:$A,"90-"&amp;LEFT($B355,4)&amp;"*-"&amp;MID(H$1,2,1)&amp;"*",DATA!$F:$F),0)</f>
        <v>0</v>
      </c>
      <c r="I355" s="694"/>
      <c r="J355" s="610"/>
      <c r="K355" s="1755">
        <f>H355</f>
        <v>0</v>
      </c>
      <c r="L355" s="467"/>
    </row>
    <row r="356" spans="1:14" ht="12.75" customHeight="1" x14ac:dyDescent="0.2">
      <c r="A356" s="1847" t="s">
        <v>721</v>
      </c>
      <c r="B356" s="676" t="s">
        <v>578</v>
      </c>
      <c r="C356" s="610"/>
      <c r="D356" s="610"/>
      <c r="E356" s="610"/>
      <c r="F356" s="610"/>
      <c r="G356" s="610"/>
      <c r="H356" s="1954">
        <f>ROUND(SUMIF(DATA!$A:$A,"90-"&amp;LEFT($B356,4)&amp;"*-"&amp;MID(H$1,2,1)&amp;"*",DATA!$F:$F),0)</f>
        <v>0</v>
      </c>
      <c r="I356" s="694"/>
      <c r="J356" s="610"/>
      <c r="K356" s="1752">
        <f>H356</f>
        <v>0</v>
      </c>
      <c r="L356" s="478"/>
    </row>
    <row r="357" spans="1:14" ht="12.75" customHeight="1" thickBot="1" x14ac:dyDescent="0.25">
      <c r="A357" s="1680" t="s">
        <v>1566</v>
      </c>
      <c r="B357" s="1681" t="s">
        <v>914</v>
      </c>
      <c r="C357" s="610"/>
      <c r="D357" s="610"/>
      <c r="E357" s="610"/>
      <c r="F357" s="610"/>
      <c r="G357" s="610"/>
      <c r="H357" s="1700">
        <f>SUM(H354:H356)</f>
        <v>0</v>
      </c>
      <c r="I357" s="694"/>
      <c r="J357" s="610"/>
      <c r="K357" s="1700">
        <f>SUM(K354:K356)</f>
        <v>0</v>
      </c>
      <c r="L357" s="1700">
        <f>SUM(L354:L356)</f>
        <v>0</v>
      </c>
    </row>
    <row r="358" spans="1:14" s="343" customFormat="1" ht="15.75" customHeight="1" thickTop="1" x14ac:dyDescent="0.2">
      <c r="A358" s="1624" t="s">
        <v>1004</v>
      </c>
      <c r="B358" s="1621" t="s">
        <v>512</v>
      </c>
      <c r="C358" s="610"/>
      <c r="D358" s="610"/>
      <c r="E358" s="610"/>
      <c r="F358" s="610"/>
      <c r="G358" s="610"/>
      <c r="H358" s="610"/>
      <c r="I358" s="610"/>
      <c r="J358" s="610"/>
      <c r="K358" s="610"/>
      <c r="L358" s="610"/>
      <c r="M358" s="603"/>
      <c r="N358" s="603"/>
    </row>
    <row r="359" spans="1:14" s="343" customFormat="1" ht="15.75" customHeight="1" x14ac:dyDescent="0.2">
      <c r="A359" s="646" t="s">
        <v>647</v>
      </c>
      <c r="B359" s="616"/>
      <c r="C359" s="610"/>
      <c r="D359" s="610"/>
      <c r="E359" s="610"/>
      <c r="F359" s="610"/>
      <c r="G359" s="610"/>
      <c r="H359" s="610"/>
      <c r="I359" s="610"/>
      <c r="J359" s="610"/>
      <c r="K359" s="617"/>
      <c r="L359" s="617"/>
      <c r="M359" s="603"/>
      <c r="N359" s="603"/>
    </row>
    <row r="360" spans="1:14" x14ac:dyDescent="0.2">
      <c r="A360" s="1516" t="s">
        <v>89</v>
      </c>
      <c r="B360" s="608">
        <v>5110</v>
      </c>
      <c r="C360" s="610"/>
      <c r="D360" s="610"/>
      <c r="E360" s="610"/>
      <c r="F360" s="610"/>
      <c r="G360" s="610"/>
      <c r="H360" s="1954">
        <f>ROUND(SUMIF(DATA!$A:$A,"90-"&amp;LEFT($B360,4)&amp;"*-"&amp;MID(H$1,2,1)&amp;"*",DATA!$F:$F),0)</f>
        <v>0</v>
      </c>
      <c r="I360" s="610"/>
      <c r="J360" s="610"/>
      <c r="K360" s="1683">
        <f>SUM(C360:J360)</f>
        <v>0</v>
      </c>
      <c r="L360" s="466"/>
    </row>
    <row r="361" spans="1:14" ht="12.75" customHeight="1" x14ac:dyDescent="0.2">
      <c r="A361" s="1517" t="s">
        <v>639</v>
      </c>
      <c r="B361" s="596" t="s">
        <v>638</v>
      </c>
      <c r="C361" s="610"/>
      <c r="D361" s="610"/>
      <c r="E361" s="610"/>
      <c r="F361" s="610"/>
      <c r="G361" s="610"/>
      <c r="H361" s="1954">
        <f>ROUND(SUMIF(DATA!$A:$A,"90-"&amp;LEFT($B361,4)&amp;"*-"&amp;MID(H$1,2,1)&amp;"*",DATA!$F:$F),0)</f>
        <v>0</v>
      </c>
      <c r="I361" s="610"/>
      <c r="J361" s="610"/>
      <c r="K361" s="1683">
        <f>SUM(C361:J361)</f>
        <v>0</v>
      </c>
      <c r="L361" s="466"/>
    </row>
    <row r="362" spans="1:14" ht="12.75" customHeight="1" thickBot="1" x14ac:dyDescent="0.25">
      <c r="A362" s="1680" t="s">
        <v>646</v>
      </c>
      <c r="B362" s="1681" t="s">
        <v>741</v>
      </c>
      <c r="C362" s="610"/>
      <c r="D362" s="610"/>
      <c r="E362" s="610"/>
      <c r="F362" s="610"/>
      <c r="G362" s="610"/>
      <c r="H362" s="1715">
        <f>SUM(H360:H361)</f>
        <v>0</v>
      </c>
      <c r="I362" s="610"/>
      <c r="J362" s="610"/>
      <c r="K362" s="1715">
        <f>SUM(K360:K361)</f>
        <v>0</v>
      </c>
      <c r="L362" s="1715">
        <f>SUM(L360:L361)</f>
        <v>0</v>
      </c>
    </row>
    <row r="363" spans="1:14" s="667" customFormat="1" ht="15.75" customHeight="1" thickTop="1" x14ac:dyDescent="0.2">
      <c r="A363" s="653" t="s">
        <v>85</v>
      </c>
      <c r="B363" s="654" t="s">
        <v>38</v>
      </c>
      <c r="C363" s="631"/>
      <c r="D363" s="631"/>
      <c r="E363" s="631"/>
      <c r="F363" s="631"/>
      <c r="G363" s="631"/>
      <c r="H363" s="1954">
        <f>ROUND(SUMIF(DATA!$A:$A,"90-"&amp;LEFT($B363,4)&amp;"*-"&amp;MID(H$1,2,1)&amp;"*",DATA!$F:$F),0)</f>
        <v>0</v>
      </c>
      <c r="I363" s="631"/>
      <c r="J363" s="631"/>
      <c r="K363" s="1711">
        <f>SUM(C363:J363)</f>
        <v>0</v>
      </c>
      <c r="L363" s="478"/>
      <c r="M363" s="658"/>
      <c r="N363" s="658"/>
    </row>
    <row r="364" spans="1:14" s="700" customFormat="1" ht="29.25" customHeight="1" x14ac:dyDescent="0.2">
      <c r="A364" s="695" t="s">
        <v>1770</v>
      </c>
      <c r="B364" s="696">
        <v>5300</v>
      </c>
      <c r="C364" s="697"/>
      <c r="D364" s="698"/>
      <c r="E364" s="698"/>
      <c r="F364" s="697"/>
      <c r="G364" s="698"/>
      <c r="H364" s="1954">
        <f>ROUND(SUMIF(DATA!$A:$A,"90-"&amp;LEFT($B364,4)&amp;"*-"&amp;MID(H$1,2,1)&amp;"*",DATA!$F:$F),0)</f>
        <v>0</v>
      </c>
      <c r="I364" s="698"/>
      <c r="J364" s="698"/>
      <c r="K364" s="1683">
        <f>SUM(C364:J364)</f>
        <v>0</v>
      </c>
      <c r="L364" s="699"/>
    </row>
    <row r="365" spans="1:14" s="667" customFormat="1" ht="12.75" customHeight="1" thickBot="1" x14ac:dyDescent="0.25">
      <c r="A365" s="1533" t="s">
        <v>610</v>
      </c>
      <c r="B365" s="652" t="s">
        <v>512</v>
      </c>
      <c r="C365" s="631"/>
      <c r="D365" s="631"/>
      <c r="E365" s="631"/>
      <c r="F365" s="631"/>
      <c r="G365" s="631"/>
      <c r="H365" s="1715">
        <f>SUM(H362,H363,H364)</f>
        <v>0</v>
      </c>
      <c r="I365" s="631"/>
      <c r="J365" s="631"/>
      <c r="K365" s="1715">
        <f>SUM(K362,K363,K364)</f>
        <v>0</v>
      </c>
      <c r="L365" s="1715">
        <f>SUM(L362,L363,L364)</f>
        <v>0</v>
      </c>
      <c r="M365" s="658"/>
      <c r="N365" s="658"/>
    </row>
    <row r="366" spans="1:14" s="343" customFormat="1" ht="15.75" customHeight="1" thickTop="1" thickBot="1" x14ac:dyDescent="0.25">
      <c r="A366" s="1618" t="s">
        <v>1005</v>
      </c>
      <c r="B366" s="1625" t="s">
        <v>915</v>
      </c>
      <c r="C366" s="617"/>
      <c r="D366" s="617"/>
      <c r="E366" s="617"/>
      <c r="F366" s="617"/>
      <c r="G366" s="617"/>
      <c r="H366" s="617"/>
      <c r="I366" s="617"/>
      <c r="J366" s="610"/>
      <c r="K366" s="617"/>
      <c r="L366" s="570"/>
      <c r="M366" s="603"/>
      <c r="N366" s="603"/>
    </row>
    <row r="367" spans="1:14" ht="12.75" customHeight="1" thickTop="1" thickBot="1" x14ac:dyDescent="0.25">
      <c r="A367" s="1704" t="s">
        <v>525</v>
      </c>
      <c r="B367" s="1716"/>
      <c r="C367" s="1682">
        <f t="shared" ref="C367:L367" si="28">SUM(C352,C357,C365,C366)</f>
        <v>0</v>
      </c>
      <c r="D367" s="1682">
        <f t="shared" si="28"/>
        <v>0</v>
      </c>
      <c r="E367" s="1682">
        <f t="shared" si="28"/>
        <v>166046</v>
      </c>
      <c r="F367" s="1682">
        <f t="shared" si="28"/>
        <v>0</v>
      </c>
      <c r="G367" s="1682">
        <f t="shared" si="28"/>
        <v>140873</v>
      </c>
      <c r="H367" s="1682">
        <f t="shared" si="28"/>
        <v>0</v>
      </c>
      <c r="I367" s="1682">
        <f t="shared" si="28"/>
        <v>0</v>
      </c>
      <c r="J367" s="1682">
        <f t="shared" si="28"/>
        <v>0</v>
      </c>
      <c r="K367" s="1682">
        <f t="shared" si="28"/>
        <v>306919</v>
      </c>
      <c r="L367" s="1682">
        <f t="shared" si="28"/>
        <v>240000</v>
      </c>
    </row>
    <row r="368" spans="1:14" ht="13.5" thickTop="1" x14ac:dyDescent="0.2">
      <c r="A368" s="2212" t="s">
        <v>1052</v>
      </c>
      <c r="B368" s="2213"/>
      <c r="C368" s="647"/>
      <c r="D368" s="647"/>
      <c r="E368" s="620"/>
      <c r="F368" s="620"/>
      <c r="G368" s="620"/>
      <c r="H368" s="620"/>
      <c r="I368" s="620"/>
      <c r="J368" s="617"/>
      <c r="K368" s="1683">
        <f>'Revenues 9-14'!K275-'Expenditures 15-22'!K367</f>
        <v>-6407</v>
      </c>
      <c r="L368" s="647"/>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6"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&amp;CSee Notes To Financial Statements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9216-9548-403A-A1AC-CF57406FE3BA}">
  <ds:schemaRefs>
    <ds:schemaRef ds:uri="http://schemas.openxmlformats.org/package/2006/metadata/core-properties"/>
    <ds:schemaRef ds:uri="http://purl.org/dc/elements/1.1/"/>
    <ds:schemaRef ds:uri="http://www.w3.org/XML/1998/namespace"/>
    <ds:schemaRef ds:uri="http://purl.org/dc/terms/"/>
    <ds:schemaRef ds:uri="4d435f69-8686-490b-bd6d-b153bf22ab50"/>
    <ds:schemaRef ds:uri="http://schemas.microsoft.com/office/2006/documentManagement/types"/>
    <ds:schemaRef ds:uri="http://schemas.microsoft.com/sharepoint/v3"/>
    <ds:schemaRef ds:uri="d21dc803-237d-4c68-8692-8d731fd29118"/>
    <ds:schemaRef ds:uri="http://schemas.microsoft.com/office/infopath/2007/PartnerControls"/>
    <ds:schemaRef ds:uri="6ce3111e-7420-4802-b50a-75d4e9a0b98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DATA</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2018-10-03T15:32:33Z</cp:lastPrinted>
  <dcterms:created xsi:type="dcterms:W3CDTF">2003-10-29T19:06:34Z</dcterms:created>
  <dcterms:modified xsi:type="dcterms:W3CDTF">2018-10-03T17:49:55Z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