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3" i="11"/>
  <c r="I12" i="11"/>
  <c r="D268" i="29"/>
  <c r="D266" i="29"/>
  <c r="D259" i="29"/>
  <c r="D264" i="29"/>
  <c r="D245" i="29"/>
  <c r="D217" i="29"/>
  <c r="F124" i="29"/>
  <c r="E124" i="29"/>
  <c r="F49" i="29"/>
  <c r="E49" i="29"/>
  <c r="C126" i="5"/>
  <c r="D4" i="3"/>
  <c r="C39"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6" i="108"/>
  <c r="G26" i="108"/>
  <c r="D27" i="108"/>
  <c r="E27" i="108"/>
  <c r="F27" i="108"/>
  <c r="G27" i="108"/>
  <c r="E28" i="108"/>
  <c r="F28" i="108"/>
  <c r="F31" i="108"/>
  <c r="F36" i="108"/>
  <c r="F37" i="108"/>
  <c r="G28"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D11" i="37"/>
  <c r="D22" i="37"/>
  <c r="D24" i="37"/>
  <c r="B4270" i="106" s="1"/>
  <c r="D4270" i="106" s="1"/>
  <c r="B5599" i="106"/>
  <c r="D5599" i="106" s="1"/>
  <c r="H173" i="5"/>
  <c r="B5906" i="106" s="1"/>
  <c r="D5906" i="106" s="1"/>
  <c r="D7" i="7"/>
  <c r="B1763" i="106" s="1"/>
  <c r="D1763" i="106" s="1"/>
  <c r="L22" i="37" l="1"/>
  <c r="H33" i="118"/>
  <c r="F41" i="34"/>
  <c r="B1274" i="106"/>
  <c r="D1274" i="106" s="1"/>
  <c r="H6" i="4"/>
  <c r="B2656" i="106" s="1"/>
  <c r="D2656" i="106" s="1"/>
  <c r="F136" i="34"/>
  <c r="J22" i="37"/>
  <c r="F72" i="34"/>
  <c r="E35" i="108"/>
  <c r="G29" i="108"/>
  <c r="L5" i="11"/>
  <c r="B2056" i="106" s="1"/>
  <c r="D2056" i="106" s="1"/>
  <c r="J210" i="29"/>
  <c r="B7072" i="106" s="1"/>
  <c r="D7072" i="106" s="1"/>
  <c r="G172" i="5"/>
  <c r="G173" i="5" s="1"/>
  <c r="B5778" i="106" s="1"/>
  <c r="D5778" i="106" s="1"/>
  <c r="G15" i="145"/>
  <c r="F44" i="34"/>
  <c r="J352" i="29"/>
  <c r="J367" i="29" s="1"/>
  <c r="B7245" i="106" s="1"/>
  <c r="D7245" i="106" s="1"/>
  <c r="F77" i="4"/>
  <c r="B3255" i="106" s="1"/>
  <c r="D3255" i="106" s="1"/>
  <c r="B1124" i="106"/>
  <c r="D1124" i="106" s="1"/>
  <c r="B4373" i="106"/>
  <c r="D4373" i="106" s="1"/>
  <c r="L15" i="11"/>
  <c r="B3459" i="106" s="1"/>
  <c r="D3459" i="106" s="1"/>
  <c r="J274" i="5"/>
  <c r="B7054" i="106" s="1"/>
  <c r="D7054" i="106" s="1"/>
  <c r="K173" i="5"/>
  <c r="K6" i="4" s="1"/>
  <c r="B3570" i="106" s="1"/>
  <c r="D3570" i="106" s="1"/>
  <c r="E29" i="108"/>
  <c r="D69" i="36"/>
  <c r="K26" i="12"/>
  <c r="B7743" i="106" s="1"/>
  <c r="D7743" i="106" s="1"/>
  <c r="F14" i="4"/>
  <c r="B2597" i="106" s="1"/>
  <c r="D2597" i="106" s="1"/>
  <c r="F50" i="34"/>
  <c r="F42" i="34"/>
  <c r="D12" i="7"/>
  <c r="B1769" i="106" s="1"/>
  <c r="D1769" i="106" s="1"/>
  <c r="B5752" i="106"/>
  <c r="D5752" i="106" s="1"/>
  <c r="F19" i="7"/>
  <c r="B1807" i="106" s="1"/>
  <c r="D1807" i="106" s="1"/>
  <c r="F37" i="34"/>
  <c r="K350" i="29"/>
  <c r="D9" i="7"/>
  <c r="B1767" i="106" s="1"/>
  <c r="D1767" i="106" s="1"/>
  <c r="F67" i="34"/>
  <c r="F26" i="108"/>
  <c r="F41" i="108" s="1"/>
  <c r="G43" i="108" s="1"/>
  <c r="F106" i="34"/>
  <c r="D13" i="7"/>
  <c r="B3726" i="106" s="1"/>
  <c r="D3726" i="106" s="1"/>
  <c r="F128" i="34"/>
  <c r="H109" i="5"/>
  <c r="B6025" i="106" s="1"/>
  <c r="D6025" i="106" s="1"/>
  <c r="L367" i="29"/>
  <c r="H112" i="29"/>
  <c r="B7018" i="106" s="1"/>
  <c r="D7018" i="106" s="1"/>
  <c r="D17" i="7"/>
  <c r="B4104" i="106" s="1"/>
  <c r="D4104" i="106" s="1"/>
  <c r="C172" i="5"/>
  <c r="B5214" i="106" s="1"/>
  <c r="D5214" i="106" s="1"/>
  <c r="F127" i="34"/>
  <c r="D5" i="7"/>
  <c r="B1761" i="106" s="1"/>
  <c r="D1761" i="106" s="1"/>
  <c r="D5" i="4"/>
  <c r="B3406" i="106" s="1"/>
  <c r="D3406" i="106" s="1"/>
  <c r="K274" i="5"/>
  <c r="K7" i="4" s="1"/>
  <c r="B3718" i="106" s="1"/>
  <c r="D3718" i="106" s="1"/>
  <c r="F69" i="34"/>
  <c r="F46" i="34"/>
  <c r="F35" i="34"/>
  <c r="G35" i="108"/>
  <c r="D26" i="108"/>
  <c r="C342" i="29"/>
  <c r="B7216" i="106" s="1"/>
  <c r="D7216" i="106" s="1"/>
  <c r="B4087" i="106"/>
  <c r="D4087" i="106" s="1"/>
  <c r="K76" i="4"/>
  <c r="B3586" i="106" s="1"/>
  <c r="D3586" i="106" s="1"/>
  <c r="E174" i="29"/>
  <c r="B1309" i="106" s="1"/>
  <c r="D1309" i="106" s="1"/>
  <c r="B1126" i="106"/>
  <c r="D1126" i="106" s="1"/>
  <c r="L342" i="29"/>
  <c r="L13" i="11"/>
  <c r="B2060" i="106" s="1"/>
  <c r="D2060" i="106" s="1"/>
  <c r="B1223" i="106"/>
  <c r="D1223" i="106" s="1"/>
  <c r="F94" i="34"/>
  <c r="C109" i="5"/>
  <c r="B5121" i="106" s="1"/>
  <c r="D5121" i="106" s="1"/>
  <c r="D4" i="7"/>
  <c r="B1760" i="106" s="1"/>
  <c r="D1760" i="106"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221" i="106" s="1"/>
  <c r="D7221" i="106" s="1"/>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D7255" i="106" l="1"/>
  <c r="C173" i="5"/>
  <c r="B7235" i="106"/>
  <c r="D7235" i="106" s="1"/>
  <c r="D7253" i="106"/>
  <c r="H275" i="5"/>
  <c r="D7256" i="106"/>
  <c r="D7251" i="106"/>
  <c r="H4" i="4"/>
  <c r="F274" i="5"/>
  <c r="F275" i="5" s="1"/>
  <c r="B5720" i="106" s="1"/>
  <c r="D5720" i="106" s="1"/>
  <c r="D7254" i="106"/>
  <c r="D7250" i="106"/>
  <c r="B6022" i="106"/>
  <c r="D6022" i="106" s="1"/>
  <c r="L114" i="29"/>
  <c r="L16" i="11"/>
  <c r="B2061" i="106" s="1"/>
  <c r="D2061" i="106" s="1"/>
  <c r="K342" i="29"/>
  <c r="F13" i="34" s="1"/>
  <c r="D19" i="7"/>
  <c r="B1775" i="106" s="1"/>
  <c r="D1775" i="106" s="1"/>
  <c r="B1317" i="106"/>
  <c r="D1317" i="106" s="1"/>
  <c r="B5527" i="106"/>
  <c r="D5527" i="106" s="1"/>
  <c r="C114" i="29"/>
  <c r="B757" i="106" s="1"/>
  <c r="D757" i="106" s="1"/>
  <c r="C4" i="4"/>
  <c r="B2551" i="106" s="1"/>
  <c r="D2551" i="106" s="1"/>
  <c r="D51" i="36"/>
  <c r="D44" i="36"/>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223" i="106" l="1"/>
  <c r="D5223" i="106" s="1"/>
  <c r="C6" i="4"/>
  <c r="B2553" i="106" s="1"/>
  <c r="D2553" i="106" s="1"/>
  <c r="B2655" i="106"/>
  <c r="D2655" i="106" s="1"/>
  <c r="H8" i="4"/>
  <c r="J17" i="4"/>
  <c r="J19" i="4" s="1"/>
  <c r="B6229" i="106" s="1"/>
  <c r="D6229" i="106" s="1"/>
  <c r="G41" i="108"/>
  <c r="G44" i="108" s="1"/>
  <c r="G45" i="108" s="1"/>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D8" i="4" l="1"/>
  <c r="H10" i="4"/>
  <c r="B4127" i="106" s="1"/>
  <c r="D4127" i="106" s="1"/>
  <c r="B2658" i="106"/>
  <c r="D2658" i="106" s="1"/>
  <c r="D8" i="146"/>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<sst xmlns="http://schemas.openxmlformats.org/spreadsheetml/2006/main" count="5057" uniqueCount="2112">
  <si>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</si>
  <si>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</si>
  <si>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</si>
  <si>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</si>
  <si>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</si>
  <si>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</si>
  <si>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</si>
  <si>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</si>
  <si>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</si>
  <si>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</si>
  <si>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</si>
  <si>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</si>
  <si>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</si>
  <si>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</si>
  <si>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</si>
  <si>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</si>
  <si>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</si>
  <si>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</si>
  <si>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</si>
  <si>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</si>
  <si>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</si>
  <si>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</si>
  <si>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</si>
  <si>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</si>
  <si>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</si>
  <si>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</si>
  <si>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</si>
  <si>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</si>
  <si>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</si>
  <si>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</si>
  <si>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</si>
  <si>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</si>
  <si>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</si>
  <si>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</si>
  <si>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</si>
  <si>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</si>
  <si>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</si>
  <si>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</si>
  <si>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</si>
  <si>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</si>
  <si>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</si>
  <si>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</si>
  <si>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</si>
  <si>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</si>
  <si>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</si>
  <si>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</si>
  <si>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</si>
  <si>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</si>
  <si>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</si>
  <si>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</si>
  <si>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</si>
  <si>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</si>
  <si>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</si>
  <si>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</si>
  <si>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</si>
  <si>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</si>
  <si>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</si>
  <si>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</si>
  <si>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</si>
  <si>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</si>
  <si>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</si>
  <si>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</si>
  <si>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</si>
  <si>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</si>
  <si>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</si>
  <si>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</si>
  <si>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</si>
  <si>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</si>
  <si>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</si>
  <si>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</si>
  <si>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</si>
  <si>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</si>
  <si>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</si>
  <si>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</si>
  <si>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</si>
  <si>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</si>
  <si>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</si>
  <si>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</si>
  <si>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</si>
  <si>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</si>
  <si>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</si>
  <si>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</si>
  <si>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</si>
  <si>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</si>
  <si>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</si>
  <si>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</si>
  <si>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</si>
  <si>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</si>
  <si>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</si>
  <si>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</si>
  <si>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</si>
  <si>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</si>
  <si>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</si>
  <si>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</si>
  <si>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</si>
  <si>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</si>
  <si>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</si>
  <si>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</si>
  <si>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</si>
  <si>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</si>
  <si>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</si>
  <si>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</si>
  <si>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</si>
  <si>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</si>
  <si>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</si>
  <si>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</si>
  <si>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</si>
  <si>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</si>
  <si>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</si>
  <si>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</si>
  <si>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</si>
  <si>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</si>
  <si>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</si>
  <si>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</si>
  <si>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</si>
  <si>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</si>
  <si>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</si>
  <si>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</si>
  <si>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</si>
  <si>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</si>
  <si>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</si>
  <si>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</si>
  <si>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</si>
  <si>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</si>
  <si>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</si>
  <si>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</si>
  <si>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</si>
  <si>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</si>
  <si>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</si>
  <si>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</si>
  <si>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</si>
  <si>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</si>
  <si>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</si>
  <si>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</si>
  <si>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</si>
  <si>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</si>
  <si>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</si>
  <si>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</si>
  <si>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</si>
  <si>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</si>
  <si>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</si>
  <si>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</si>
  <si>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</si>
  <si>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</si>
  <si>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</si>
  <si>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</si>
  <si>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</si>
  <si>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</si>
  <si>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</si>
  <si>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</si>
  <si>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</si>
  <si>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</si>
  <si>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</si>
  <si>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</si>
  <si>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</si>
  <si>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</si>
  <si>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</si>
  <si>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</si>
  <si>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</si>
  <si>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</si>
  <si>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</si>
  <si>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</si>
  <si>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</si>
  <si>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</si>
  <si>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</si>
  <si>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</si>
  <si>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</si>
  <si>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</si>
  <si>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</si>
  <si>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</si>
  <si>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</si>
  <si>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</si>
  <si>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</si>
  <si>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</si>
  <si>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</si>
  <si>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</si>
  <si>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</si>
  <si>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</si>
  <si>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</si>
  <si>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</si>
  <si>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</si>
  <si>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</si>
  <si>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</si>
  <si>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</si>
  <si>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</si>
  <si>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</si>
  <si>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</si>
  <si>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</si>
  <si>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</si>
  <si>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</si>
  <si>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</si>
  <si>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</si>
  <si>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</si>
  <si>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</si>
  <si>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</si>
  <si>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</si>
  <si>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</si>
  <si>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</si>
  <si>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</si>
  <si>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</si>
  <si>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</si>
  <si>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</si>
  <si>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</si>
  <si>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</si>
  <si>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</si>
  <si>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</si>
  <si>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</si>
  <si>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</si>
  <si>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</si>
  <si>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</si>
  <si>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</si>
  <si>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</si>
  <si>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</si>
  <si>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</si>
  <si>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</si>
  <si>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</si>
  <si>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</si>
  <si>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</si>
  <si>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</si>
  <si>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</si>
  <si>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</si>
  <si>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</si>
  <si>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</si>
  <si>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</si>
  <si>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</si>
  <si>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</si>
  <si>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</si>
  <si>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</si>
  <si>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</si>
  <si>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</si>
  <si>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</si>
  <si>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</si>
  <si>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</si>
  <si>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</si>
  <si>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</si>
  <si>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</si>
  <si>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</si>
  <si>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</si>
  <si>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</si>
  <si>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</si>
  <si>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</si>
  <si>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</si>
  <si>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</si>
  <si>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</si>
  <si>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</si>
  <si>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</si>
  <si>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</si>
  <si>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</si>
  <si>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</si>
  <si>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</si>
  <si>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</si>
  <si>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</si>
  <si>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</si>
  <si>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</si>
  <si>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</si>
  <si>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</si>
  <si>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</si>
  <si>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</si>
  <si>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</si>
  <si>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</si>
  <si>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</si>
  <si>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</si>
  <si>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</si>
  <si>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</si>
  <si>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</si>
  <si>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</si>
  <si>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</si>
  <si>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</si>
  <si>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</si>
  <si>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</si>
  <si>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</si>
  <si>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</si>
  <si>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</si>
  <si>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</si>
  <si>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</si>
  <si>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</si>
  <si>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</si>
  <si>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</si>
  <si>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</si>
  <si>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</si>
  <si>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</si>
  <si>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</si>
  <si>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</si>
  <si>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</si>
  <si>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</si>
  <si>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</si>
  <si>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</si>
  <si>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</si>
  <si>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</si>
  <si>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</si>
  <si>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</si>
  <si>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</si>
  <si>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</si>
  <si>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</si>
  <si>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</si>
  <si>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</si>
  <si>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</si>
  <si>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</si>
  <si>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</si>
  <si>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</si>
  <si>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</si>
  <si>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</si>
  <si>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</si>
  <si>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</si>
  <si>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</si>
  <si>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</si>
  <si>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</si>
  <si>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</si>
  <si>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</si>
  <si>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</si>
  <si>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</si>
  <si>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</si>
  <si>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</si>
  <si>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</si>
  <si>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</si>
  <si>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</si>
  <si>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</si>
  <si>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</si>
  <si>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</si>
  <si>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</si>
  <si>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</si>
  <si>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</si>
  <si>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</si>
  <si>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</si>
  <si>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</si>
  <si>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</si>
  <si>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</si>
  <si>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</si>
  <si>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</si>
  <si>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</si>
  <si>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</si>
  <si>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</si>
  <si>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</si>
  <si>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</si>
  <si>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</si>
  <si>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</si>
  <si>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</si>
  <si>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</si>
  <si>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</si>
  <si>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</si>
  <si>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</si>
  <si>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</si>
  <si>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</si>
  <si>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</si>
  <si>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</si>
  <si>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</si>
  <si>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</si>
  <si>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</si>
  <si>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</si>
  <si>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</si>
  <si>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</si>
  <si>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</si>
  <si>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</si>
  <si>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</si>
  <si>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</si>
  <si>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</si>
  <si>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</si>
  <si>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</si>
  <si>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</si>
  <si>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</si>
  <si>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</si>
  <si>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</si>
  <si>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</si>
  <si>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</si>
  <si>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</si>
  <si>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</si>
  <si>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</si>
  <si>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</si>
  <si>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</si>
  <si>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</si>
  <si>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</si>
  <si>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</si>
  <si>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</si>
  <si>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</si>
  <si>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</si>
  <si>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</si>
  <si>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</si>
  <si>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</si>
  <si>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</si>
  <si>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</si>
  <si>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</si>
  <si>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</si>
  <si>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</si>
  <si>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</si>
  <si>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</si>
  <si>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</si>
  <si>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</si>
  <si>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</si>
  <si>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</si>
  <si>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</si>
  <si>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</si>
  <si>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</si>
  <si>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</si>
  <si>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</si>
  <si>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</si>
  <si>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</si>
  <si>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</si>
  <si>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</si>
  <si>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</si>
  <si>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</si>
  <si>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</si>
  <si>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</si>
  <si>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</si>
  <si>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</si>
  <si>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</si>
  <si>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</si>
  <si>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</si>
  <si>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</si>
  <si>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</si>
  <si>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</si>
  <si>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</si>
  <si>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</si>
  <si>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</si>
  <si>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</si>
  <si>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</si>
  <si>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</si>
  <si>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</si>
  <si>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</si>
  <si>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</si>
  <si>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</si>
  <si>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</si>
  <si>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</si>
  <si>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</si>
  <si>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</si>
  <si>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</si>
  <si>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</si>
  <si>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</si>
  <si>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</si>
  <si>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</si>
  <si>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</si>
  <si>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</si>
  <si>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</si>
  <si>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</si>
  <si>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</si>
  <si>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</si>
  <si>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</si>
  <si>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</si>
  <si>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</si>
  <si>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</si>
  <si>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</si>
  <si>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</si>
  <si>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</si>
  <si>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</si>
  <si>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</si>
  <si>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</si>
  <si>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</si>
  <si>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</si>
  <si>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</si>
  <si>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</si>
  <si>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</si>
  <si>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</si>
  <si>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</si>
  <si>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</si>
  <si>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</si>
  <si>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</si>
  <si>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</si>
  <si>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</si>
  <si>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</si>
  <si>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</si>
  <si>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</si>
  <si>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</si>
  <si>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</si>
  <si>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</si>
  <si>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</si>
  <si>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</si>
  <si>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</si>
  <si>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</si>
  <si>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</si>
  <si>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</si>
  <si>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</si>
  <si>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</si>
  <si>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</si>
  <si>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</si>
  <si>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</si>
  <si>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</si>
  <si>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</si>
  <si>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</si>
  <si>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</si>
  <si>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</si>
  <si>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</si>
  <si>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</si>
  <si>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</si>
  <si>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</si>
  <si>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</si>
  <si>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</si>
  <si>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</si>
  <si>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</si>
  <si>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</si>
  <si>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</si>
  <si>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</si>
  <si>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</si>
  <si>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</si>
  <si>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</si>
  <si>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</si>
  <si>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</si>
  <si>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</si>
  <si>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</si>
  <si>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</si>
  <si>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</si>
  <si>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</si>
  <si>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</si>
  <si>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</si>
  <si>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</si>
  <si>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</si>
  <si>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</si>
  <si>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</si>
  <si>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</si>
  <si>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</si>
  <si>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</si>
  <si>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</si>
  <si>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</si>
  <si>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</si>
  <si>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</si>
  <si>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</si>
  <si>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</si>
  <si>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</si>
  <si>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</si>
  <si>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</si>
  <si>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</si>
  <si>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</si>
  <si>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</si>
  <si>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</si>
  <si>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</si>
  <si>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</si>
  <si>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</si>
  <si>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</si>
  <si>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</si>
  <si>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</si>
  <si>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</si>
  <si>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</si>
  <si>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</si>
  <si>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</si>
  <si>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</si>
  <si>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</si>
  <si>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</si>
  <si>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</si>
  <si>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</si>
  <si>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</si>
  <si>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</si>
  <si>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</si>
  <si>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</si>
  <si>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</si>
  <si>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</si>
  <si>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</si>
  <si>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</si>
  <si>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</si>
  <si>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</si>
  <si>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</si>
  <si>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</si>
  <si>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</si>
  <si>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</si>
  <si>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</si>
  <si>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</si>
  <si>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</si>
  <si>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</si>
  <si>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</si>
  <si>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</si>
  <si>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</si>
  <si>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</si>
  <si>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</si>
  <si>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</si>
  <si>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</si>
  <si>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</si>
  <si>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</si>
  <si>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</si>
  <si>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</si>
  <si>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</si>
  <si>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</si>
  <si>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</si>
  <si>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</si>
  <si>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</si>
  <si>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</si>
  <si>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</si>
  <si>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</si>
  <si>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</si>
  <si>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</si>
  <si>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</si>
  <si>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</si>
  <si>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</si>
  <si>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</si>
  <si>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</si>
  <si>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</si>
  <si>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</si>
  <si>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</si>
  <si>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</si>
  <si>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</si>
  <si>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</si>
  <si>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</si>
  <si>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</si>
  <si>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</si>
  <si>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</si>
  <si>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</si>
  <si>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</si>
  <si>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</si>
  <si>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</si>
  <si>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</si>
  <si>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</si>
  <si>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</si>
  <si>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</si>
  <si>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</si>
  <si>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</si>
  <si>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</si>
  <si>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</si>
  <si>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</si>
  <si>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</si>
  <si>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</si>
  <si>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</si>
  <si>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</si>
  <si>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</si>
  <si>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</si>
  <si>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</si>
  <si>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</si>
  <si>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</si>
  <si>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</si>
  <si>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</si>
  <si>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</si>
  <si>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</si>
  <si>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</si>
  <si>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</si>
  <si>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</si>
  <si>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</si>
  <si>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</si>
  <si>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</si>
  <si>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</si>
  <si>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</si>
  <si>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</si>
  <si>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</si>
  <si>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</si>
  <si>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</si>
  <si>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</si>
  <si>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</si>
  <si>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</si>
  <si>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</si>
  <si>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</si>
  <si>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</si>
  <si>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</si>
  <si>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</si>
  <si>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</si>
  <si>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</si>
  <si>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</si>
  <si>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</si>
  <si>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</si>
  <si>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</si>
  <si>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</si>
  <si>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</si>
  <si>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</si>
  <si>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</si>
  <si>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</si>
  <si>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</si>
  <si>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</si>
  <si>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</si>
  <si>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</si>
  <si>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</si>
  <si>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</si>
  <si>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</si>
  <si>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</si>
  <si>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</si>
  <si>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</si>
  <si>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</si>
  <si>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</si>
  <si>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</si>
  <si>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</si>
  <si>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</si>
  <si>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</si>
  <si>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</si>
  <si>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</si>
  <si>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</si>
  <si>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</si>
  <si>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</si>
  <si>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</si>
  <si>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</si>
  <si>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</si>
  <si>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</si>
  <si>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</si>
  <si>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</si>
  <si>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</si>
  <si>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</si>
  <si>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</si>
  <si>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</si>
  <si>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</si>
  <si>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</si>
  <si>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</si>
  <si>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</si>
  <si>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</si>
  <si>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</si>
  <si>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</si>
  <si>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</si>
  <si>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</si>
  <si>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</si>
  <si>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</si>
  <si>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</si>
  <si>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</si>
  <si>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</si>
  <si>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</si>
  <si>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</si>
  <si>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</si>
  <si>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</si>
  <si>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</si>
  <si>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</si>
  <si>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</si>
  <si>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</si>
  <si>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</si>
  <si>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</si>
  <si>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</si>
  <si>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</si>
  <si>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</si>
  <si>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</si>
  <si>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</si>
  <si>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</si>
  <si>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</si>
  <si>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</si>
  <si>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</si>
  <si>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</si>
  <si>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</si>
  <si>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</si>
  <si>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</si>
  <si>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</si>
  <si>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</si>
  <si>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</si>
  <si>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</si>
  <si>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</si>
  <si>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</si>
  <si>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</si>
  <si>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</si>
  <si>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</si>
  <si>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</si>
  <si>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</si>
  <si>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</si>
  <si>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</si>
  <si>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</si>
  <si>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</si>
  <si>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</si>
  <si>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</si>
  <si>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</si>
  <si>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</si>
  <si>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</si>
  <si>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</si>
  <si>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</si>
  <si>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</si>
  <si>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</si>
  <si>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</si>
  <si>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</si>
  <si>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</si>
  <si>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</si>
  <si>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</si>
  <si>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</si>
  <si>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</si>
  <si>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</si>
  <si>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</si>
  <si>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</si>
  <si>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</si>
  <si>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</si>
  <si>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</si>
  <si>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</si>
  <si>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</si>
  <si>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</si>
  <si>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</si>
  <si>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</si>
  <si>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</si>
  <si>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</si>
  <si>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</si>
  <si>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</si>
  <si>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</si>
  <si>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</si>
  <si>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</si>
  <si>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</si>
  <si>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</si>
  <si>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</si>
  <si>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</si>
  <si>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</si>
  <si>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</si>
  <si>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</si>
  <si>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</si>
  <si>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</si>
  <si>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</si>
  <si>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</si>
  <si>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</si>
  <si>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</si>
  <si>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</si>
  <si>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</si>
  <si>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</si>
  <si>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</si>
  <si>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</si>
  <si>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</si>
  <si>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</si>
  <si>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</si>
  <si>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</si>
  <si>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</si>
  <si>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</si>
  <si>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</si>
  <si>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</si>
  <si>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</si>
  <si>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</si>
  <si>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</si>
  <si>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</si>
  <si>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</si>
  <si>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</si>
  <si>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</si>
  <si>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</si>
  <si>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</si>
  <si>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</si>
  <si>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</si>
  <si>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</si>
  <si>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</si>
  <si>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</si>
  <si>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</si>
  <si>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</si>
  <si>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</si>
  <si>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</si>
  <si>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</si>
  <si>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</si>
  <si>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</si>
  <si>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</si>
  <si>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</si>
  <si>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</si>
  <si>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</si>
  <si>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</si>
  <si>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</si>
  <si>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</si>
  <si>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</si>
  <si>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</si>
  <si>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</si>
  <si>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</si>
  <si>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</si>
  <si>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</si>
  <si>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</si>
  <si>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</si>
  <si>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</si>
  <si>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</si>
  <si>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</si>
  <si>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</si>
  <si>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</si>
  <si>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</si>
  <si>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</si>
  <si>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</si>
  <si>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</si>
  <si>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</si>
  <si>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</si>
  <si>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</si>
  <si>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</si>
  <si>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</si>
  <si>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</si>
  <si>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</si>
  <si>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</si>
  <si>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</si>
  <si>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</si>
  <si>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</si>
  <si>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</si>
  <si>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</si>
  <si>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</si>
  <si>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</si>
  <si>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</si>
  <si>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</si>
  <si>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</si>
  <si>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</si>
  <si>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</si>
  <si>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</si>
  <si>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</si>
  <si>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</si>
  <si>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</si>
  <si>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</si>
  <si>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</si>
  <si>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</si>
  <si>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</si>
  <si>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</si>
  <si>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</si>
  <si>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</si>
  <si>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</si>
  <si>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</si>
  <si>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</si>
  <si>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</si>
  <si>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</si>
  <si>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</si>
  <si>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</si>
  <si>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</si>
  <si>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</si>
  <si>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</si>
  <si>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</si>
  <si>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</si>
  <si>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</si>
  <si>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</si>
  <si>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</si>
  <si>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</si>
  <si>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</si>
  <si>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</si>
  <si>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</si>
  <si>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</si>
  <si>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</si>
  <si>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</si>
  <si>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</si>
  <si>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</si>
  <si>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</si>
  <si>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</si>
  <si>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</si>
  <si>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</si>
  <si>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</si>
  <si>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</si>
  <si>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</si>
  <si>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</si>
  <si>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</si>
  <si>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</si>
  <si>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</si>
  <si>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</si>
  <si>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</si>
  <si>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</si>
  <si>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</si>
  <si>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</si>
  <si>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</si>
  <si>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</si>
  <si>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</si>
  <si>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</si>
  <si>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</si>
  <si>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</si>
  <si>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</si>
  <si>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</si>
  <si>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</si>
  <si>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</si>
  <si>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</si>
  <si>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</si>
  <si>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</si>
  <si>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</si>
  <si>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</si>
  <si>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</si>
  <si>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</si>
  <si>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</si>
  <si>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</si>
  <si>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</si>
  <si>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</si>
  <si>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</si>
  <si>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</si>
  <si>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</si>
  <si>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</si>
  <si>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</si>
  <si>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</si>
  <si>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</si>
  <si>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</si>
  <si>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</si>
  <si>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</si>
  <si>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</si>
  <si>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</si>
  <si>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</si>
  <si>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</si>
  <si>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</si>
  <si>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</si>
  <si>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</si>
  <si>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</si>
  <si>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</si>
  <si>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</si>
  <si>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</si>
  <si>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</si>
  <si>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</si>
  <si>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</si>
  <si>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</si>
  <si>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</si>
  <si>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</si>
  <si>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</si>
  <si>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</si>
  <si>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</si>
  <si>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</si>
  <si>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</si>
  <si>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</si>
  <si>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</si>
  <si>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</si>
  <si>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</si>
  <si>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</si>
  <si>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</si>
  <si>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</si>
  <si>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</si>
  <si>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</si>
  <si>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</si>
  <si>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</si>
  <si>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</si>
  <si>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</si>
  <si>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</si>
  <si>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</si>
  <si>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</si>
  <si>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</si>
  <si>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</si>
  <si>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</si>
  <si>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</si>
  <si>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</si>
  <si>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</si>
  <si>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</si>
  <si>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</si>
  <si>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</si>
  <si>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</si>
  <si>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</si>
  <si>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</si>
  <si>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</si>
  <si>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</si>
  <si>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</si>
  <si>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</si>
  <si>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</si>
  <si>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</si>
  <si>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</si>
  <si>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</si>
  <si>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</si>
  <si>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</si>
  <si>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</si>
  <si>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</si>
  <si>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</si>
  <si>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</si>
  <si>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</si>
  <si>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</si>
  <si>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</si>
  <si>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</si>
  <si>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</si>
  <si>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</si>
  <si>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</si>
  <si>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</si>
  <si>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</si>
  <si>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</si>
  <si>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</si>
  <si>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</si>
  <si>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</si>
  <si>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</si>
  <si>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</si>
  <si>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</si>
  <si>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</si>
  <si>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</si>
  <si>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</si>
  <si>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</si>
  <si>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</si>
  <si>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</si>
  <si>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</si>
  <si>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</si>
  <si>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</si>
  <si>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</si>
  <si>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</si>
  <si>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</si>
  <si>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</si>
  <si>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</si>
  <si>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</si>
  <si>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</si>
  <si>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</si>
  <si>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</si>
  <si>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</si>
  <si>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</si>
  <si>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</si>
  <si>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</si>
  <si>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</si>
  <si>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</si>
  <si>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</si>
  <si>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</si>
  <si>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</si>
  <si>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</si>
  <si>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</si>
  <si>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</si>
  <si>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</si>
  <si>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</si>
  <si>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</si>
  <si>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</si>
  <si>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</si>
  <si>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</si>
  <si>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</si>
  <si>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</si>
  <si>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</si>
  <si>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</si>
  <si>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</si>
  <si>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</si>
  <si>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</si>
  <si>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</si>
  <si>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</si>
  <si>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</si>
  <si>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</si>
  <si>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</si>
  <si>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</si>
  <si>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</si>
  <si>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</si>
  <si>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</si>
  <si>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</si>
  <si>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</si>
  <si>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</si>
  <si>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</si>
  <si>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</si>
  <si>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</si>
  <si>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</si>
  <si>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</si>
  <si>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</si>
  <si>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</si>
  <si>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</si>
  <si>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</si>
  <si>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</si>
  <si>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</si>
  <si>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</si>
  <si>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</si>
  <si>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</si>
  <si>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</si>
  <si>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</si>
  <si>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</si>
  <si>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</si>
  <si>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</si>
  <si>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</si>
  <si>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</si>
  <si>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</si>
  <si>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</si>
  <si>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</si>
  <si>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</si>
  <si>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</si>
  <si>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</si>
  <si>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</si>
  <si>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</si>
  <si>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</si>
  <si>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</si>
  <si>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</si>
  <si>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</si>
  <si>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</si>
  <si>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</si>
  <si>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</si>
  <si>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</si>
  <si>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</si>
  <si>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</si>
  <si>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</si>
  <si>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</si>
  <si>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</si>
  <si>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</si>
  <si>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</si>
  <si>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</si>
  <si>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</si>
  <si>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</si>
  <si>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</si>
  <si>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</si>
  <si>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</si>
  <si>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</si>
  <si>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</si>
  <si>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</si>
  <si>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</si>
  <si>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</si>
  <si>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</si>
  <si>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</si>
  <si>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</si>
  <si>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</si>
  <si>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</si>
  <si>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</si>
  <si>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</si>
  <si>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</si>
  <si>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</si>
  <si>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</si>
  <si>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</si>
  <si>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</si>
  <si>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</si>
  <si>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</si>
  <si>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</si>
  <si>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</si>
  <si>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</si>
  <si>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</si>
  <si>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</si>
  <si>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</si>
  <si>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</si>
  <si>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</si>
  <si>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</si>
  <si>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</si>
  <si>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</si>
  <si>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</si>
  <si>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</si>
  <si>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</si>
  <si>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</si>
  <si>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</si>
  <si>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</si>
  <si>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</si>
  <si>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</si>
  <si>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</si>
  <si>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</si>
  <si>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</si>
  <si>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</si>
  <si>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</si>
  <si>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</si>
  <si>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</si>
  <si>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</si>
  <si>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</si>
  <si>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</si>
  <si>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</si>
  <si>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</si>
  <si>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</si>
  <si>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</si>
  <si>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</si>
  <si>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</si>
  <si>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</si>
  <si>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</si>
  <si>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</si>
  <si>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</si>
  <si>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</si>
  <si>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</si>
  <si>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</si>
  <si>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</si>
  <si>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</si>
  <si>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</si>
  <si>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</si>
  <si>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</si>
  <si>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</si>
  <si>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</si>
  <si>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</si>
  <si>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</si>
  <si>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</si>
  <si>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</si>
  <si>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</si>
  <si>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</si>
  <si>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</si>
  <si>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</si>
  <si>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</si>
  <si>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</si>
  <si>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</si>
  <si>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</si>
  <si>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</si>
  <si>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</si>
  <si>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</si>
  <si>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</si>
  <si>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</si>
  <si>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</si>
  <si>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</si>
  <si>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</si>
  <si>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</si>
  <si>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</si>
  <si>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</si>
  <si>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</si>
  <si>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</si>
  <si>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</si>
  <si>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</si>
  <si>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</si>
  <si>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</si>
  <si>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</si>
  <si>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</si>
  <si>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</si>
  <si>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</si>
  <si>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</si>
  <si>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</si>
  <si>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</si>
  <si>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</si>
  <si>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</si>
  <si>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</si>
  <si>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</si>
  <si>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</si>
  <si>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</si>
  <si>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</si>
  <si>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</si>
  <si>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</si>
  <si>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</si>
  <si>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</si>
  <si>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</si>
  <si>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</si>
  <si>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</si>
  <si>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</si>
  <si>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</si>
  <si>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</si>
  <si>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</si>
  <si>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</si>
  <si>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</si>
  <si>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</si>
  <si>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</si>
  <si>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</si>
  <si>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</si>
  <si>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</si>
  <si>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</si>
  <si>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</si>
  <si>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</si>
  <si>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</si>
  <si>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</si>
  <si>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</si>
  <si>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</si>
  <si>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</si>
  <si>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</si>
  <si>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</si>
  <si>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</si>
  <si>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</si>
  <si>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</si>
  <si>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</si>
  <si>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</si>
  <si>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</si>
  <si>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</si>
  <si>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</si>
  <si>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</si>
  <si>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</si>
  <si>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</si>
  <si>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</si>
  <si>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</si>
  <si>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</si>
  <si>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</si>
  <si>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</si>
  <si>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</si>
  <si>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</si>
  <si>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</si>
  <si>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</si>
  <si>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</si>
  <si>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</si>
  <si>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</si>
  <si>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</si>
  <si>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</si>
  <si>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</si>
  <si>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</si>
  <si>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</si>
  <si>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</si>
  <si>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</si>
  <si>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</si>
  <si>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</si>
  <si>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</si>
  <si>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</si>
  <si>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</si>
  <si>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</si>
  <si>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</si>
  <si>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</si>
  <si>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</si>
  <si>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</si>
  <si>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</si>
  <si>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</si>
  <si>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</si>
  <si>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</si>
  <si>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</si>
  <si>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</si>
  <si>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</si>
  <si>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</si>
  <si>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</si>
  <si>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</si>
  <si>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</si>
  <si>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</si>
  <si>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</si>
  <si>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</si>
  <si>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</si>
  <si>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</si>
  <si>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</si>
  <si>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</si>
  <si>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</si>
  <si>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</si>
  <si>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</si>
  <si>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</si>
  <si>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</si>
  <si>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</si>
  <si>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</si>
  <si>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</si>
  <si>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</si>
  <si>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</si>
  <si>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</si>
  <si>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</si>
  <si>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</si>
  <si>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</si>
  <si>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</si>
  <si>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</si>
  <si>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</si>
  <si>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</si>
  <si>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</si>
  <si>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</si>
  <si>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</si>
  <si>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</si>
  <si>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</si>
  <si>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</si>
  <si>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</si>
  <si>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</si>
  <si>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</si>
  <si>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</si>
  <si>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</si>
  <si>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</si>
  <si>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</si>
  <si>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</si>
  <si>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</si>
  <si>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</si>
  <si>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</si>
  <si>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</si>
  <si>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</si>
  <si>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</si>
  <si>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</si>
  <si>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</si>
  <si>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</si>
  <si>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</si>
  <si>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</si>
  <si>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</si>
  <si>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</si>
  <si>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</si>
  <si>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</si>
  <si>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</si>
  <si>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</si>
  <si>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</si>
  <si>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</si>
  <si>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</si>
  <si>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</si>
  <si>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</si>
  <si>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</si>
  <si>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</si>
  <si>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</si>
  <si>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</si>
  <si>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</si>
  <si>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</si>
  <si>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</si>
  <si>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</si>
  <si>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</si>
  <si>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</si>
  <si>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</si>
  <si>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</si>
  <si>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</si>
  <si>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</si>
  <si>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</si>
  <si>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</si>
  <si>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</si>
  <si>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</si>
  <si>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</si>
  <si>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</si>
  <si>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</si>
  <si>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</si>
  <si>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</si>
  <si>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</si>
  <si>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</si>
  <si>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</si>
  <si>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</si>
  <si>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</si>
  <si>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</si>
  <si>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</si>
  <si>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</si>
  <si>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</si>
  <si>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</si>
  <si>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</si>
  <si>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</si>
  <si>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</si>
  <si>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</si>
  <si>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</si>
  <si>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</si>
  <si>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</si>
  <si>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</si>
  <si>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</si>
  <si>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</si>
  <si>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</si>
  <si>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</si>
  <si>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</si>
  <si>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</si>
  <si>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</si>
  <si>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</si>
  <si>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</si>
  <si>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</si>
  <si>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</si>
  <si>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</si>
  <si>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</si>
  <si>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</si>
  <si>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</si>
  <si>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</si>
  <si>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</si>
  <si>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</si>
  <si>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</si>
  <si>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</si>
  <si>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</si>
  <si>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</si>
  <si>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</si>
  <si>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</si>
  <si>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</si>
  <si>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</si>
  <si>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</si>
  <si>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</si>
  <si>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</si>
  <si>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</si>
  <si>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</si>
  <si>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</si>
  <si>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</si>
  <si>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</si>
  <si>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</si>
  <si>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</si>
  <si>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</si>
  <si>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</si>
  <si>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</si>
  <si>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</si>
  <si>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</si>
  <si>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</si>
  <si>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</si>
  <si>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</si>
  <si>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</si>
  <si>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</si>
  <si>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</si>
  <si>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</si>
  <si>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</si>
  <si>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</si>
  <si>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</si>
  <si>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</si>
  <si>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</si>
  <si>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</si>
  <si>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</si>
  <si>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</si>
  <si>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</si>
  <si>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</si>
  <si>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</si>
  <si>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</si>
  <si>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</si>
  <si>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</si>
  <si>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</si>
  <si>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</si>
  <si>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</si>
  <si>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</si>
  <si>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</si>
  <si>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</si>
  <si>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</si>
  <si>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</si>
  <si>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</si>
  <si>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</si>
  <si>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</si>
  <si>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</si>
  <si>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</si>
  <si>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</si>
  <si>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</si>
  <si>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</si>
  <si>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</si>
  <si>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</si>
  <si>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</si>
  <si>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</si>
  <si>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</si>
  <si>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</si>
  <si>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</si>
  <si>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</si>
  <si>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</si>
  <si>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</si>
  <si>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</si>
  <si>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</si>
  <si>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</si>
  <si>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</si>
  <si>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</si>
  <si>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</si>
  <si>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</si>
  <si>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</si>
  <si>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</si>
  <si>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</si>
  <si>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</si>
  <si>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</si>
  <si>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</si>
  <si>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</si>
  <si>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</si>
  <si>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</si>
  <si>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</si>
  <si>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</si>
  <si>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</si>
  <si>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</si>
  <si>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</si>
  <si>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</si>
  <si>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</si>
  <si>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</si>
  <si>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</si>
  <si>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</si>
  <si>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</si>
  <si>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</si>
  <si>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</si>
  <si>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</si>
  <si>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</si>
  <si>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</si>
  <si>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</si>
  <si>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</si>
  <si>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</si>
  <si>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</si>
  <si>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</si>
  <si>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</si>
  <si>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</si>
  <si>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</si>
  <si>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</si>
  <si>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</si>
  <si>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</si>
  <si>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</si>
  <si>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</si>
  <si>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</si>
  <si>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</si>
  <si>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</si>
  <si>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</si>
  <si>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</si>
  <si>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</si>
  <si>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</si>
  <si>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</si>
  <si>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</si>
  <si>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</si>
  <si>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</si>
  <si>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</si>
  <si>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</si>
  <si>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</si>
  <si>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</si>
  <si>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</si>
  <si>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</si>
  <si>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</si>
  <si>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</si>
  <si>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</si>
  <si>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</si>
  <si>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</si>
  <si>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</si>
  <si>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</si>
  <si>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</si>
  <si>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</si>
  <si>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</si>
  <si>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</si>
  <si>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</si>
  <si>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</si>
  <si>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</si>
  <si>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</si>
  <si>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</si>
  <si>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</si>
  <si>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</si>
  <si>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</si>
  <si>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</si>
  <si>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</si>
  <si>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</si>
  <si>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</si>
  <si>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</si>
  <si>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</si>
  <si>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</si>
  <si>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</si>
  <si>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</si>
  <si>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</si>
  <si>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</si>
  <si>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</si>
  <si>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</si>
  <si>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</si>
  <si>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</si>
  <si>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</si>
  <si>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</si>
  <si>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</si>
  <si>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</si>
  <si>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</si>
  <si>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</si>
  <si>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</si>
  <si>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</si>
  <si>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</si>
  <si>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</si>
  <si>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</si>
  <si>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</si>
  <si>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</si>
  <si>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</si>
  <si>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</si>
  <si>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</si>
  <si>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</si>
  <si>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</si>
  <si>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</si>
  <si>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</si>
  <si>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</si>
  <si>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</si>
  <si>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</si>
  <si>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</si>
  <si>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</si>
  <si>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</si>
  <si>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</si>
  <si>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</si>
  <si>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</si>
  <si>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</si>
  <si>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</si>
  <si>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</si>
  <si>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</si>
  <si>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</si>
  <si>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</si>
  <si>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</si>
  <si>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</si>
  <si>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</si>
  <si>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</si>
  <si>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</si>
  <si>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</si>
  <si>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</si>
  <si>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</si>
  <si>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</si>
  <si>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</si>
  <si>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</si>
  <si>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</si>
  <si>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</si>
  <si>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</si>
  <si>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</si>
  <si>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</si>
  <si>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</si>
  <si>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</si>
  <si>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</si>
  <si>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</si>
  <si>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</si>
  <si>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</si>
  <si>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</si>
  <si>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</si>
  <si>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</si>
  <si>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</si>
  <si>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</si>
  <si>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</si>
  <si>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</si>
  <si>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</si>
  <si>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</si>
  <si>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</si>
  <si>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</si>
  <si>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</si>
  <si>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</si>
  <si>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</si>
  <si>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</si>
  <si>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</si>
  <si>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</si>
  <si>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</si>
  <si>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</si>
  <si>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</si>
  <si>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</si>
  <si>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</si>
  <si>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</si>
  <si>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</si>
  <si>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</si>
  <si>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</si>
  <si>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</si>
  <si>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</si>
  <si>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</si>
  <si>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</si>
  <si>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</si>
  <si>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</si>
  <si>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</si>
  <si>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</si>
  <si>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</si>
  <si>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</si>
  <si>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</si>
  <si>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</si>
  <si>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</si>
  <si>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</si>
  <si>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</si>
  <si>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</si>
  <si>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</si>
  <si>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</si>
  <si>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</si>
  <si>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</si>
  <si>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</si>
  <si>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</si>
  <si>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</si>
  <si>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</si>
  <si>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</si>
  <si>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</si>
  <si>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</si>
  <si>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</si>
  <si>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</si>
  <si>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</si>
  <si>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</si>
  <si>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</si>
  <si>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</si>
  <si>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</si>
  <si>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</si>
  <si>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</si>
  <si>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</si>
  <si>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</si>
  <si>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</si>
  <si>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</si>
  <si>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</si>
  <si>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</si>
  <si>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</si>
  <si>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</si>
  <si>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</si>
  <si>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</si>
  <si>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</si>
  <si>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</si>
  <si>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</si>
  <si>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</si>
  <si>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</si>
  <si>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</si>
  <si>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</si>
  <si>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</si>
  <si>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</si>
  <si>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</si>
  <si>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</si>
  <si>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</si>
  <si>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</si>
  <si>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</si>
  <si>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</si>
  <si>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</si>
  <si>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</si>
  <si>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</si>
  <si>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</si>
  <si>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</si>
  <si>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</si>
  <si>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</si>
  <si>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</si>
  <si>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</si>
  <si>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</si>
  <si>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</si>
  <si>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</si>
  <si>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</si>
  <si>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</si>
  <si>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</si>
  <si>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</si>
  <si>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</si>
  <si>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</si>
  <si>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</si>
  <si>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</si>
  <si>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</si>
  <si>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</si>
  <si>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</si>
  <si>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</si>
  <si>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</si>
  <si>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</si>
  <si>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</si>
  <si>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</si>
  <si>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</si>
  <si>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</si>
  <si>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</si>
  <si>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</si>
  <si>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</si>
  <si>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</si>
  <si>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</si>
  <si>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</si>
  <si>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</si>
  <si>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</si>
  <si>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</si>
  <si>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</si>
  <si>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</si>
  <si>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</si>
  <si>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</si>
  <si>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</si>
  <si>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</si>
  <si>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</si>
  <si>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</si>
  <si>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</si>
  <si>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</si>
  <si>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</si>
  <si>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</si>
  <si>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</si>
  <si>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</si>
  <si>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</si>
  <si>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</si>
  <si>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</si>
  <si>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</si>
  <si>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</si>
  <si>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</si>
  <si>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</si>
  <si>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</si>
  <si>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</si>
  <si>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</si>
  <si>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</si>
  <si>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</si>
  <si>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</si>
  <si>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</si>
  <si>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</si>
  <si>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</si>
  <si>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</si>
  <si>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</si>
  <si>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</si>
  <si>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</si>
  <si>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</si>
  <si>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</si>
  <si>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</si>
  <si>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</si>
  <si>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</si>
  <si>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</si>
  <si>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</si>
  <si>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</si>
  <si>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</si>
  <si>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</si>
  <si>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</si>
  <si>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</si>
  <si>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</si>
  <si>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</si>
  <si>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</si>
  <si>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</si>
  <si>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</si>
  <si>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</si>
  <si>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</si>
  <si>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</si>
  <si>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</si>
  <si>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</si>
  <si>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</si>
  <si>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</si>
  <si>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</si>
  <si>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</si>
  <si>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</si>
  <si>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</si>
  <si>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</si>
  <si>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</si>
  <si>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</si>
  <si>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</si>
  <si>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</si>
  <si>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</si>
  <si>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</si>
  <si>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</si>
  <si>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</si>
  <si>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</si>
  <si>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</si>
  <si>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</si>
  <si>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</si>
  <si>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</si>
  <si>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</si>
  <si>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</si>
  <si>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</si>
  <si>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</si>
  <si>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</si>
  <si>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</si>
  <si>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</si>
  <si>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</si>
  <si>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</si>
  <si>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</si>
  <si>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</si>
  <si>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</si>
  <si>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</si>
  <si>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</si>
  <si>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</si>
  <si>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</si>
  <si>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</si>
  <si>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</si>
  <si>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</si>
  <si>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</si>
  <si>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</si>
  <si>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</si>
  <si>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</si>
  <si>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</si>
  <si>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</si>
  <si>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</si>
  <si>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</si>
  <si>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</si>
  <si>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</si>
  <si>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</si>
  <si>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</si>
  <si>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</si>
  <si>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</si>
  <si>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</si>
  <si>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</si>
  <si>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</si>
  <si>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</si>
  <si>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</si>
  <si>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</si>
  <si>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</si>
  <si>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</si>
  <si>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</si>
  <si>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</si>
  <si>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</si>
  <si>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</si>
  <si>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</si>
  <si>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</si>
  <si>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</si>
  <si>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</si>
  <si>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</si>
  <si>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</si>
  <si>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</si>
  <si>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</si>
  <si>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</si>
  <si>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</si>
  <si>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</si>
  <si>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</si>
  <si>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</si>
  <si>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</si>
  <si>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</si>
  <si>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</si>
  <si>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</si>
  <si>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</si>
  <si>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</si>
  <si>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</si>
  <si>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</si>
  <si>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</si>
  <si>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</si>
  <si>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</si>
  <si>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</si>
  <si>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</si>
  <si>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</si>
  <si>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</si>
  <si>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</si>
  <si>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</si>
  <si>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</si>
  <si>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</si>
  <si>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</si>
  <si>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</si>
  <si>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</si>
  <si>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</si>
  <si>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</si>
  <si>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</si>
  <si>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</si>
  <si>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</si>
  <si>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</si>
  <si>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</si>
  <si>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</si>
  <si>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</si>
  <si>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</si>
  <si>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</si>
  <si>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</si>
  <si>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</si>
  <si>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</si>
  <si>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</si>
  <si>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</si>
  <si>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</si>
  <si>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</si>
  <si>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</si>
  <si>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</si>
  <si>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</si>
  <si>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</si>
  <si>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</si>
  <si>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</si>
  <si>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</si>
  <si>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</si>
  <si>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</si>
  <si>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</si>
  <si>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</si>
  <si>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</si>
  <si>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</si>
  <si>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</si>
  <si>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</si>
  <si>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</si>
  <si>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</si>
  <si>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</si>
  <si>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</si>
  <si>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</si>
  <si>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</si>
  <si>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</si>
  <si>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</si>
  <si>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</si>
  <si>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</si>
  <si>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</si>
  <si>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</si>
  <si>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</si>
  <si>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</si>
  <si>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</si>
  <si>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</si>
  <si>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</si>
  <si>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</si>
  <si>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</si>
  <si>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</si>
  <si>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</si>
  <si>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</si>
  <si>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</si>
  <si>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</si>
  <si>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</si>
  <si>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</si>
  <si>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</si>
  <si>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</si>
  <si>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</si>
  <si>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</si>
  <si>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</si>
  <si>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</si>
  <si>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</si>
  <si>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</si>
  <si>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</si>
  <si>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</si>
  <si>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</si>
  <si>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</si>
  <si>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</si>
  <si>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</si>
  <si>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</si>
  <si>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</si>
  <si>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</si>
  <si>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</si>
  <si>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</si>
  <si>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</si>
  <si>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</si>
  <si>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</si>
  <si>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</si>
  <si>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</si>
  <si>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</si>
  <si>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</si>
  <si>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</si>
  <si>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</si>
  <si>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</si>
  <si>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</si>
  <si>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</si>
  <si>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</si>
  <si>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</si>
  <si>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</si>
  <si>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</si>
  <si>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</si>
  <si>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</si>
  <si>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</si>
  <si>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</si>
  <si>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</si>
  <si>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</si>
  <si>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</si>
  <si>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</si>
  <si>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</si>
  <si>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</si>
  <si>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</si>
  <si>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</si>
  <si>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</si>
  <si>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</si>
  <si>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</si>
  <si>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</si>
  <si>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</si>
  <si>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</si>
  <si>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</si>
  <si>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</si>
  <si>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</si>
  <si>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</si>
  <si>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</si>
  <si>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</si>
  <si>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</si>
  <si>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</si>
  <si>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</si>
  <si>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</si>
  <si>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</si>
  <si>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</si>
  <si>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</si>
  <si>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</si>
  <si>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</si>
  <si>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</si>
  <si>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</si>
  <si>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</si>
  <si>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</si>
  <si>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</si>
  <si>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</si>
  <si>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</si>
  <si>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</si>
  <si>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</si>
  <si>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</si>
  <si>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</si>
  <si>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</si>
  <si>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</si>
  <si>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LASALLE</t>
  </si>
  <si>
    <t>2350 EAST 1250TH ROAD</t>
  </si>
  <si>
    <t>OTTAWA</t>
  </si>
  <si>
    <t>mstruna@deerpark82.org</t>
  </si>
  <si>
    <t>MIKE STRUNA</t>
  </si>
  <si>
    <t>815-434-6930</t>
  </si>
  <si>
    <t>815-434-6942</t>
  </si>
  <si>
    <t>HOPKINS &amp; ASSOCIATES, CPAS</t>
  </si>
  <si>
    <t>JOEL HOPKINS</t>
  </si>
  <si>
    <t>314 SOUTH MCCOY ST.</t>
  </si>
  <si>
    <t>GRANVILLE</t>
  </si>
  <si>
    <t>IL</t>
  </si>
  <si>
    <t>815-339-6630</t>
  </si>
  <si>
    <t>815-339-6643</t>
  </si>
  <si>
    <t>066-004501</t>
  </si>
  <si>
    <t>joel@hopkinsoffice.com</t>
  </si>
  <si>
    <t>Hopkins &amp; Associates, CPAs</t>
  </si>
  <si>
    <t>2010 LIFE SAFETY</t>
  </si>
  <si>
    <t>Illinois Funds</t>
  </si>
  <si>
    <t>L.E.A.S.E.</t>
  </si>
  <si>
    <t>Illinois Central School Bus, LLC.</t>
  </si>
  <si>
    <t>GASB 75 Omission</t>
  </si>
  <si>
    <t>O&amp;M-Operation &amp; Maintenance of Plant Services-Purch Svc</t>
  </si>
  <si>
    <t>20-2540-300</t>
  </si>
  <si>
    <t>AT&amp;T (Phone)</t>
  </si>
  <si>
    <t>Orkin (Pest Control)</t>
  </si>
  <si>
    <t>Republic Services (Garbage)</t>
  </si>
  <si>
    <t>Tyco Integrated Security (Security)</t>
  </si>
  <si>
    <t>Total Environmental Inc (Water Test)</t>
  </si>
  <si>
    <t>IV Cellular (Custodial Cell Phone)</t>
  </si>
  <si>
    <t>Lowell Farm Drainage (Snowplow)</t>
  </si>
  <si>
    <t>Turftamers (Mowing)</t>
  </si>
  <si>
    <t>30-5400-600 - Debt Service Fund- Other - $500 for bond service fees</t>
  </si>
  <si>
    <t>Deer Park CCSD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</si>
</sst>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68A4963-2ED7-4A83-8711-F9231C482A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27" sqref="I27:S2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35050082004</v>
      </c>
      <c r="B13" s="2036"/>
      <c r="C13" s="2036"/>
      <c r="D13" s="2036"/>
      <c r="E13" s="2036"/>
      <c r="F13" s="2036"/>
      <c r="G13" s="2036"/>
      <c r="H13" s="2037"/>
      <c r="I13" s="31"/>
      <c r="J13" s="30"/>
      <c r="K13" s="28"/>
      <c r="L13" s="30"/>
      <c r="M13" s="30"/>
      <c r="N13" s="30"/>
      <c r="O13" s="30"/>
      <c r="P13" s="30"/>
      <c r="Q13" s="30"/>
      <c r="R13" s="30"/>
      <c r="S13" s="30"/>
      <c r="T13" s="2040" t="s">
        <v>2085</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2086</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2111</v>
      </c>
      <c r="B17" s="1995"/>
      <c r="C17" s="1995"/>
      <c r="D17" s="1995"/>
      <c r="E17" s="1995"/>
      <c r="F17" s="1995"/>
      <c r="G17" s="1995"/>
      <c r="H17" s="2020"/>
      <c r="T17" s="2051" t="s">
        <v>2087</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2088</v>
      </c>
      <c r="U19" s="1959"/>
      <c r="V19" s="1959"/>
      <c r="W19" s="1960"/>
      <c r="X19" s="2049" t="s">
        <v>2089</v>
      </c>
      <c r="Y19" s="2050"/>
      <c r="Z19" s="2047">
        <v>61326</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2090</v>
      </c>
      <c r="U21" s="2059"/>
      <c r="V21" s="2059"/>
      <c r="W21" s="2059"/>
      <c r="X21" s="2064" t="s">
        <v>2091</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2081</v>
      </c>
      <c r="B23" s="2012"/>
      <c r="C23" s="2012"/>
      <c r="D23" s="2012"/>
      <c r="E23" s="2012"/>
      <c r="F23" s="2012"/>
      <c r="G23" s="2012"/>
      <c r="H23" s="2013"/>
      <c r="T23" s="1994" t="s">
        <v>2092</v>
      </c>
      <c r="U23" s="2057"/>
      <c r="V23" s="2057"/>
      <c r="W23" s="2057"/>
      <c r="X23" s="2061">
        <v>43434</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61350</v>
      </c>
      <c r="B25" s="1959"/>
      <c r="C25" s="1959"/>
      <c r="D25" s="1959"/>
      <c r="E25" s="1959"/>
      <c r="F25" s="1959"/>
      <c r="G25" s="1959"/>
      <c r="H25" s="1960"/>
      <c r="I25" s="113"/>
      <c r="J25" s="1983"/>
      <c r="K25" s="1983"/>
      <c r="L25" s="1983"/>
      <c r="M25" s="1983"/>
      <c r="N25" s="1983"/>
      <c r="O25" s="1983"/>
      <c r="P25" s="1983"/>
      <c r="Q25" s="1983"/>
      <c r="R25" s="1983"/>
      <c r="S25" s="1984"/>
      <c r="T25" s="2054" t="s">
        <v>2093</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2082</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2081</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2083</v>
      </c>
      <c r="B42" s="1978"/>
      <c r="C42" s="1979"/>
      <c r="D42" s="1977" t="s">
        <v>2084</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674449</v>
      </c>
      <c r="C4" s="1546"/>
      <c r="D4" s="1774">
        <f>B4-C4</f>
        <v>674449</v>
      </c>
      <c r="E4" s="1546">
        <v>691933</v>
      </c>
      <c r="F4" s="1774">
        <f>E4-C4</f>
        <v>691933</v>
      </c>
    </row>
    <row r="5" spans="1:6" ht="13.7" customHeight="1" x14ac:dyDescent="0.2">
      <c r="A5" s="716" t="s">
        <v>925</v>
      </c>
      <c r="B5" s="1772">
        <f>'Revenues 9-14'!D5</f>
        <v>58338</v>
      </c>
      <c r="C5" s="585"/>
      <c r="D5" s="1775">
        <f t="shared" ref="D5:D18" si="0">B5-C5</f>
        <v>58338</v>
      </c>
      <c r="E5" s="585">
        <v>67257</v>
      </c>
      <c r="F5" s="1775">
        <f>E5-C5</f>
        <v>67257</v>
      </c>
    </row>
    <row r="6" spans="1:6" ht="13.7" customHeight="1" x14ac:dyDescent="0.2">
      <c r="A6" s="716" t="s">
        <v>431</v>
      </c>
      <c r="B6" s="1772">
        <f>'Revenues 9-14'!E5</f>
        <v>135272</v>
      </c>
      <c r="C6" s="585"/>
      <c r="D6" s="1775">
        <f t="shared" si="0"/>
        <v>135272</v>
      </c>
      <c r="E6" s="585">
        <v>137266</v>
      </c>
      <c r="F6" s="1775">
        <f t="shared" ref="F6:F18" si="1">E6-C6</f>
        <v>137266</v>
      </c>
    </row>
    <row r="7" spans="1:6" ht="13.7" customHeight="1" x14ac:dyDescent="0.2">
      <c r="A7" s="716" t="s">
        <v>157</v>
      </c>
      <c r="B7" s="1772">
        <f>'Revenues 9-14'!F5</f>
        <v>38891</v>
      </c>
      <c r="C7" s="585"/>
      <c r="D7" s="1775">
        <f t="shared" si="0"/>
        <v>38891</v>
      </c>
      <c r="E7" s="585">
        <v>40164</v>
      </c>
      <c r="F7" s="1775">
        <f t="shared" si="1"/>
        <v>40164</v>
      </c>
    </row>
    <row r="8" spans="1:6" ht="13.7" customHeight="1" x14ac:dyDescent="0.2">
      <c r="A8" s="716" t="s">
        <v>1241</v>
      </c>
      <c r="B8" s="1772">
        <f>'Revenues 9-14'!G5</f>
        <v>13581</v>
      </c>
      <c r="C8" s="585"/>
      <c r="D8" s="1775">
        <f t="shared" si="0"/>
        <v>13581</v>
      </c>
      <c r="E8" s="585">
        <v>18003</v>
      </c>
      <c r="F8" s="1775">
        <f t="shared" si="1"/>
        <v>18003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16207</v>
      </c>
      <c r="C10" s="585"/>
      <c r="D10" s="1775">
        <f t="shared" si="0"/>
        <v>16207</v>
      </c>
      <c r="E10" s="585">
        <v>16735</v>
      </c>
      <c r="F10" s="1775">
        <f t="shared" si="1"/>
        <v>16735</v>
      </c>
    </row>
    <row r="11" spans="1:6" x14ac:dyDescent="0.2">
      <c r="A11" s="716" t="s">
        <v>429</v>
      </c>
      <c r="B11" s="1772">
        <f>'Revenues 9-14'!J5</f>
        <v>22687</v>
      </c>
      <c r="C11" s="585"/>
      <c r="D11" s="1775">
        <f t="shared" si="0"/>
        <v>22687</v>
      </c>
      <c r="E11" s="585">
        <v>26903</v>
      </c>
      <c r="F11" s="1775">
        <f t="shared" si="1"/>
        <v>26903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8006</v>
      </c>
      <c r="C13" s="585"/>
      <c r="D13" s="1775">
        <f t="shared" si="0"/>
        <v>8006</v>
      </c>
      <c r="E13" s="585">
        <v>8408</v>
      </c>
      <c r="F13" s="1775">
        <f t="shared" si="1"/>
        <v>8408</v>
      </c>
    </row>
    <row r="14" spans="1:6" ht="13.7" customHeight="1" x14ac:dyDescent="0.2">
      <c r="A14" s="716" t="s">
        <v>430</v>
      </c>
      <c r="B14" s="1772">
        <f>SUM('Revenues 9-14'!C7:D7,'Revenues 9-14'!F7:H7)</f>
        <v>6482</v>
      </c>
      <c r="C14" s="585"/>
      <c r="D14" s="1775">
        <f t="shared" si="0"/>
        <v>6482</v>
      </c>
      <c r="E14" s="585">
        <v>6694</v>
      </c>
      <c r="F14" s="1775">
        <f t="shared" si="1"/>
        <v>6694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13581</v>
      </c>
      <c r="C16" s="585"/>
      <c r="D16" s="1775">
        <f t="shared" si="0"/>
        <v>13581</v>
      </c>
      <c r="E16" s="585">
        <v>18003</v>
      </c>
      <c r="F16" s="1775">
        <f t="shared" si="1"/>
        <v>18003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987494</v>
      </c>
      <c r="C19" s="1773">
        <f>SUM(C4:C18)</f>
        <v>0</v>
      </c>
      <c r="D19" s="1773">
        <f>SUM(D4:D18)</f>
        <v>987494</v>
      </c>
      <c r="E19" s="1773">
        <f>SUM(E4:E18)</f>
        <v>1031366</v>
      </c>
      <c r="F19" s="1773">
        <f>SUM(F4:F18)</f>
        <v>1031366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40179</v>
      </c>
      <c r="C31" s="735">
        <v>1420000</v>
      </c>
      <c r="D31" s="736">
        <v>4</v>
      </c>
      <c r="E31" s="735">
        <v>915000</v>
      </c>
      <c r="F31" s="735"/>
      <c r="G31" s="735"/>
      <c r="H31" s="735">
        <v>100000</v>
      </c>
      <c r="I31" s="1778">
        <f>((E31+F31)-H31)+G31</f>
        <v>815000</v>
      </c>
      <c r="J31" s="735">
        <v>814908</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1420000</v>
      </c>
      <c r="D49" s="746"/>
      <c r="E49" s="1778">
        <f t="shared" ref="E49:J49" si="2">SUM(E31:E48)</f>
        <v>915000</v>
      </c>
      <c r="F49" s="1778">
        <f t="shared" si="2"/>
        <v>0</v>
      </c>
      <c r="G49" s="1778">
        <f t="shared" si="2"/>
        <v>0</v>
      </c>
      <c r="H49" s="1778">
        <f t="shared" si="2"/>
        <v>100000</v>
      </c>
      <c r="I49" s="1778">
        <f t="shared" si="2"/>
        <v>815000</v>
      </c>
      <c r="J49" s="1778">
        <f t="shared" si="2"/>
        <v>814908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60" zoomScaleNormal="110" workbookViewId="0">
      <selection activeCell="A2" sqref="A2:E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6482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6482</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6482</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6482</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1" sqref="C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v>
      </c>
      <c r="D5" s="842"/>
      <c r="E5" s="842"/>
      <c r="F5" s="1782">
        <f>(C5+D5)-E5</f>
        <v>5000</v>
      </c>
      <c r="G5" s="838"/>
      <c r="H5" s="843"/>
      <c r="I5" s="843"/>
      <c r="J5" s="843"/>
      <c r="K5" s="794"/>
      <c r="L5" s="1791">
        <f>F5-K5</f>
        <v>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2041865</v>
      </c>
      <c r="D8" s="845">
        <v>7348</v>
      </c>
      <c r="E8" s="845"/>
      <c r="F8" s="1782">
        <f>(C8+D8)-E8</f>
        <v>2049213</v>
      </c>
      <c r="G8" s="844">
        <v>50</v>
      </c>
      <c r="H8" s="766">
        <v>658903</v>
      </c>
      <c r="I8" s="766">
        <v>36444</v>
      </c>
      <c r="J8" s="766"/>
      <c r="K8" s="1791">
        <f>(H8+I8)-J8</f>
        <v>695347</v>
      </c>
      <c r="L8" s="1791">
        <f>F8-K8</f>
        <v>1353866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23600</v>
      </c>
      <c r="D10" s="847"/>
      <c r="E10" s="847"/>
      <c r="F10" s="1786">
        <f>(C10+D10)-E10</f>
        <v>23600</v>
      </c>
      <c r="G10" s="844">
        <v>20</v>
      </c>
      <c r="H10" s="848">
        <v>17546</v>
      </c>
      <c r="I10" s="848">
        <v>1180</v>
      </c>
      <c r="J10" s="848"/>
      <c r="K10" s="1791">
        <f>(H10+I10)-J10</f>
        <v>18726</v>
      </c>
      <c r="L10" s="1791">
        <f>F10-K10</f>
        <v>4874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150788</v>
      </c>
      <c r="D12" s="845">
        <v>4033</v>
      </c>
      <c r="E12" s="845"/>
      <c r="F12" s="1782">
        <f>(C12+D12)-E12</f>
        <v>154821</v>
      </c>
      <c r="G12" s="844">
        <v>10</v>
      </c>
      <c r="H12" s="766">
        <v>138927</v>
      </c>
      <c r="I12" s="766">
        <f>1033+131+145+68+459+296+1360</f>
        <v>3492</v>
      </c>
      <c r="J12" s="766"/>
      <c r="K12" s="1791">
        <f>(H12+I12)-J12</f>
        <v>142419</v>
      </c>
      <c r="L12" s="1791">
        <f>F12-K12</f>
        <v>12402</v>
      </c>
    </row>
    <row r="13" spans="1:14" ht="14.25" thickTop="1" thickBot="1" x14ac:dyDescent="0.25">
      <c r="A13" s="849" t="s">
        <v>1184</v>
      </c>
      <c r="B13" s="841">
        <v>252</v>
      </c>
      <c r="C13" s="845">
        <v>83957</v>
      </c>
      <c r="D13" s="845">
        <v>2510</v>
      </c>
      <c r="E13" s="845"/>
      <c r="F13" s="1782">
        <f>(C13+D13)-E13</f>
        <v>86467</v>
      </c>
      <c r="G13" s="844">
        <v>5</v>
      </c>
      <c r="H13" s="766">
        <v>59137</v>
      </c>
      <c r="I13" s="766">
        <f>51059-41116</f>
        <v>9943</v>
      </c>
      <c r="J13" s="766"/>
      <c r="K13" s="1791">
        <f>(H13+I13)-J13</f>
        <v>69080</v>
      </c>
      <c r="L13" s="1791">
        <f>F13-K13</f>
        <v>17387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2305210</v>
      </c>
      <c r="D16" s="1782">
        <f>SUM(D3,D5:D6,D8:D10,D12:D15)</f>
        <v>13891</v>
      </c>
      <c r="E16" s="1782">
        <f>SUM(E3,E5:E6,E8:E10,E12:E15)</f>
        <v>0</v>
      </c>
      <c r="F16" s="1782">
        <f>SUM(F3,F5:F6,F8:F10,F12:F15)</f>
        <v>2319101</v>
      </c>
      <c r="G16" s="844"/>
      <c r="H16" s="1782">
        <f>SUM(H3,H6,H8:H10,H12:H14,)</f>
        <v>874513</v>
      </c>
      <c r="I16" s="1782">
        <f>SUM(I3,I6,I8:I10,I12:I14,)</f>
        <v>51059</v>
      </c>
      <c r="J16" s="1782">
        <f>SUM(J3,J6,J8:J10,J12:J14,)</f>
        <v>0</v>
      </c>
      <c r="K16" s="1782">
        <f>(H16+I16)-J16</f>
        <v>925572</v>
      </c>
      <c r="L16" s="1782">
        <f>F16-K16</f>
        <v>1393529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51059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983122</v>
      </c>
      <c r="G8" s="866"/>
    </row>
    <row r="9" spans="1:7" x14ac:dyDescent="0.2">
      <c r="A9" s="870" t="s">
        <v>480</v>
      </c>
      <c r="B9" s="871" t="s">
        <v>1989</v>
      </c>
      <c r="C9" s="872"/>
      <c r="D9" s="870" t="s">
        <v>522</v>
      </c>
      <c r="E9" s="869"/>
      <c r="F9" s="1935">
        <f>'Expenditures 15-22'!K151</f>
        <v>108595</v>
      </c>
      <c r="G9" s="873"/>
    </row>
    <row r="10" spans="1:7" x14ac:dyDescent="0.2">
      <c r="A10" s="870" t="s">
        <v>520</v>
      </c>
      <c r="B10" s="871" t="s">
        <v>1990</v>
      </c>
      <c r="C10" s="872"/>
      <c r="D10" s="870" t="s">
        <v>522</v>
      </c>
      <c r="E10" s="869"/>
      <c r="F10" s="1935">
        <f>'Expenditures 15-22'!K174</f>
        <v>137487</v>
      </c>
      <c r="G10" s="873"/>
    </row>
    <row r="11" spans="1:7" x14ac:dyDescent="0.2">
      <c r="A11" s="870" t="s">
        <v>481</v>
      </c>
      <c r="B11" s="871" t="s">
        <v>1991</v>
      </c>
      <c r="C11" s="872"/>
      <c r="D11" s="870" t="s">
        <v>522</v>
      </c>
      <c r="E11" s="869"/>
      <c r="F11" s="1935">
        <f>'Expenditures 15-22'!K210</f>
        <v>82038</v>
      </c>
      <c r="G11" s="873"/>
    </row>
    <row r="12" spans="1:7" x14ac:dyDescent="0.2">
      <c r="A12" s="870" t="s">
        <v>482</v>
      </c>
      <c r="B12" s="871" t="s">
        <v>1992</v>
      </c>
      <c r="C12" s="872"/>
      <c r="D12" s="870" t="s">
        <v>522</v>
      </c>
      <c r="E12" s="869"/>
      <c r="F12" s="1935">
        <f>'Expenditures 15-22'!K295</f>
        <v>27065</v>
      </c>
      <c r="G12" s="873"/>
    </row>
    <row r="13" spans="1:7" x14ac:dyDescent="0.2">
      <c r="A13" s="870" t="s">
        <v>108</v>
      </c>
      <c r="B13" s="871" t="s">
        <v>1993</v>
      </c>
      <c r="C13" s="872"/>
      <c r="D13" s="870" t="s">
        <v>522</v>
      </c>
      <c r="E13" s="869"/>
      <c r="F13" s="1935">
        <f>'Expenditures 15-22'!K342</f>
        <v>20471</v>
      </c>
      <c r="G13" s="874"/>
    </row>
    <row r="14" spans="1:7" ht="12" customHeight="1" thickBot="1" x14ac:dyDescent="0.25">
      <c r="A14" s="1792"/>
      <c r="B14" s="1793"/>
      <c r="C14" s="1794"/>
      <c r="D14" s="1795" t="s">
        <v>522</v>
      </c>
      <c r="E14" s="1796" t="s">
        <v>1015</v>
      </c>
      <c r="F14" s="1797">
        <f>SUM(F8:F13)</f>
        <v>1358778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22798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93425</v>
      </c>
      <c r="G53" s="866"/>
    </row>
    <row r="54" spans="1:7" x14ac:dyDescent="0.2">
      <c r="A54" s="870" t="s">
        <v>479</v>
      </c>
      <c r="B54" s="870" t="s">
        <v>1552</v>
      </c>
      <c r="C54" s="890" t="s">
        <v>1039</v>
      </c>
      <c r="D54" s="886" t="s">
        <v>1157</v>
      </c>
      <c r="E54" s="869"/>
      <c r="F54" s="1939">
        <f>'Expenditures 15-22'!G114</f>
        <v>6543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7348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471</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230585</v>
      </c>
      <c r="G76" s="866"/>
    </row>
    <row r="77" spans="1:8" s="894" customFormat="1" ht="12" customHeight="1" thickTop="1" thickBot="1" x14ac:dyDescent="0.25">
      <c r="A77" s="1801"/>
      <c r="B77" s="1798"/>
      <c r="C77" s="1794"/>
      <c r="D77" s="1799" t="s">
        <v>2012</v>
      </c>
      <c r="E77" s="1796"/>
      <c r="F77" s="1802">
        <f>(F14-F76)</f>
        <v>1128193</v>
      </c>
      <c r="G77" s="870"/>
    </row>
    <row r="78" spans="1:8" s="894" customFormat="1" ht="12" customHeight="1" thickTop="1" x14ac:dyDescent="0.2">
      <c r="A78" s="1803"/>
      <c r="B78" s="1798"/>
      <c r="C78" s="1794"/>
      <c r="D78" s="1799" t="s">
        <v>2059</v>
      </c>
      <c r="E78" s="1796"/>
      <c r="F78" s="899">
        <v>79.906000000000006</v>
      </c>
      <c r="G78" s="900"/>
      <c r="H78" s="870"/>
    </row>
    <row r="79" spans="1:8" s="894" customFormat="1" ht="12" customHeight="1" thickBot="1" x14ac:dyDescent="0.25">
      <c r="A79" s="1804"/>
      <c r="B79" s="1798"/>
      <c r="C79" s="1794"/>
      <c r="D79" s="1799" t="s">
        <v>2013</v>
      </c>
      <c r="E79" s="1796" t="s">
        <v>1015</v>
      </c>
      <c r="F79" s="1805">
        <f>IF(F78&gt;0,F77/F78," Complete Line 78")</f>
        <v>14119.002327735088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12613</v>
      </c>
      <c r="G94" s="913"/>
    </row>
    <row r="95" spans="1:7" x14ac:dyDescent="0.2">
      <c r="A95" s="909" t="s">
        <v>142</v>
      </c>
      <c r="B95" s="909" t="s">
        <v>177</v>
      </c>
      <c r="C95" s="911">
        <v>1700</v>
      </c>
      <c r="D95" s="919" t="str">
        <f>'Revenues 9-14'!A82</f>
        <v>Total District/School Activity Income</v>
      </c>
      <c r="E95" s="907"/>
      <c r="F95" s="1811">
        <f>SUM('Revenues 9-14'!C82,'Revenues 9-14'!D82)</f>
        <v>4317</v>
      </c>
      <c r="G95" s="913"/>
    </row>
    <row r="96" spans="1:7" x14ac:dyDescent="0.2">
      <c r="A96" s="909" t="s">
        <v>479</v>
      </c>
      <c r="B96" s="909" t="s">
        <v>178</v>
      </c>
      <c r="C96" s="911">
        <f>'Revenues 9-14'!B84</f>
        <v>1811</v>
      </c>
      <c r="D96" s="912" t="str">
        <f>'Revenues 9-14'!A84</f>
        <v>Rentals - Regular Textbooks</v>
      </c>
      <c r="E96" s="907"/>
      <c r="F96" s="1811">
        <f>'Revenues 9-14'!C84</f>
        <v>6215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14786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77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38311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3441</v>
      </c>
      <c r="G128" s="931"/>
    </row>
    <row r="129" spans="1:7" x14ac:dyDescent="0.2">
      <c r="A129" s="928" t="s">
        <v>685</v>
      </c>
      <c r="B129" s="928" t="s">
        <v>803</v>
      </c>
      <c r="C129" s="933">
        <v>4200</v>
      </c>
      <c r="D129" s="930" t="str">
        <f>'Revenues 9-14'!A201</f>
        <v>Total Food Service</v>
      </c>
      <c r="E129" s="907"/>
      <c r="F129" s="1811">
        <f>SUM('Revenues 9-14'!C201,'Revenues 9-14'!G201)</f>
        <v>9843</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8681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7030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105314</v>
      </c>
    </row>
    <row r="179" spans="1:7" ht="12" customHeight="1" x14ac:dyDescent="0.2">
      <c r="A179" s="1792"/>
      <c r="B179" s="1806"/>
      <c r="C179" s="1807"/>
      <c r="D179" s="1808" t="s">
        <v>2015</v>
      </c>
      <c r="E179" s="1809"/>
      <c r="F179" s="1811">
        <f>'PCTC-OEPP 27-28'!F77-F178</f>
        <v>1022879</v>
      </c>
    </row>
    <row r="180" spans="1:7" ht="12" customHeight="1" x14ac:dyDescent="0.2">
      <c r="A180" s="1792"/>
      <c r="B180" s="1806"/>
      <c r="C180" s="1807"/>
      <c r="D180" s="1808" t="s">
        <v>1924</v>
      </c>
      <c r="E180" s="1809"/>
      <c r="F180" s="1811">
        <f>'Cap Outlay Deprec 26'!I18</f>
        <v>51059</v>
      </c>
    </row>
    <row r="181" spans="1:7" ht="12" customHeight="1" x14ac:dyDescent="0.2">
      <c r="A181" s="1792"/>
      <c r="B181" s="1806"/>
      <c r="C181" s="1807"/>
      <c r="D181" s="1808" t="s">
        <v>2016</v>
      </c>
      <c r="E181" s="1809"/>
      <c r="F181" s="1811">
        <f>F179+F180</f>
        <v>1073938</v>
      </c>
    </row>
    <row r="182" spans="1:7" ht="12" customHeight="1" x14ac:dyDescent="0.2">
      <c r="A182" s="1792"/>
      <c r="B182" s="1812"/>
      <c r="C182" s="1807"/>
      <c r="D182" s="1808" t="str">
        <f>D78</f>
        <v>9 Month ADA from District Average Daily Attendance/Prior General State Aid Inquiry 2017-2018</v>
      </c>
      <c r="E182" s="1809"/>
      <c r="F182" s="1813">
        <f>'PCTC-OEPP 27-28'!F78</f>
        <v>79.906000000000006</v>
      </c>
      <c r="G182" s="931"/>
    </row>
    <row r="183" spans="1:7" ht="12" customHeight="1" thickBot="1" x14ac:dyDescent="0.25">
      <c r="A183" s="1792"/>
      <c r="B183" s="1812"/>
      <c r="C183" s="1807"/>
      <c r="D183" s="1808" t="s">
        <v>2017</v>
      </c>
      <c r="E183" s="1809" t="s">
        <v>1626</v>
      </c>
      <c r="F183" s="1814">
        <f>F181/F182</f>
        <v>13440.017019998497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35" activePane="bottomLeft" state="frozen"/>
      <selection pane="bottomLeft" activeCell="K28" sqref="K2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ref="E20:E27" si="5">IF(D20&lt;=25000,D20,IF(D20&gt;25000,25000,0))</f>
        <v>0</v>
      </c>
      <c r="F20" s="1815">
        <f t="shared" ref="F20:F27"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6">
        <f t="shared" ref="G20:G27" si="7">IF(F20=0,0,D20-F20)</f>
        <v>0</v>
      </c>
    </row>
    <row r="21" spans="1:8" x14ac:dyDescent="0.25">
      <c r="A21" s="1675"/>
      <c r="B21" s="1868"/>
      <c r="C21" s="1678"/>
      <c r="D21" s="1867"/>
      <c r="E21" s="1562">
        <f t="shared" si="5"/>
        <v>0</v>
      </c>
      <c r="F21" s="1815">
        <f t="shared" si="6"/>
        <v>0</v>
      </c>
      <c r="G21" s="1816">
        <f t="shared" si="7"/>
        <v>0</v>
      </c>
    </row>
    <row r="22" spans="1:8" x14ac:dyDescent="0.25">
      <c r="A22" s="1675"/>
      <c r="B22" s="1868"/>
      <c r="C22" s="1678"/>
      <c r="D22" s="1867"/>
      <c r="E22" s="1562">
        <f t="shared" si="5"/>
        <v>0</v>
      </c>
      <c r="F22" s="1815">
        <f t="shared" si="6"/>
        <v>0</v>
      </c>
      <c r="G22" s="1816">
        <f t="shared" si="7"/>
        <v>0</v>
      </c>
    </row>
    <row r="23" spans="1:8" x14ac:dyDescent="0.25">
      <c r="A23" s="1675"/>
      <c r="B23" s="1868"/>
      <c r="C23" s="1678"/>
      <c r="D23" s="1867"/>
      <c r="E23" s="1562">
        <f t="shared" si="5"/>
        <v>0</v>
      </c>
      <c r="F23" s="1815">
        <f t="shared" si="6"/>
        <v>0</v>
      </c>
      <c r="G23" s="1816">
        <f t="shared" si="7"/>
        <v>0</v>
      </c>
    </row>
    <row r="24" spans="1:8" x14ac:dyDescent="0.25">
      <c r="A24" s="1675"/>
      <c r="B24" s="1869"/>
      <c r="C24" s="1678"/>
      <c r="D24" s="1867"/>
      <c r="E24" s="1562">
        <f t="shared" si="5"/>
        <v>0</v>
      </c>
      <c r="F24" s="1815">
        <f t="shared" si="6"/>
        <v>0</v>
      </c>
      <c r="G24" s="1816">
        <f t="shared" si="7"/>
        <v>0</v>
      </c>
    </row>
    <row r="25" spans="1:8" x14ac:dyDescent="0.25">
      <c r="A25" s="1675"/>
      <c r="B25" s="1868"/>
      <c r="C25" s="1678"/>
      <c r="D25" s="1867"/>
      <c r="E25" s="1562">
        <f t="shared" si="5"/>
        <v>0</v>
      </c>
      <c r="F25" s="1815">
        <f t="shared" si="6"/>
        <v>0</v>
      </c>
      <c r="G25" s="1816">
        <f t="shared" si="7"/>
        <v>0</v>
      </c>
    </row>
    <row r="26" spans="1:8" x14ac:dyDescent="0.25">
      <c r="A26" s="1675"/>
      <c r="B26" s="1869"/>
      <c r="C26" s="1676"/>
      <c r="D26" s="1867"/>
      <c r="E26" s="1562">
        <f t="shared" si="5"/>
        <v>0</v>
      </c>
      <c r="F26" s="1815">
        <f t="shared" si="6"/>
        <v>0</v>
      </c>
      <c r="G26" s="1816">
        <f t="shared" si="7"/>
        <v>0</v>
      </c>
    </row>
    <row r="27" spans="1:8" x14ac:dyDescent="0.25">
      <c r="A27" s="1675"/>
      <c r="B27" s="1869"/>
      <c r="C27" s="1676"/>
      <c r="D27" s="1867"/>
      <c r="E27" s="1562">
        <f t="shared" si="5"/>
        <v>0</v>
      </c>
      <c r="F27" s="1815">
        <f t="shared" si="6"/>
        <v>0</v>
      </c>
      <c r="G27" s="1816">
        <f t="shared" si="7"/>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ht="30" x14ac:dyDescent="0.25">
      <c r="A32" s="1954" t="s">
        <v>2100</v>
      </c>
      <c r="B32" s="1955" t="s">
        <v>2101</v>
      </c>
      <c r="C32" s="1956" t="s">
        <v>2102</v>
      </c>
      <c r="D32" s="1867">
        <v>3670</v>
      </c>
      <c r="E32" s="1562">
        <f t="shared" ref="E32:E39" si="8">IF(D32&lt;=25000,D32,IF(D32&gt;25000,25000,0))</f>
        <v>3670</v>
      </c>
      <c r="F32" s="1815">
        <f t="shared" ref="F32:F39" si="9">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3670</v>
      </c>
      <c r="G32" s="1816">
        <f t="shared" ref="G32:G39" si="10">IF(F32=0,0,D32-F32)</f>
        <v>0</v>
      </c>
    </row>
    <row r="33" spans="1:7" ht="30" x14ac:dyDescent="0.25">
      <c r="A33" s="1954" t="s">
        <v>2100</v>
      </c>
      <c r="B33" s="1955" t="s">
        <v>2101</v>
      </c>
      <c r="C33" s="1956" t="s">
        <v>2103</v>
      </c>
      <c r="D33" s="1867">
        <v>613</v>
      </c>
      <c r="E33" s="1562">
        <f t="shared" si="8"/>
        <v>613</v>
      </c>
      <c r="F33" s="1815">
        <f t="shared" si="9"/>
        <v>613</v>
      </c>
      <c r="G33" s="1816">
        <f t="shared" si="10"/>
        <v>0</v>
      </c>
    </row>
    <row r="34" spans="1:7" ht="30" x14ac:dyDescent="0.25">
      <c r="A34" s="1954" t="s">
        <v>2100</v>
      </c>
      <c r="B34" s="1955" t="s">
        <v>2101</v>
      </c>
      <c r="C34" s="1956" t="s">
        <v>2104</v>
      </c>
      <c r="D34" s="1867">
        <v>1032</v>
      </c>
      <c r="E34" s="1562">
        <f t="shared" si="8"/>
        <v>1032</v>
      </c>
      <c r="F34" s="1815">
        <f t="shared" si="9"/>
        <v>1032</v>
      </c>
      <c r="G34" s="1816">
        <f t="shared" si="10"/>
        <v>0</v>
      </c>
    </row>
    <row r="35" spans="1:7" ht="30" x14ac:dyDescent="0.25">
      <c r="A35" s="1954" t="s">
        <v>2100</v>
      </c>
      <c r="B35" s="1955" t="s">
        <v>2101</v>
      </c>
      <c r="C35" s="1956" t="s">
        <v>2105</v>
      </c>
      <c r="D35" s="1867">
        <v>2445</v>
      </c>
      <c r="E35" s="1562">
        <f t="shared" si="8"/>
        <v>2445</v>
      </c>
      <c r="F35" s="1815">
        <f t="shared" si="9"/>
        <v>2445</v>
      </c>
      <c r="G35" s="1816">
        <f t="shared" si="10"/>
        <v>0</v>
      </c>
    </row>
    <row r="36" spans="1:7" ht="30" x14ac:dyDescent="0.25">
      <c r="A36" s="1954" t="s">
        <v>2100</v>
      </c>
      <c r="B36" s="1955" t="s">
        <v>2101</v>
      </c>
      <c r="C36" s="1956" t="s">
        <v>2106</v>
      </c>
      <c r="D36" s="1867">
        <v>542</v>
      </c>
      <c r="E36" s="1562">
        <f t="shared" si="8"/>
        <v>542</v>
      </c>
      <c r="F36" s="1815">
        <f t="shared" si="9"/>
        <v>542</v>
      </c>
      <c r="G36" s="1816">
        <f t="shared" si="10"/>
        <v>0</v>
      </c>
    </row>
    <row r="37" spans="1:7" ht="30" x14ac:dyDescent="0.25">
      <c r="A37" s="1954" t="s">
        <v>2100</v>
      </c>
      <c r="B37" s="1955" t="s">
        <v>2101</v>
      </c>
      <c r="C37" s="1956" t="s">
        <v>2107</v>
      </c>
      <c r="D37" s="1867">
        <v>209</v>
      </c>
      <c r="E37" s="1562">
        <f t="shared" si="8"/>
        <v>209</v>
      </c>
      <c r="F37" s="1815">
        <f t="shared" si="9"/>
        <v>209</v>
      </c>
      <c r="G37" s="1816">
        <f t="shared" si="10"/>
        <v>0</v>
      </c>
    </row>
    <row r="38" spans="1:7" ht="30" x14ac:dyDescent="0.25">
      <c r="A38" s="1954" t="s">
        <v>2100</v>
      </c>
      <c r="B38" s="1957" t="s">
        <v>2101</v>
      </c>
      <c r="C38" s="1956" t="s">
        <v>2108</v>
      </c>
      <c r="D38" s="1867">
        <v>900</v>
      </c>
      <c r="E38" s="1562">
        <f t="shared" si="8"/>
        <v>900</v>
      </c>
      <c r="F38" s="1815">
        <f t="shared" si="9"/>
        <v>900</v>
      </c>
      <c r="G38" s="1816">
        <f t="shared" si="10"/>
        <v>0</v>
      </c>
    </row>
    <row r="39" spans="1:7" ht="30" x14ac:dyDescent="0.25">
      <c r="A39" s="1954" t="s">
        <v>2100</v>
      </c>
      <c r="B39" s="1957" t="s">
        <v>2101</v>
      </c>
      <c r="C39" s="1956" t="s">
        <v>2109</v>
      </c>
      <c r="D39" s="1867">
        <v>2279</v>
      </c>
      <c r="E39" s="1562">
        <f t="shared" si="8"/>
        <v>2279</v>
      </c>
      <c r="F39" s="1815">
        <f t="shared" si="9"/>
        <v>2279</v>
      </c>
      <c r="G39" s="1816">
        <f t="shared" si="10"/>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11">IF(D73&lt;=25000,D73,IF(D73&gt;25000,25000,0))</f>
        <v>0</v>
      </c>
      <c r="F73" s="1815">
        <f t="shared" ref="F73:F84" si="12">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13">IF(F73=0,0,D73-F73)</f>
        <v>0</v>
      </c>
    </row>
    <row r="74" spans="1:7" hidden="1" x14ac:dyDescent="0.25">
      <c r="A74" s="1675"/>
      <c r="B74" s="1689"/>
      <c r="C74" s="1676"/>
      <c r="D74" s="1867"/>
      <c r="E74" s="1562">
        <f t="shared" si="11"/>
        <v>0</v>
      </c>
      <c r="F74" s="1815">
        <f t="shared" si="12"/>
        <v>0</v>
      </c>
      <c r="G74" s="1816">
        <f t="shared" si="13"/>
        <v>0</v>
      </c>
    </row>
    <row r="75" spans="1:7" hidden="1" x14ac:dyDescent="0.25">
      <c r="A75" s="1675"/>
      <c r="B75" s="1689"/>
      <c r="C75" s="1676"/>
      <c r="D75" s="1867"/>
      <c r="E75" s="1562">
        <f t="shared" si="11"/>
        <v>0</v>
      </c>
      <c r="F75" s="1815">
        <f t="shared" si="12"/>
        <v>0</v>
      </c>
      <c r="G75" s="1816">
        <f t="shared" si="13"/>
        <v>0</v>
      </c>
    </row>
    <row r="76" spans="1:7" hidden="1" x14ac:dyDescent="0.25">
      <c r="A76" s="1675"/>
      <c r="B76" s="1689"/>
      <c r="C76" s="1676"/>
      <c r="D76" s="1867"/>
      <c r="E76" s="1562">
        <f t="shared" si="11"/>
        <v>0</v>
      </c>
      <c r="F76" s="1815">
        <f t="shared" si="12"/>
        <v>0</v>
      </c>
      <c r="G76" s="1816">
        <f t="shared" si="13"/>
        <v>0</v>
      </c>
    </row>
    <row r="77" spans="1:7" hidden="1" x14ac:dyDescent="0.25">
      <c r="A77" s="1675"/>
      <c r="B77" s="1689"/>
      <c r="C77" s="1676"/>
      <c r="D77" s="1867"/>
      <c r="E77" s="1562">
        <f t="shared" si="11"/>
        <v>0</v>
      </c>
      <c r="F77" s="1815">
        <f t="shared" si="12"/>
        <v>0</v>
      </c>
      <c r="G77" s="1816">
        <f t="shared" si="13"/>
        <v>0</v>
      </c>
    </row>
    <row r="78" spans="1:7" hidden="1" x14ac:dyDescent="0.25">
      <c r="A78" s="1675"/>
      <c r="B78" s="1689"/>
      <c r="C78" s="1676"/>
      <c r="D78" s="1867"/>
      <c r="E78" s="1562">
        <f t="shared" si="11"/>
        <v>0</v>
      </c>
      <c r="F78" s="1815">
        <f t="shared" si="12"/>
        <v>0</v>
      </c>
      <c r="G78" s="1816">
        <f t="shared" si="13"/>
        <v>0</v>
      </c>
    </row>
    <row r="79" spans="1:7" hidden="1" x14ac:dyDescent="0.25">
      <c r="A79" s="1675"/>
      <c r="B79" s="1689"/>
      <c r="C79" s="1676"/>
      <c r="D79" s="1867"/>
      <c r="E79" s="1562">
        <f t="shared" si="11"/>
        <v>0</v>
      </c>
      <c r="F79" s="1815">
        <f t="shared" si="12"/>
        <v>0</v>
      </c>
      <c r="G79" s="1816">
        <f t="shared" si="13"/>
        <v>0</v>
      </c>
    </row>
    <row r="80" spans="1:7" hidden="1" x14ac:dyDescent="0.25">
      <c r="A80" s="1675"/>
      <c r="B80" s="1689"/>
      <c r="C80" s="1676"/>
      <c r="D80" s="1867"/>
      <c r="E80" s="1562">
        <f t="shared" si="11"/>
        <v>0</v>
      </c>
      <c r="F80" s="1815">
        <f t="shared" si="12"/>
        <v>0</v>
      </c>
      <c r="G80" s="1816">
        <f t="shared" si="13"/>
        <v>0</v>
      </c>
    </row>
    <row r="81" spans="1:7" hidden="1" x14ac:dyDescent="0.25">
      <c r="A81" s="1675"/>
      <c r="B81" s="1689"/>
      <c r="C81" s="1676"/>
      <c r="D81" s="1867"/>
      <c r="E81" s="1562">
        <f t="shared" si="11"/>
        <v>0</v>
      </c>
      <c r="F81" s="1815">
        <f t="shared" si="12"/>
        <v>0</v>
      </c>
      <c r="G81" s="1816">
        <f t="shared" si="13"/>
        <v>0</v>
      </c>
    </row>
    <row r="82" spans="1:7" hidden="1" x14ac:dyDescent="0.25">
      <c r="A82" s="1675"/>
      <c r="B82" s="1689"/>
      <c r="C82" s="1676"/>
      <c r="D82" s="1867"/>
      <c r="E82" s="1562">
        <f t="shared" si="11"/>
        <v>0</v>
      </c>
      <c r="F82" s="1815">
        <f t="shared" si="12"/>
        <v>0</v>
      </c>
      <c r="G82" s="1816">
        <f t="shared" si="13"/>
        <v>0</v>
      </c>
    </row>
    <row r="83" spans="1:7" hidden="1" x14ac:dyDescent="0.25">
      <c r="A83" s="1675"/>
      <c r="B83" s="1689"/>
      <c r="C83" s="1676"/>
      <c r="D83" s="1867"/>
      <c r="E83" s="1562">
        <f t="shared" si="11"/>
        <v>0</v>
      </c>
      <c r="F83" s="1815">
        <f t="shared" si="12"/>
        <v>0</v>
      </c>
      <c r="G83" s="1816">
        <f t="shared" si="13"/>
        <v>0</v>
      </c>
    </row>
    <row r="84" spans="1:7" hidden="1" x14ac:dyDescent="0.25">
      <c r="A84" s="1675"/>
      <c r="B84" s="1689"/>
      <c r="C84" s="1676"/>
      <c r="D84" s="1867"/>
      <c r="E84" s="1562">
        <f t="shared" si="11"/>
        <v>0</v>
      </c>
      <c r="F84" s="1815">
        <f t="shared" si="12"/>
        <v>0</v>
      </c>
      <c r="G84" s="1816">
        <f t="shared" si="13"/>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14">IF(D93&lt;=25000,D93,IF(D93&gt;25000,25000,0))</f>
        <v>0</v>
      </c>
      <c r="F93" s="1815">
        <f t="shared" ref="F93" si="15">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6">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7">IF(D95&lt;=25000,D95,IF(D95&gt;25000,25000,0))</f>
        <v>0</v>
      </c>
      <c r="F95" s="1815">
        <f t="shared" ref="F95:F98" si="18">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9">IF(F95=0,0,D95-F95)</f>
        <v>0</v>
      </c>
    </row>
    <row r="96" spans="1:7" hidden="1" x14ac:dyDescent="0.25">
      <c r="A96" s="1675"/>
      <c r="B96" s="1689"/>
      <c r="C96" s="1676"/>
      <c r="D96" s="1867"/>
      <c r="E96" s="1562">
        <f t="shared" si="17"/>
        <v>0</v>
      </c>
      <c r="F96" s="1815">
        <f t="shared" si="18"/>
        <v>0</v>
      </c>
      <c r="G96" s="1816">
        <f t="shared" si="19"/>
        <v>0</v>
      </c>
    </row>
    <row r="97" spans="1:7" hidden="1" x14ac:dyDescent="0.25">
      <c r="A97" s="1675"/>
      <c r="B97" s="1689"/>
      <c r="C97" s="1676"/>
      <c r="D97" s="1867"/>
      <c r="E97" s="1562">
        <f t="shared" si="17"/>
        <v>0</v>
      </c>
      <c r="F97" s="1815">
        <f t="shared" si="18"/>
        <v>0</v>
      </c>
      <c r="G97" s="1816">
        <f t="shared" si="19"/>
        <v>0</v>
      </c>
    </row>
    <row r="98" spans="1:7" hidden="1" x14ac:dyDescent="0.25">
      <c r="A98" s="1675"/>
      <c r="B98" s="1689"/>
      <c r="C98" s="1676"/>
      <c r="D98" s="1867"/>
      <c r="E98" s="1562">
        <f t="shared" si="17"/>
        <v>0</v>
      </c>
      <c r="F98" s="1815">
        <f t="shared" si="18"/>
        <v>0</v>
      </c>
      <c r="G98" s="1816">
        <f t="shared" si="19"/>
        <v>0</v>
      </c>
    </row>
    <row r="99" spans="1:7" hidden="1" x14ac:dyDescent="0.25">
      <c r="A99" s="1675"/>
      <c r="B99" s="1689"/>
      <c r="C99" s="1676"/>
      <c r="D99" s="1867"/>
      <c r="E99" s="1562">
        <f t="shared" ref="E99" si="20">IF(D99&lt;=25000,D99,IF(D99&gt;25000,25000,0))</f>
        <v>0</v>
      </c>
      <c r="F99" s="1815">
        <f t="shared" ref="F99" si="21">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22">IF(F99=0,0,D99-F99)</f>
        <v>0</v>
      </c>
    </row>
    <row r="100" spans="1:7" hidden="1" x14ac:dyDescent="0.25">
      <c r="A100" s="1675"/>
      <c r="B100" s="1689"/>
      <c r="C100" s="1676"/>
      <c r="D100" s="1867"/>
      <c r="E100" s="1562">
        <f t="shared" ref="E100:E112" si="23">IF(D100&lt;=25000,D100,IF(D100&gt;25000,25000,0))</f>
        <v>0</v>
      </c>
      <c r="F100" s="1815">
        <f t="shared" ref="F100:F112" si="24">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25">IF(F100=0,0,D100-F100)</f>
        <v>0</v>
      </c>
    </row>
    <row r="101" spans="1:7" hidden="1" x14ac:dyDescent="0.25">
      <c r="A101" s="1675"/>
      <c r="B101" s="1689"/>
      <c r="C101" s="1676"/>
      <c r="D101" s="1867"/>
      <c r="E101" s="1562">
        <f t="shared" si="23"/>
        <v>0</v>
      </c>
      <c r="F101" s="1815">
        <f t="shared" si="24"/>
        <v>0</v>
      </c>
      <c r="G101" s="1816">
        <f t="shared" si="25"/>
        <v>0</v>
      </c>
    </row>
    <row r="102" spans="1:7" hidden="1" x14ac:dyDescent="0.25">
      <c r="A102" s="1675"/>
      <c r="B102" s="1689"/>
      <c r="C102" s="1676"/>
      <c r="D102" s="1867"/>
      <c r="E102" s="1562">
        <f t="shared" si="23"/>
        <v>0</v>
      </c>
      <c r="F102" s="1815">
        <f t="shared" si="24"/>
        <v>0</v>
      </c>
      <c r="G102" s="1816">
        <f t="shared" si="25"/>
        <v>0</v>
      </c>
    </row>
    <row r="103" spans="1:7" hidden="1" x14ac:dyDescent="0.25">
      <c r="A103" s="1675"/>
      <c r="B103" s="1689"/>
      <c r="C103" s="1676"/>
      <c r="D103" s="1867"/>
      <c r="E103" s="1562">
        <f t="shared" si="23"/>
        <v>0</v>
      </c>
      <c r="F103" s="1815">
        <f t="shared" si="24"/>
        <v>0</v>
      </c>
      <c r="G103" s="1816">
        <f t="shared" si="25"/>
        <v>0</v>
      </c>
    </row>
    <row r="104" spans="1:7" hidden="1" x14ac:dyDescent="0.25">
      <c r="A104" s="1675"/>
      <c r="B104" s="1689"/>
      <c r="C104" s="1676"/>
      <c r="D104" s="1867"/>
      <c r="E104" s="1562">
        <f t="shared" si="23"/>
        <v>0</v>
      </c>
      <c r="F104" s="1815">
        <f t="shared" si="24"/>
        <v>0</v>
      </c>
      <c r="G104" s="1816">
        <f t="shared" si="25"/>
        <v>0</v>
      </c>
    </row>
    <row r="105" spans="1:7" hidden="1" x14ac:dyDescent="0.25">
      <c r="A105" s="1675"/>
      <c r="B105" s="1689"/>
      <c r="C105" s="1676"/>
      <c r="D105" s="1867"/>
      <c r="E105" s="1562">
        <f t="shared" si="23"/>
        <v>0</v>
      </c>
      <c r="F105" s="1815">
        <f t="shared" si="24"/>
        <v>0</v>
      </c>
      <c r="G105" s="1816">
        <f t="shared" si="25"/>
        <v>0</v>
      </c>
    </row>
    <row r="106" spans="1:7" hidden="1" x14ac:dyDescent="0.25">
      <c r="A106" s="1675"/>
      <c r="B106" s="1689"/>
      <c r="C106" s="1676"/>
      <c r="D106" s="1867"/>
      <c r="E106" s="1562">
        <f t="shared" si="23"/>
        <v>0</v>
      </c>
      <c r="F106" s="1815">
        <f t="shared" si="24"/>
        <v>0</v>
      </c>
      <c r="G106" s="1816">
        <f t="shared" si="25"/>
        <v>0</v>
      </c>
    </row>
    <row r="107" spans="1:7" hidden="1" x14ac:dyDescent="0.25">
      <c r="A107" s="1675"/>
      <c r="B107" s="1689"/>
      <c r="C107" s="1676"/>
      <c r="D107" s="1867"/>
      <c r="E107" s="1562">
        <f t="shared" si="23"/>
        <v>0</v>
      </c>
      <c r="F107" s="1815">
        <f t="shared" si="24"/>
        <v>0</v>
      </c>
      <c r="G107" s="1816">
        <f t="shared" si="25"/>
        <v>0</v>
      </c>
    </row>
    <row r="108" spans="1:7" hidden="1" x14ac:dyDescent="0.25">
      <c r="A108" s="1675"/>
      <c r="B108" s="1689"/>
      <c r="C108" s="1676"/>
      <c r="D108" s="1867"/>
      <c r="E108" s="1562">
        <f t="shared" si="23"/>
        <v>0</v>
      </c>
      <c r="F108" s="1815">
        <f t="shared" si="24"/>
        <v>0</v>
      </c>
      <c r="G108" s="1816">
        <f t="shared" si="25"/>
        <v>0</v>
      </c>
    </row>
    <row r="109" spans="1:7" hidden="1" x14ac:dyDescent="0.25">
      <c r="A109" s="1675"/>
      <c r="B109" s="1689"/>
      <c r="C109" s="1676"/>
      <c r="D109" s="1867"/>
      <c r="E109" s="1562">
        <f t="shared" si="23"/>
        <v>0</v>
      </c>
      <c r="F109" s="1815">
        <f t="shared" si="24"/>
        <v>0</v>
      </c>
      <c r="G109" s="1816">
        <f t="shared" si="25"/>
        <v>0</v>
      </c>
    </row>
    <row r="110" spans="1:7" hidden="1" x14ac:dyDescent="0.25">
      <c r="A110" s="1675"/>
      <c r="B110" s="1689"/>
      <c r="C110" s="1676"/>
      <c r="D110" s="1867"/>
      <c r="E110" s="1562">
        <f t="shared" si="23"/>
        <v>0</v>
      </c>
      <c r="F110" s="1815">
        <f t="shared" si="24"/>
        <v>0</v>
      </c>
      <c r="G110" s="1816">
        <f t="shared" si="25"/>
        <v>0</v>
      </c>
    </row>
    <row r="111" spans="1:7" hidden="1" x14ac:dyDescent="0.25">
      <c r="A111" s="1675"/>
      <c r="B111" s="1689"/>
      <c r="C111" s="1676"/>
      <c r="D111" s="1867"/>
      <c r="E111" s="1562">
        <f t="shared" si="23"/>
        <v>0</v>
      </c>
      <c r="F111" s="1815">
        <f t="shared" si="24"/>
        <v>0</v>
      </c>
      <c r="G111" s="1816">
        <f t="shared" si="25"/>
        <v>0</v>
      </c>
    </row>
    <row r="112" spans="1:7" hidden="1" x14ac:dyDescent="0.25">
      <c r="A112" s="1675"/>
      <c r="B112" s="1689"/>
      <c r="C112" s="1676"/>
      <c r="D112" s="1867"/>
      <c r="E112" s="1562">
        <f t="shared" si="23"/>
        <v>0</v>
      </c>
      <c r="F112" s="1815">
        <f t="shared" si="24"/>
        <v>0</v>
      </c>
      <c r="G112" s="1816">
        <f t="shared" si="25"/>
        <v>0</v>
      </c>
    </row>
    <row r="113" spans="1:7" hidden="1" x14ac:dyDescent="0.25">
      <c r="A113" s="1675"/>
      <c r="B113" s="1689"/>
      <c r="C113" s="1676"/>
      <c r="D113" s="1867"/>
      <c r="E113" s="1562">
        <f t="shared" ref="E113:E125" si="26">IF(D113&lt;=25000,D113,IF(D113&gt;25000,25000,0))</f>
        <v>0</v>
      </c>
      <c r="F113" s="1815">
        <f t="shared" ref="F113:F125" si="27">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8">IF(F113=0,0,D113-F113)</f>
        <v>0</v>
      </c>
    </row>
    <row r="114" spans="1:7" hidden="1" x14ac:dyDescent="0.25">
      <c r="A114" s="1675"/>
      <c r="B114" s="1689"/>
      <c r="C114" s="1676"/>
      <c r="D114" s="1867"/>
      <c r="E114" s="1562">
        <f t="shared" si="26"/>
        <v>0</v>
      </c>
      <c r="F114" s="1815">
        <f t="shared" si="27"/>
        <v>0</v>
      </c>
      <c r="G114" s="1816">
        <f t="shared" si="28"/>
        <v>0</v>
      </c>
    </row>
    <row r="115" spans="1:7" hidden="1" x14ac:dyDescent="0.25">
      <c r="A115" s="1675"/>
      <c r="B115" s="1689"/>
      <c r="C115" s="1676"/>
      <c r="D115" s="1867"/>
      <c r="E115" s="1562">
        <f t="shared" si="26"/>
        <v>0</v>
      </c>
      <c r="F115" s="1815">
        <f t="shared" si="27"/>
        <v>0</v>
      </c>
      <c r="G115" s="1816">
        <f t="shared" si="28"/>
        <v>0</v>
      </c>
    </row>
    <row r="116" spans="1:7" hidden="1" x14ac:dyDescent="0.25">
      <c r="A116" s="1675"/>
      <c r="B116" s="1689"/>
      <c r="C116" s="1676"/>
      <c r="D116" s="1867"/>
      <c r="E116" s="1562">
        <f t="shared" si="26"/>
        <v>0</v>
      </c>
      <c r="F116" s="1815">
        <f t="shared" si="27"/>
        <v>0</v>
      </c>
      <c r="G116" s="1816">
        <f t="shared" si="28"/>
        <v>0</v>
      </c>
    </row>
    <row r="117" spans="1:7" hidden="1" x14ac:dyDescent="0.25">
      <c r="A117" s="1675"/>
      <c r="B117" s="1689"/>
      <c r="C117" s="1676"/>
      <c r="D117" s="1867"/>
      <c r="E117" s="1562">
        <f t="shared" si="26"/>
        <v>0</v>
      </c>
      <c r="F117" s="1815">
        <f t="shared" si="27"/>
        <v>0</v>
      </c>
      <c r="G117" s="1816">
        <f t="shared" si="28"/>
        <v>0</v>
      </c>
    </row>
    <row r="118" spans="1:7" hidden="1" x14ac:dyDescent="0.25">
      <c r="A118" s="1675"/>
      <c r="B118" s="1689"/>
      <c r="C118" s="1676"/>
      <c r="D118" s="1867"/>
      <c r="E118" s="1562">
        <f t="shared" si="26"/>
        <v>0</v>
      </c>
      <c r="F118" s="1815">
        <f t="shared" si="27"/>
        <v>0</v>
      </c>
      <c r="G118" s="1816">
        <f t="shared" si="28"/>
        <v>0</v>
      </c>
    </row>
    <row r="119" spans="1:7" hidden="1" x14ac:dyDescent="0.25">
      <c r="A119" s="1675"/>
      <c r="B119" s="1689"/>
      <c r="C119" s="1676"/>
      <c r="D119" s="1867"/>
      <c r="E119" s="1562">
        <f t="shared" si="26"/>
        <v>0</v>
      </c>
      <c r="F119" s="1815">
        <f t="shared" si="27"/>
        <v>0</v>
      </c>
      <c r="G119" s="1816">
        <f t="shared" si="28"/>
        <v>0</v>
      </c>
    </row>
    <row r="120" spans="1:7" hidden="1" x14ac:dyDescent="0.25">
      <c r="A120" s="1675"/>
      <c r="B120" s="1689"/>
      <c r="C120" s="1676"/>
      <c r="D120" s="1867"/>
      <c r="E120" s="1562">
        <f t="shared" si="26"/>
        <v>0</v>
      </c>
      <c r="F120" s="1815">
        <f t="shared" si="27"/>
        <v>0</v>
      </c>
      <c r="G120" s="1816">
        <f t="shared" si="28"/>
        <v>0</v>
      </c>
    </row>
    <row r="121" spans="1:7" hidden="1" x14ac:dyDescent="0.25">
      <c r="A121" s="1675"/>
      <c r="B121" s="1689"/>
      <c r="C121" s="1676"/>
      <c r="D121" s="1867"/>
      <c r="E121" s="1562">
        <f t="shared" si="26"/>
        <v>0</v>
      </c>
      <c r="F121" s="1815">
        <f t="shared" si="27"/>
        <v>0</v>
      </c>
      <c r="G121" s="1816">
        <f t="shared" si="28"/>
        <v>0</v>
      </c>
    </row>
    <row r="122" spans="1:7" hidden="1" x14ac:dyDescent="0.25">
      <c r="A122" s="1675"/>
      <c r="B122" s="1689"/>
      <c r="C122" s="1676"/>
      <c r="D122" s="1867"/>
      <c r="E122" s="1562">
        <f t="shared" si="26"/>
        <v>0</v>
      </c>
      <c r="F122" s="1815">
        <f t="shared" si="27"/>
        <v>0</v>
      </c>
      <c r="G122" s="1816">
        <f t="shared" si="28"/>
        <v>0</v>
      </c>
    </row>
    <row r="123" spans="1:7" hidden="1" x14ac:dyDescent="0.25">
      <c r="A123" s="1675"/>
      <c r="B123" s="1689"/>
      <c r="C123" s="1676"/>
      <c r="D123" s="1867"/>
      <c r="E123" s="1562">
        <f t="shared" si="26"/>
        <v>0</v>
      </c>
      <c r="F123" s="1815">
        <f t="shared" si="27"/>
        <v>0</v>
      </c>
      <c r="G123" s="1816">
        <f t="shared" si="28"/>
        <v>0</v>
      </c>
    </row>
    <row r="124" spans="1:7" hidden="1" x14ac:dyDescent="0.25">
      <c r="A124" s="1675"/>
      <c r="B124" s="1689"/>
      <c r="C124" s="1676"/>
      <c r="D124" s="1867"/>
      <c r="E124" s="1562">
        <f t="shared" si="26"/>
        <v>0</v>
      </c>
      <c r="F124" s="1815">
        <f t="shared" si="27"/>
        <v>0</v>
      </c>
      <c r="G124" s="1816">
        <f t="shared" si="28"/>
        <v>0</v>
      </c>
    </row>
    <row r="125" spans="1:7" hidden="1" x14ac:dyDescent="0.25">
      <c r="A125" s="1675"/>
      <c r="B125" s="1689"/>
      <c r="C125" s="1676"/>
      <c r="D125" s="1867"/>
      <c r="E125" s="1562">
        <f t="shared" si="26"/>
        <v>0</v>
      </c>
      <c r="F125" s="1815">
        <f t="shared" si="27"/>
        <v>0</v>
      </c>
      <c r="G125" s="1816">
        <f t="shared" si="28"/>
        <v>0</v>
      </c>
    </row>
    <row r="126" spans="1:7" hidden="1" x14ac:dyDescent="0.25">
      <c r="A126" s="1675"/>
      <c r="B126" s="1689"/>
      <c r="C126" s="1676"/>
      <c r="D126" s="1867"/>
      <c r="E126" s="1562">
        <f t="shared" ref="E126:E134" si="29">IF(D126&lt;=25000,D126,IF(D126&gt;25000,25000,0))</f>
        <v>0</v>
      </c>
      <c r="F126" s="1815">
        <f t="shared" ref="F126:F134" si="30">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31">IF(F126=0,0,D126-F126)</f>
        <v>0</v>
      </c>
    </row>
    <row r="127" spans="1:7" hidden="1" x14ac:dyDescent="0.25">
      <c r="A127" s="1675"/>
      <c r="B127" s="1689"/>
      <c r="C127" s="1676"/>
      <c r="D127" s="1867"/>
      <c r="E127" s="1562">
        <f t="shared" si="29"/>
        <v>0</v>
      </c>
      <c r="F127" s="1815">
        <f t="shared" si="30"/>
        <v>0</v>
      </c>
      <c r="G127" s="1816">
        <f t="shared" si="31"/>
        <v>0</v>
      </c>
    </row>
    <row r="128" spans="1:7" hidden="1" x14ac:dyDescent="0.25">
      <c r="A128" s="1675"/>
      <c r="B128" s="1689"/>
      <c r="C128" s="1676"/>
      <c r="D128" s="1867"/>
      <c r="E128" s="1562">
        <f t="shared" si="29"/>
        <v>0</v>
      </c>
      <c r="F128" s="1815">
        <f t="shared" si="30"/>
        <v>0</v>
      </c>
      <c r="G128" s="1816">
        <f t="shared" si="31"/>
        <v>0</v>
      </c>
    </row>
    <row r="129" spans="1:7" hidden="1" x14ac:dyDescent="0.25">
      <c r="A129" s="1675"/>
      <c r="B129" s="1689"/>
      <c r="C129" s="1676"/>
      <c r="D129" s="1867"/>
      <c r="E129" s="1562">
        <f t="shared" si="29"/>
        <v>0</v>
      </c>
      <c r="F129" s="1815">
        <f t="shared" si="30"/>
        <v>0</v>
      </c>
      <c r="G129" s="1816">
        <f t="shared" si="31"/>
        <v>0</v>
      </c>
    </row>
    <row r="130" spans="1:7" hidden="1" x14ac:dyDescent="0.25">
      <c r="A130" s="1675"/>
      <c r="B130" s="1689"/>
      <c r="C130" s="1676"/>
      <c r="D130" s="1867"/>
      <c r="E130" s="1562">
        <f t="shared" si="29"/>
        <v>0</v>
      </c>
      <c r="F130" s="1815">
        <f t="shared" si="30"/>
        <v>0</v>
      </c>
      <c r="G130" s="1816">
        <f t="shared" si="31"/>
        <v>0</v>
      </c>
    </row>
    <row r="131" spans="1:7" hidden="1" x14ac:dyDescent="0.25">
      <c r="A131" s="1675"/>
      <c r="B131" s="1860"/>
      <c r="C131" s="1676"/>
      <c r="D131" s="1867"/>
      <c r="E131" s="1562">
        <f t="shared" si="29"/>
        <v>0</v>
      </c>
      <c r="F131" s="1815">
        <f t="shared" si="30"/>
        <v>0</v>
      </c>
      <c r="G131" s="1816">
        <f t="shared" si="31"/>
        <v>0</v>
      </c>
    </row>
    <row r="132" spans="1:7" hidden="1" x14ac:dyDescent="0.25">
      <c r="A132" s="1675"/>
      <c r="B132" s="1860"/>
      <c r="C132" s="1676"/>
      <c r="D132" s="1867"/>
      <c r="E132" s="1562">
        <f t="shared" si="29"/>
        <v>0</v>
      </c>
      <c r="F132" s="1815">
        <f t="shared" si="30"/>
        <v>0</v>
      </c>
      <c r="G132" s="1816">
        <f t="shared" si="31"/>
        <v>0</v>
      </c>
    </row>
    <row r="133" spans="1:7" hidden="1" x14ac:dyDescent="0.25">
      <c r="A133" s="1675"/>
      <c r="B133" s="1689"/>
      <c r="C133" s="1676"/>
      <c r="D133" s="1867"/>
      <c r="E133" s="1562">
        <f t="shared" si="29"/>
        <v>0</v>
      </c>
      <c r="F133" s="1815">
        <f t="shared" si="30"/>
        <v>0</v>
      </c>
      <c r="G133" s="1816">
        <f t="shared" si="31"/>
        <v>0</v>
      </c>
    </row>
    <row r="134" spans="1:7" hidden="1" x14ac:dyDescent="0.25">
      <c r="A134" s="1675"/>
      <c r="B134" s="1689"/>
      <c r="C134" s="1676"/>
      <c r="D134" s="1867"/>
      <c r="E134" s="1562">
        <f t="shared" si="29"/>
        <v>0</v>
      </c>
      <c r="F134" s="1815">
        <f t="shared" si="30"/>
        <v>0</v>
      </c>
      <c r="G134" s="1816">
        <f t="shared" si="31"/>
        <v>0</v>
      </c>
    </row>
    <row r="135" spans="1:7" hidden="1" x14ac:dyDescent="0.25">
      <c r="A135" s="1675"/>
      <c r="B135" s="1689"/>
      <c r="C135" s="1676"/>
      <c r="D135" s="1867"/>
      <c r="E135" s="1562">
        <f t="shared" ref="E135:E139" si="32">IF(D135&lt;=25000,D135,IF(D135&gt;25000,25000,0))</f>
        <v>0</v>
      </c>
      <c r="F135" s="1815">
        <f t="shared" ref="F135:F139" si="33">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34">IF(F135=0,0,D135-F135)</f>
        <v>0</v>
      </c>
    </row>
    <row r="136" spans="1:7" hidden="1" x14ac:dyDescent="0.25">
      <c r="A136" s="1675"/>
      <c r="B136" s="1689"/>
      <c r="C136" s="1676"/>
      <c r="D136" s="1867"/>
      <c r="E136" s="1562">
        <f t="shared" si="32"/>
        <v>0</v>
      </c>
      <c r="F136" s="1815">
        <f t="shared" si="33"/>
        <v>0</v>
      </c>
      <c r="G136" s="1816">
        <f t="shared" si="34"/>
        <v>0</v>
      </c>
    </row>
    <row r="137" spans="1:7" hidden="1" x14ac:dyDescent="0.25">
      <c r="A137" s="1675"/>
      <c r="B137" s="1689"/>
      <c r="C137" s="1676"/>
      <c r="D137" s="1867"/>
      <c r="E137" s="1562">
        <f t="shared" si="32"/>
        <v>0</v>
      </c>
      <c r="F137" s="1815">
        <f t="shared" si="33"/>
        <v>0</v>
      </c>
      <c r="G137" s="1816">
        <f t="shared" si="34"/>
        <v>0</v>
      </c>
    </row>
    <row r="138" spans="1:7" hidden="1" x14ac:dyDescent="0.25">
      <c r="A138" s="1675"/>
      <c r="B138" s="1689"/>
      <c r="C138" s="1676"/>
      <c r="D138" s="1867"/>
      <c r="E138" s="1562">
        <f t="shared" si="32"/>
        <v>0</v>
      </c>
      <c r="F138" s="1815">
        <f t="shared" si="33"/>
        <v>0</v>
      </c>
      <c r="G138" s="1816">
        <f t="shared" si="34"/>
        <v>0</v>
      </c>
    </row>
    <row r="139" spans="1:7" hidden="1" x14ac:dyDescent="0.25">
      <c r="A139" s="1675"/>
      <c r="B139" s="1689"/>
      <c r="C139" s="1676"/>
      <c r="D139" s="1867"/>
      <c r="E139" s="1562">
        <f t="shared" si="32"/>
        <v>0</v>
      </c>
      <c r="F139" s="1815">
        <f t="shared" si="33"/>
        <v>0</v>
      </c>
      <c r="G139" s="1816">
        <f t="shared" si="34"/>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11690</v>
      </c>
      <c r="E141" s="1563">
        <f t="shared" si="1"/>
        <v>11690</v>
      </c>
      <c r="F141" s="1817">
        <f>SUM(F17:F140)</f>
        <v>11690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27" sqref="D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660147</v>
      </c>
      <c r="F19" s="1822"/>
      <c r="G19" s="1824">
        <f>'Expenditures 15-22'!K33-SUM('Expenditures 15-22'!G33,'Expenditures 15-22'!I33)+'Expenditures 15-22'!D229</f>
        <v>660147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4994</v>
      </c>
      <c r="F21" s="1825"/>
      <c r="G21" s="1828">
        <f>'Expenditures 15-22'!K42-SUM('Expenditures 15-22'!G42,'Expenditures 15-22'!I42)+'Expenditures 15-22'!K120-SUM('Expenditures 15-22'!G120,'Expenditures 15-22'!I120)+'Expenditures 15-22'!K180-SUM('Expenditures 15-22'!G180,'Expenditures 15-22'!I180)+'Expenditures 15-22'!D238</f>
        <v>4994</v>
      </c>
      <c r="H21" s="988"/>
      <c r="I21" s="162"/>
    </row>
    <row r="22" spans="1:9" s="669" customFormat="1" ht="12" customHeight="1" x14ac:dyDescent="0.2">
      <c r="A22" s="995" t="s">
        <v>585</v>
      </c>
      <c r="B22" s="996"/>
      <c r="C22" s="994">
        <v>2200</v>
      </c>
      <c r="D22" s="1825"/>
      <c r="E22" s="1827">
        <f>'Expenditures 15-22'!K47-SUM('Expenditures 15-22'!G47,'Expenditures 15-22'!I47)+'Expenditures 15-22'!D243</f>
        <v>6027</v>
      </c>
      <c r="F22" s="1825"/>
      <c r="G22" s="1828">
        <f>'Expenditures 15-22'!K47-SUM('Expenditures 15-22'!G47,'Expenditures 15-22'!I47)+'Expenditures 15-22'!D243</f>
        <v>6027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119496</v>
      </c>
      <c r="F23" s="1825"/>
      <c r="G23" s="1827">
        <f>'Expenditures 15-22'!K53-SUM('Expenditures 15-22'!G53,'Expenditures 15-22'!I53)+'Expenditures 15-22'!D257+'Expenditures 15-22'!K330-SUM('Expenditures 15-22'!G330,'Expenditures 15-22'!I330)</f>
        <v>119496</v>
      </c>
      <c r="H23" s="988"/>
      <c r="I23" s="162"/>
    </row>
    <row r="24" spans="1:9" s="669" customFormat="1" ht="12" customHeight="1" x14ac:dyDescent="0.2">
      <c r="A24" s="995" t="s">
        <v>587</v>
      </c>
      <c r="B24" s="996"/>
      <c r="C24" s="994">
        <v>2400</v>
      </c>
      <c r="D24" s="1825"/>
      <c r="E24" s="1827">
        <f>'Expenditures 15-22'!K57-SUM('Expenditures 15-22'!G57,'Expenditures 15-22'!I57)+'Expenditures 15-22'!D261</f>
        <v>38205</v>
      </c>
      <c r="F24" s="1825"/>
      <c r="G24" s="1828">
        <f>'Expenditures 15-22'!K57-SUM('Expenditures 15-22'!G57,'Expenditures 15-22'!I57)+'Expenditures 15-22'!D261</f>
        <v>38205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24293</v>
      </c>
      <c r="E27" s="1827">
        <f>E8</f>
        <v>0</v>
      </c>
      <c r="F27" s="1827">
        <f>'Expenditures 15-22'!K60-SUM('Expenditures 15-22'!G60,'Expenditures 15-22'!I60)+'Expenditures 15-22'!D264-E8</f>
        <v>24293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113486</v>
      </c>
      <c r="F28" s="1829">
        <f>'Expenditures 15-22'!K61-SUM('Expenditures 15-22'!G61,'Expenditures 15-22'!I61)+'Expenditures 15-22'!K124-SUM('Expenditures 15-22'!G124,'Expenditures 15-22'!I124)+'Expenditures 15-22'!D266-E9</f>
        <v>113486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84167</v>
      </c>
      <c r="F29" s="1825"/>
      <c r="G29" s="1828">
        <f>'Expenditures 15-22'!K62-SUM('Expenditures 15-22'!G62,'Expenditures 15-22'!I62)+'Expenditures 15-22'!K125-SUM('Expenditures 15-22'!G125,'Expenditures 15-22'!I125)+'Expenditures 15-22'!K182-SUM('Expenditures 15-22'!G182,'Expenditures 15-22'!I182)+'Expenditures 15-22'!D267</f>
        <v>84167</v>
      </c>
      <c r="H29" s="986"/>
    </row>
    <row r="30" spans="1:9" ht="12" customHeight="1" x14ac:dyDescent="0.2">
      <c r="A30" s="995" t="s">
        <v>102</v>
      </c>
      <c r="B30" s="998"/>
      <c r="C30" s="994">
        <v>2560</v>
      </c>
      <c r="D30" s="1825"/>
      <c r="E30" s="1827">
        <f>'Expenditures 15-22'!K63-SUM('Expenditures 15-22'!G63,'Expenditures 15-22'!I63)+'Expenditures 15-22'!D268-E10</f>
        <v>36709</v>
      </c>
      <c r="F30" s="1825"/>
      <c r="G30" s="1827">
        <f>'Expenditures 15-22'!K63-SUM('Expenditures 15-22'!G63,'Expenditures 15-22'!I63)+'Expenditures 15-22'!D268-E10</f>
        <v>36709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26451</v>
      </c>
      <c r="F35" s="1825"/>
      <c r="G35" s="1827">
        <f>'Expenditures 15-22'!K69-SUM('Expenditures 15-22'!G69,'Expenditures 15-22'!I69)+'Expenditures 15-22'!D274</f>
        <v>26451</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24293</v>
      </c>
      <c r="E41" s="1829">
        <f>SUM(E19:E40)</f>
        <v>1089682</v>
      </c>
      <c r="F41" s="1829">
        <f>SUM(F19:F39)</f>
        <v>137779</v>
      </c>
      <c r="G41" s="1829">
        <f>SUM(G19:G40)</f>
        <v>976196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24293</v>
      </c>
      <c r="F43" s="1830" t="s">
        <v>495</v>
      </c>
      <c r="G43" s="1831">
        <f>F41</f>
        <v>137779</v>
      </c>
    </row>
    <row r="44" spans="1:7" ht="12" customHeight="1" x14ac:dyDescent="0.2">
      <c r="A44" s="988"/>
      <c r="B44" s="162"/>
      <c r="C44" s="1002"/>
      <c r="D44" s="1830" t="s">
        <v>494</v>
      </c>
      <c r="E44" s="1831">
        <f>E41</f>
        <v>1089682</v>
      </c>
      <c r="F44" s="1830" t="s">
        <v>494</v>
      </c>
      <c r="G44" s="1831">
        <f>G41</f>
        <v>976196</v>
      </c>
    </row>
    <row r="45" spans="1:7" ht="12" customHeight="1" x14ac:dyDescent="0.2">
      <c r="A45" s="988"/>
      <c r="B45" s="162"/>
      <c r="C45" s="162"/>
      <c r="D45" s="1832" t="s">
        <v>1063</v>
      </c>
      <c r="E45" s="1833">
        <f>(E43/E44)</f>
        <v>2.2293659985206694E-2</v>
      </c>
      <c r="F45" s="1832" t="s">
        <v>1063</v>
      </c>
      <c r="G45" s="1833">
        <f>(G43/G44)</f>
        <v>0.14113866477633591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31" sqref="C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10" width="3"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Deer Park CCSD 82</v>
      </c>
      <c r="D6" s="2327"/>
      <c r="E6" s="2327"/>
      <c r="F6" s="1877"/>
    </row>
    <row r="7" spans="1:10" ht="11.25" customHeight="1" thickBot="1" x14ac:dyDescent="0.3">
      <c r="A7" s="1875"/>
      <c r="B7" s="1876"/>
      <c r="C7" s="2328">
        <f>COVER!A13</f>
        <v>35050082004</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t="s">
        <v>2077</v>
      </c>
      <c r="D20" s="1890" t="s">
        <v>2077</v>
      </c>
      <c r="E20" s="1893" t="s">
        <v>2077</v>
      </c>
      <c r="F20" s="1892" t="s">
        <v>2096</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2098</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Deer Park CCSD 82</v>
      </c>
      <c r="J6" s="2337"/>
      <c r="Q6" s="1686"/>
    </row>
    <row r="7" spans="1:17" x14ac:dyDescent="0.2">
      <c r="A7" s="2338" t="s">
        <v>924</v>
      </c>
      <c r="B7" s="2339"/>
      <c r="C7" s="2339"/>
      <c r="D7" s="2339"/>
      <c r="E7" s="2340"/>
      <c r="F7" s="1018"/>
      <c r="G7" s="1010"/>
      <c r="H7" s="1017" t="s">
        <v>390</v>
      </c>
      <c r="I7" s="2341">
        <f>COVER!A13</f>
        <v>35050082004</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70601</v>
      </c>
      <c r="F12" s="1040"/>
      <c r="G12" s="1834">
        <f t="shared" ref="G12:G18" si="0">SUM(E12:F12)</f>
        <v>70601</v>
      </c>
      <c r="H12" s="1041">
        <v>50145</v>
      </c>
      <c r="I12" s="1040"/>
      <c r="J12" s="1834">
        <f t="shared" ref="J12:J18" si="1">SUM(H12:I12)</f>
        <v>50145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70601</v>
      </c>
      <c r="F19" s="1836">
        <f t="shared" si="2"/>
        <v>0</v>
      </c>
      <c r="G19" s="1836">
        <f t="shared" si="2"/>
        <v>70601</v>
      </c>
      <c r="H19" s="1836">
        <f t="shared" si="2"/>
        <v>50145</v>
      </c>
      <c r="I19" s="1836">
        <f t="shared" si="2"/>
        <v>0</v>
      </c>
      <c r="J19" s="1836">
        <f t="shared" si="2"/>
        <v>50145</v>
      </c>
    </row>
    <row r="20" spans="1:10" ht="13.5" thickTop="1" x14ac:dyDescent="0.2">
      <c r="A20" s="1036">
        <v>9</v>
      </c>
      <c r="B20" s="2348" t="s">
        <v>1703</v>
      </c>
      <c r="C20" s="2348"/>
      <c r="D20" s="2349"/>
      <c r="E20" s="1047"/>
      <c r="F20" s="1047"/>
      <c r="G20" s="1047"/>
      <c r="H20" s="1047"/>
      <c r="I20" s="1047"/>
      <c r="J20" s="1837">
        <f>IF(AND(G19&gt;0,J19&gt;0),(((J19-G19)/G19)),"Enter Budget Data")</f>
        <v>-0.28974093851361876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Deer Park CCSD 82</v>
      </c>
    </row>
    <row r="65" spans="2:2" x14ac:dyDescent="0.2">
      <c r="B65" s="1071">
        <f>COVER!A13</f>
        <v>35050082004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897258</v>
      </c>
      <c r="C8" s="1838">
        <f>'Acct Summary 7-8'!D8</f>
        <v>80281</v>
      </c>
      <c r="D8" s="1838">
        <f>'Acct Summary 7-8'!F8</f>
        <v>77400</v>
      </c>
      <c r="E8" s="1838">
        <f>'Acct Summary 7-8'!I8</f>
        <v>16617</v>
      </c>
      <c r="F8" s="1838">
        <f>SUM(B8:E8)</f>
        <v>1071556</v>
      </c>
    </row>
    <row r="9" spans="1:8" s="1080" customFormat="1" ht="14.25" customHeight="1" thickBot="1" x14ac:dyDescent="0.25">
      <c r="A9" s="1079" t="s">
        <v>1436</v>
      </c>
      <c r="B9" s="1839">
        <f>'Acct Summary 7-8'!C17</f>
        <v>983122</v>
      </c>
      <c r="C9" s="1839">
        <f>'Acct Summary 7-8'!D17</f>
        <v>108595</v>
      </c>
      <c r="D9" s="1839">
        <f>'Acct Summary 7-8'!F17</f>
        <v>82038</v>
      </c>
      <c r="E9" s="1838"/>
      <c r="F9" s="1838">
        <f>SUM(B9:E9)</f>
        <v>1173755</v>
      </c>
    </row>
    <row r="10" spans="1:8" s="1080" customFormat="1" ht="14.25" thickTop="1" thickBot="1" x14ac:dyDescent="0.25">
      <c r="A10" s="1081" t="s">
        <v>1437</v>
      </c>
      <c r="B10" s="1840">
        <f>(B8-B9)</f>
        <v>-85864</v>
      </c>
      <c r="C10" s="1840">
        <f>(C8-C9)</f>
        <v>-28314</v>
      </c>
      <c r="D10" s="1840">
        <f>(D8-D9)</f>
        <v>-4638</v>
      </c>
      <c r="E10" s="1839">
        <f>(E8-E9)</f>
        <v>16617</v>
      </c>
      <c r="F10" s="1841">
        <f>SUM(F8-F9)</f>
        <v>-102199</v>
      </c>
    </row>
    <row r="11" spans="1:8" s="1080" customFormat="1" ht="14.25" thickTop="1" thickBot="1" x14ac:dyDescent="0.25">
      <c r="A11" s="1082" t="s">
        <v>1785</v>
      </c>
      <c r="B11" s="1842">
        <f>'Acct Summary 7-8'!C81</f>
        <v>309722</v>
      </c>
      <c r="C11" s="1842">
        <f>'Acct Summary 7-8'!D81</f>
        <v>165805</v>
      </c>
      <c r="D11" s="1842">
        <f>'Acct Summary 7-8'!F81</f>
        <v>56486</v>
      </c>
      <c r="E11" s="1842">
        <f>'Acct Summary 7-8'!I81</f>
        <v>113314</v>
      </c>
      <c r="F11" s="1843">
        <f>SUM(B11:E11)</f>
        <v>645327</v>
      </c>
    </row>
    <row r="12" spans="1:8" ht="16.5" customHeight="1" thickTop="1" x14ac:dyDescent="0.2">
      <c r="A12" s="1083"/>
      <c r="B12" s="1084"/>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35050082004</v>
      </c>
    </row>
    <row r="3" spans="1:2" x14ac:dyDescent="0.2">
      <c r="A3" t="s">
        <v>1013</v>
      </c>
      <c r="B3" s="138" t="str">
        <f>COVER!A15</f>
        <v>LASALLE</v>
      </c>
    </row>
    <row r="4" spans="1:2" x14ac:dyDescent="0.2">
      <c r="A4" t="s">
        <v>1064</v>
      </c>
      <c r="B4" s="138" t="str">
        <f>COVER!A17</f>
        <v>Deer Park CCSD 82</v>
      </c>
    </row>
    <row r="5" spans="1:2" x14ac:dyDescent="0.2">
      <c r="A5" t="s">
        <v>728</v>
      </c>
      <c r="B5" s="138" t="str">
        <f>COVER!A38</f>
        <v>MIKE STRUNA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SOUTH MCCOY ST.</v>
      </c>
    </row>
    <row r="19" spans="1:2" x14ac:dyDescent="0.2">
      <c r="A19" t="s">
        <v>941</v>
      </c>
      <c r="B19" s="138" t="str">
        <f>COVER!T25</f>
        <v>joel@hopkinsoffice.com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309722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300867</v>
      </c>
      <c r="D92" s="2" t="str">
        <f t="shared" si="0"/>
        <v>Error?</v>
      </c>
    </row>
    <row r="93" spans="1:4" x14ac:dyDescent="0.2">
      <c r="A93" s="5">
        <v>32</v>
      </c>
      <c r="B93" s="138">
        <f>'Assets-Liab 5-6'!C41</f>
        <v>309722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165805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165805</v>
      </c>
      <c r="D123" s="2" t="str">
        <f t="shared" si="0"/>
        <v>Error?</v>
      </c>
    </row>
    <row r="124" spans="1:4" x14ac:dyDescent="0.2">
      <c r="A124" s="5">
        <v>63</v>
      </c>
      <c r="B124" s="138">
        <f>'Assets-Liab 5-6'!D41</f>
        <v>165805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92</v>
      </c>
      <c r="D140" s="2" t="str">
        <f t="shared" si="1"/>
        <v>Error?</v>
      </c>
    </row>
    <row r="141" spans="1:4" x14ac:dyDescent="0.2">
      <c r="A141" s="5">
        <v>80</v>
      </c>
      <c r="B141" s="138">
        <f>'Assets-Liab 5-6'!E41</f>
        <v>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56486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56486</v>
      </c>
      <c r="D170" s="2" t="str">
        <f t="shared" si="1"/>
        <v>Error?</v>
      </c>
    </row>
    <row r="171" spans="1:4" x14ac:dyDescent="0.2">
      <c r="A171" s="5">
        <v>110</v>
      </c>
      <c r="B171" s="138">
        <f>'Assets-Liab 5-6'!F41</f>
        <v>56486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11567</v>
      </c>
      <c r="D189" s="2" t="str">
        <f t="shared" si="1"/>
        <v>Error?</v>
      </c>
    </row>
    <row r="190" spans="1:4" x14ac:dyDescent="0.2">
      <c r="A190" s="5">
        <v>129</v>
      </c>
      <c r="B190" s="138">
        <f>'Assets-Liab 5-6'!G41</f>
        <v>11567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2049213</v>
      </c>
      <c r="D274" s="2" t="str">
        <f t="shared" si="3"/>
        <v>Error?</v>
      </c>
    </row>
    <row r="275" spans="1:4" x14ac:dyDescent="0.2">
      <c r="A275" s="5">
        <v>214</v>
      </c>
      <c r="B275" s="138">
        <f>'Assets-Liab 5-6'!M18</f>
        <v>23600</v>
      </c>
      <c r="D275" s="2" t="str">
        <f t="shared" si="3"/>
        <v>Error?</v>
      </c>
    </row>
    <row r="276" spans="1:4" x14ac:dyDescent="0.2">
      <c r="A276" s="5">
        <v>215</v>
      </c>
      <c r="B276" s="138">
        <f>'Assets-Liab 5-6'!M19</f>
        <v>241288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2319101</v>
      </c>
      <c r="C279" s="2" t="s">
        <v>594</v>
      </c>
      <c r="D279" s="2" t="str">
        <f t="shared" si="3"/>
        <v>Error?</v>
      </c>
    </row>
    <row r="280" spans="1:4" x14ac:dyDescent="0.2">
      <c r="A280" s="5">
        <v>219</v>
      </c>
      <c r="B280" s="138">
        <f>'Assets-Liab 5-6'!M40</f>
        <v>2319101</v>
      </c>
      <c r="D280" s="2" t="str">
        <f t="shared" si="3"/>
        <v>Error?</v>
      </c>
    </row>
    <row r="281" spans="1:4" x14ac:dyDescent="0.2">
      <c r="A281" s="5">
        <v>220</v>
      </c>
      <c r="B281" s="138">
        <f>'Assets-Liab 5-6'!M41</f>
        <v>2319101</v>
      </c>
      <c r="C281" s="2" t="s">
        <v>594</v>
      </c>
      <c r="D281" s="2" t="str">
        <f t="shared" si="3"/>
        <v>Error?</v>
      </c>
    </row>
    <row r="282" spans="1:4" x14ac:dyDescent="0.2">
      <c r="A282" s="5">
        <v>221</v>
      </c>
      <c r="B282" s="138">
        <f>'Assets-Liab 5-6'!N21</f>
        <v>92</v>
      </c>
      <c r="D282" s="2" t="str">
        <f t="shared" si="3"/>
        <v>Error?</v>
      </c>
    </row>
    <row r="283" spans="1:4" x14ac:dyDescent="0.2">
      <c r="A283" s="5">
        <v>222</v>
      </c>
      <c r="B283" s="138">
        <f>'Assets-Liab 5-6'!N22</f>
        <v>814908</v>
      </c>
      <c r="D283" s="2" t="str">
        <f t="shared" si="3"/>
        <v>Error?</v>
      </c>
    </row>
    <row r="284" spans="1:4" x14ac:dyDescent="0.2">
      <c r="A284" s="5">
        <v>223</v>
      </c>
      <c r="B284" s="138">
        <f>'Assets-Liab 5-6'!N23</f>
        <v>815000</v>
      </c>
      <c r="C284" s="2" t="s">
        <v>594</v>
      </c>
      <c r="D284" s="2" t="str">
        <f t="shared" si="3"/>
        <v>Error?</v>
      </c>
    </row>
    <row r="285" spans="1:4" x14ac:dyDescent="0.2">
      <c r="A285" s="5">
        <v>224</v>
      </c>
      <c r="B285" s="138">
        <f>'Assets-Liab 5-6'!N36</f>
        <v>815000</v>
      </c>
      <c r="D285" s="2" t="str">
        <f t="shared" si="3"/>
        <v>Error?</v>
      </c>
    </row>
    <row r="286" spans="1:4" x14ac:dyDescent="0.2">
      <c r="A286" s="10">
        <v>225</v>
      </c>
      <c r="D286" s="2" t="str">
        <f t="shared" si="3"/>
        <v>OK</v>
      </c>
    </row>
    <row r="287" spans="1:4" x14ac:dyDescent="0.2">
      <c r="A287" s="5">
        <v>226</v>
      </c>
      <c r="B287" s="138">
        <f>'Assets-Liab 5-6'!N37</f>
        <v>815000</v>
      </c>
      <c r="C287" s="2" t="s">
        <v>594</v>
      </c>
      <c r="D287" s="2" t="str">
        <f t="shared" si="3"/>
        <v>Error?</v>
      </c>
    </row>
    <row r="288" spans="1:4" x14ac:dyDescent="0.2">
      <c r="A288" s="5">
        <v>227</v>
      </c>
      <c r="B288" s="138">
        <f>'Assets-Liab 5-6'!N41</f>
        <v>815000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424903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9930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496018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2138</v>
      </c>
      <c r="D732" s="2" t="str">
        <f t="shared" si="10"/>
        <v>Error?</v>
      </c>
    </row>
    <row r="733" spans="1:4" x14ac:dyDescent="0.2">
      <c r="A733" s="5">
        <v>672</v>
      </c>
      <c r="B733" s="138">
        <f>'Expenditures 15-22'!C50</f>
        <v>67200</v>
      </c>
      <c r="D733" s="2" t="str">
        <f t="shared" si="10"/>
        <v>Error?</v>
      </c>
    </row>
    <row r="734" spans="1:4" x14ac:dyDescent="0.2">
      <c r="A734" s="5">
        <v>673</v>
      </c>
      <c r="B734" s="138">
        <f>'Expenditures 15-22'!C53</f>
        <v>69338</v>
      </c>
      <c r="C734" s="2" t="s">
        <v>594</v>
      </c>
      <c r="D734" s="2" t="str">
        <f t="shared" si="10"/>
        <v>Error?</v>
      </c>
    </row>
    <row r="735" spans="1:4" x14ac:dyDescent="0.2">
      <c r="A735" s="5">
        <v>674</v>
      </c>
      <c r="B735" s="138">
        <f>'Expenditures 15-22'!C55</f>
        <v>21322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21322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19149</v>
      </c>
      <c r="D739" s="2" t="str">
        <f t="shared" si="10"/>
        <v>Error?</v>
      </c>
    </row>
    <row r="740" spans="1:4" x14ac:dyDescent="0.2">
      <c r="A740" s="5">
        <v>679</v>
      </c>
      <c r="B740" s="138">
        <f>'Expenditures 15-22'!C61</f>
        <v>3691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11500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34340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125000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621018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106712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121442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698</v>
      </c>
      <c r="D791" s="2" t="str">
        <f t="shared" si="11"/>
        <v>Error?</v>
      </c>
    </row>
    <row r="792" spans="1:4" x14ac:dyDescent="0.2">
      <c r="A792" s="5">
        <v>731</v>
      </c>
      <c r="B792" s="138">
        <f>'Expenditures 15-22'!D53</f>
        <v>698</v>
      </c>
      <c r="C792" s="2" t="s">
        <v>594</v>
      </c>
      <c r="D792" s="2" t="str">
        <f t="shared" si="11"/>
        <v>Error?</v>
      </c>
    </row>
    <row r="793" spans="1:4" x14ac:dyDescent="0.2">
      <c r="A793" s="5">
        <v>732</v>
      </c>
      <c r="B793" s="138">
        <f>'Expenditures 15-22'!D55</f>
        <v>6890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2129</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9858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131300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11890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4994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4994</v>
      </c>
      <c r="C843" s="2" t="s">
        <v>594</v>
      </c>
      <c r="D843" s="2" t="str">
        <f t="shared" si="12"/>
        <v>Error?</v>
      </c>
    </row>
    <row r="844" spans="1:4" x14ac:dyDescent="0.2">
      <c r="A844" s="5">
        <v>783</v>
      </c>
      <c r="B844" s="138">
        <f>'Expenditures 15-22'!E44</f>
        <v>5500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527</v>
      </c>
      <c r="D846" s="2" t="str">
        <f t="shared" si="12"/>
        <v>Error?</v>
      </c>
    </row>
    <row r="847" spans="1:4" x14ac:dyDescent="0.2">
      <c r="A847" s="5">
        <v>786</v>
      </c>
      <c r="B847" s="138">
        <f>'Expenditures 15-22'!E47</f>
        <v>6027</v>
      </c>
      <c r="C847" s="2" t="s">
        <v>594</v>
      </c>
      <c r="D847" s="2" t="str">
        <f t="shared" si="12"/>
        <v>Error?</v>
      </c>
    </row>
    <row r="848" spans="1:4" x14ac:dyDescent="0.2">
      <c r="A848" s="5">
        <v>787</v>
      </c>
      <c r="B848" s="138">
        <f>'Expenditures 15-22'!E49</f>
        <v>18025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18025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3024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19707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19707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51777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116377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21208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23523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7123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7123</v>
      </c>
      <c r="C908" s="2" t="s">
        <v>594</v>
      </c>
      <c r="D908" s="2" t="str">
        <f t="shared" si="13"/>
        <v>Error?</v>
      </c>
    </row>
    <row r="909" spans="1:4" x14ac:dyDescent="0.2">
      <c r="A909" s="5">
        <v>848</v>
      </c>
      <c r="B909" s="138">
        <f>'Expenditures 15-22'!F55</f>
        <v>5636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5636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20925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20925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6744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6744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40428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63951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4033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4033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2510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2510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2703</v>
      </c>
      <c r="D1023" s="2" t="str">
        <f t="shared" ref="D1023:D1086" si="15">IF(ISBLANK(B1023),"OK",IF(A1023-B1023=0,"OK","Error?"))</f>
        <v>Error?</v>
      </c>
    </row>
    <row r="1024" spans="1:4" x14ac:dyDescent="0.2">
      <c r="A1024" s="5">
        <v>963</v>
      </c>
      <c r="B1024" s="138">
        <f>'Expenditures 15-22'!H53</f>
        <v>2703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2703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40715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43933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558848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16012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653388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4994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4994</v>
      </c>
      <c r="C1115" s="2" t="s">
        <v>594</v>
      </c>
      <c r="D1115" s="2" t="str">
        <f t="shared" si="16"/>
        <v>Error?</v>
      </c>
    </row>
    <row r="1116" spans="1:4" x14ac:dyDescent="0.2">
      <c r="A1116" s="5">
        <v>1055</v>
      </c>
      <c r="B1116" s="138">
        <f>'Expenditures 15-22'!K44</f>
        <v>5500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527</v>
      </c>
      <c r="C1118" s="2" t="s">
        <v>594</v>
      </c>
      <c r="D1118" s="2" t="str">
        <f t="shared" si="16"/>
        <v>Error?</v>
      </c>
    </row>
    <row r="1119" spans="1:4" x14ac:dyDescent="0.2">
      <c r="A1119" s="5">
        <v>1058</v>
      </c>
      <c r="B1119" s="138">
        <f>'Expenditures 15-22'!K47</f>
        <v>6027</v>
      </c>
      <c r="C1119" s="2" t="s">
        <v>594</v>
      </c>
      <c r="D1119" s="2" t="str">
        <f t="shared" si="16"/>
        <v>Error?</v>
      </c>
    </row>
    <row r="1120" spans="1:4" x14ac:dyDescent="0.2">
      <c r="A1120" s="5">
        <v>1059</v>
      </c>
      <c r="B1120" s="138">
        <f>'Expenditures 15-22'!K49</f>
        <v>27286</v>
      </c>
      <c r="C1120" s="2" t="s">
        <v>594</v>
      </c>
      <c r="D1120" s="2" t="str">
        <f t="shared" si="16"/>
        <v>Error?</v>
      </c>
    </row>
    <row r="1121" spans="1:4" x14ac:dyDescent="0.2">
      <c r="A1121" s="5">
        <v>1060</v>
      </c>
      <c r="B1121" s="138">
        <f>'Expenditures 15-22'!K50</f>
        <v>70601</v>
      </c>
      <c r="C1121" s="2" t="s">
        <v>594</v>
      </c>
      <c r="D1121" s="2" t="str">
        <f t="shared" si="16"/>
        <v>Error?</v>
      </c>
    </row>
    <row r="1122" spans="1:4" x14ac:dyDescent="0.2">
      <c r="A1122" s="5">
        <v>1061</v>
      </c>
      <c r="B1122" s="138">
        <f>'Expenditures 15-22'!K53</f>
        <v>97887</v>
      </c>
      <c r="C1122" s="2" t="s">
        <v>594</v>
      </c>
      <c r="D1122" s="2" t="str">
        <f t="shared" si="16"/>
        <v>Error?</v>
      </c>
    </row>
    <row r="1123" spans="1:4" x14ac:dyDescent="0.2">
      <c r="A1123" s="5">
        <v>1062</v>
      </c>
      <c r="B1123" s="138">
        <f>'Expenditures 15-22'!K55</f>
        <v>33848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33848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20380</v>
      </c>
      <c r="C1127" s="2" t="s">
        <v>594</v>
      </c>
      <c r="D1127" s="2" t="str">
        <f t="shared" si="16"/>
        <v>Error?</v>
      </c>
    </row>
    <row r="1128" spans="1:4" x14ac:dyDescent="0.2">
      <c r="A1128" s="5">
        <v>1067</v>
      </c>
      <c r="B1128" s="138">
        <f>'Expenditures 15-22'!K61</f>
        <v>3691</v>
      </c>
      <c r="C1128" s="2" t="s">
        <v>594</v>
      </c>
      <c r="D1128" s="2" t="str">
        <f t="shared" si="16"/>
        <v>Error?</v>
      </c>
    </row>
    <row r="1129" spans="1:4" x14ac:dyDescent="0.2">
      <c r="A1129" s="5">
        <v>1068</v>
      </c>
      <c r="B1129" s="138">
        <f>'Expenditures 15-22'!K62</f>
        <v>2129</v>
      </c>
      <c r="C1129" s="2" t="s">
        <v>594</v>
      </c>
      <c r="D1129" s="2" t="str">
        <f t="shared" si="16"/>
        <v>Error?</v>
      </c>
    </row>
    <row r="1130" spans="1:4" x14ac:dyDescent="0.2">
      <c r="A1130" s="5">
        <v>1069</v>
      </c>
      <c r="B1130" s="138">
        <f>'Expenditures 15-22'!K63</f>
        <v>38392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64592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28961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28961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236309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93425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983122</v>
      </c>
      <c r="C1152" s="2" t="s">
        <v>594</v>
      </c>
      <c r="D1152" s="2" t="str">
        <f t="shared" si="17"/>
        <v>Error?</v>
      </c>
    </row>
    <row r="1153" spans="1:4" x14ac:dyDescent="0.2">
      <c r="A1153" s="5">
        <v>1092</v>
      </c>
      <c r="B1153" s="138">
        <f>'Expenditures 15-22'!K115</f>
        <v>-85864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40781</v>
      </c>
      <c r="D1221" s="2" t="str">
        <f t="shared" si="18"/>
        <v>Error?</v>
      </c>
    </row>
    <row r="1222" spans="1:4" x14ac:dyDescent="0.2">
      <c r="A1222" s="10">
        <v>1161</v>
      </c>
      <c r="D1222" s="2" t="str">
        <f t="shared" si="18"/>
        <v>OK</v>
      </c>
    </row>
    <row r="1223" spans="1:4" x14ac:dyDescent="0.2">
      <c r="A1223" s="5">
        <v>1162</v>
      </c>
      <c r="B1223" s="138">
        <f>'Expenditures 15-22'!C127</f>
        <v>40781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40781</v>
      </c>
      <c r="C1225" s="2" t="s">
        <v>594</v>
      </c>
      <c r="D1225" s="2" t="str">
        <f t="shared" si="18"/>
        <v>Error?</v>
      </c>
    </row>
    <row r="1226" spans="1:4" x14ac:dyDescent="0.2">
      <c r="A1226" s="5">
        <v>1165</v>
      </c>
      <c r="B1226" s="138">
        <f>'Expenditures 15-22'!C151</f>
        <v>40781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6890</v>
      </c>
      <c r="D1229" s="2" t="str">
        <f t="shared" si="18"/>
        <v>Error?</v>
      </c>
    </row>
    <row r="1230" spans="1:4" x14ac:dyDescent="0.2">
      <c r="A1230" s="10">
        <v>1169</v>
      </c>
      <c r="D1230" s="2" t="str">
        <f t="shared" si="18"/>
        <v>OK</v>
      </c>
    </row>
    <row r="1231" spans="1:4" x14ac:dyDescent="0.2">
      <c r="A1231" s="5">
        <v>1170</v>
      </c>
      <c r="B1231" s="138">
        <f>'Expenditures 15-22'!D127</f>
        <v>6890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6890</v>
      </c>
      <c r="C1233" s="2" t="s">
        <v>594</v>
      </c>
      <c r="D1233" s="2" t="str">
        <f t="shared" si="18"/>
        <v>Error?</v>
      </c>
    </row>
    <row r="1234" spans="1:4" x14ac:dyDescent="0.2">
      <c r="A1234" s="5">
        <v>1173</v>
      </c>
      <c r="B1234" s="138">
        <f>'Expenditures 15-22'!D151</f>
        <v>6890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28842</v>
      </c>
      <c r="D1237" s="2" t="str">
        <f t="shared" si="18"/>
        <v>Error?</v>
      </c>
    </row>
    <row r="1238" spans="1:4" x14ac:dyDescent="0.2">
      <c r="A1238" s="10">
        <v>1177</v>
      </c>
      <c r="D1238" s="2" t="str">
        <f t="shared" si="18"/>
        <v>OK</v>
      </c>
    </row>
    <row r="1239" spans="1:4" x14ac:dyDescent="0.2">
      <c r="A1239" s="5">
        <v>1178</v>
      </c>
      <c r="B1239" s="138">
        <f>'Expenditures 15-22'!E127</f>
        <v>28842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28842</v>
      </c>
      <c r="C1241" s="2" t="s">
        <v>594</v>
      </c>
      <c r="D1241" s="2" t="str">
        <f t="shared" si="18"/>
        <v>Error?</v>
      </c>
    </row>
    <row r="1242" spans="1:4" x14ac:dyDescent="0.2">
      <c r="A1242" s="5">
        <v>1181</v>
      </c>
      <c r="B1242" s="138">
        <f>'Expenditures 15-22'!E151</f>
        <v>28842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24734</v>
      </c>
      <c r="D1245" s="2" t="str">
        <f t="shared" si="18"/>
        <v>Error?</v>
      </c>
    </row>
    <row r="1246" spans="1:4" x14ac:dyDescent="0.2">
      <c r="A1246" s="10">
        <v>1185</v>
      </c>
      <c r="D1246" s="2" t="str">
        <f t="shared" si="18"/>
        <v>OK</v>
      </c>
    </row>
    <row r="1247" spans="1:4" x14ac:dyDescent="0.2">
      <c r="A1247" s="5">
        <v>1186</v>
      </c>
      <c r="B1247" s="138">
        <f>'Expenditures 15-22'!F127</f>
        <v>24734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24734</v>
      </c>
      <c r="C1249" s="2" t="s">
        <v>594</v>
      </c>
      <c r="D1249" s="2" t="str">
        <f t="shared" si="18"/>
        <v>Error?</v>
      </c>
    </row>
    <row r="1250" spans="1:4" x14ac:dyDescent="0.2">
      <c r="A1250" s="5">
        <v>1189</v>
      </c>
      <c r="B1250" s="138">
        <f>'Expenditures 15-22'!F151</f>
        <v>24734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7348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7348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7348</v>
      </c>
      <c r="C1258" s="2" t="s">
        <v>594</v>
      </c>
      <c r="D1258" s="2" t="str">
        <f t="shared" si="18"/>
        <v>Error?</v>
      </c>
    </row>
    <row r="1259" spans="1:4" x14ac:dyDescent="0.2">
      <c r="A1259" s="5">
        <v>1198</v>
      </c>
      <c r="B1259" s="138">
        <f>'Expenditures 15-22'!G151</f>
        <v>7348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108595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108595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108595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108595</v>
      </c>
      <c r="C1288" s="2" t="s">
        <v>594</v>
      </c>
      <c r="D1288" s="2" t="str">
        <f t="shared" si="19"/>
        <v>Error?</v>
      </c>
    </row>
    <row r="1289" spans="1:4" x14ac:dyDescent="0.2">
      <c r="A1289" s="5">
        <v>1228</v>
      </c>
      <c r="B1289" s="138">
        <f>'Expenditures 15-22'!K152</f>
        <v>-28314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36987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137487</v>
      </c>
      <c r="C1317" s="2" t="s">
        <v>594</v>
      </c>
      <c r="D1317" s="2" t="str">
        <f t="shared" si="19"/>
        <v>Error?</v>
      </c>
    </row>
    <row r="1318" spans="1:4" x14ac:dyDescent="0.2">
      <c r="A1318" s="5">
        <v>1257</v>
      </c>
      <c r="B1318" s="138">
        <f>'Expenditures 15-22'!H174</f>
        <v>137487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36987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137487</v>
      </c>
      <c r="C1331" s="2" t="s">
        <v>594</v>
      </c>
      <c r="D1331" s="2" t="str">
        <f t="shared" si="19"/>
        <v>Error?</v>
      </c>
    </row>
    <row r="1332" spans="1:4" x14ac:dyDescent="0.2">
      <c r="A1332" s="5">
        <v>1271</v>
      </c>
      <c r="B1332" s="138">
        <f>'Expenditures 15-22'!K174</f>
        <v>137487</v>
      </c>
      <c r="C1332" s="2" t="s">
        <v>594</v>
      </c>
      <c r="D1332" s="2" t="str">
        <f t="shared" si="19"/>
        <v>Error?</v>
      </c>
    </row>
    <row r="1333" spans="1:4" x14ac:dyDescent="0.2">
      <c r="A1333" s="5">
        <v>1272</v>
      </c>
      <c r="B1333" s="138">
        <f>'Expenditures 15-22'!K175</f>
        <v>-2068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82038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82038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82038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82038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82038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82038</v>
      </c>
      <c r="C1388" s="2" t="s">
        <v>594</v>
      </c>
      <c r="D1388" s="2" t="str">
        <f t="shared" si="20"/>
        <v>Error?</v>
      </c>
    </row>
    <row r="1389" spans="1:4" x14ac:dyDescent="0.2">
      <c r="A1389" s="5">
        <v>1328</v>
      </c>
      <c r="B1389" s="138">
        <f>'Expenditures 15-22'!K211</f>
        <v>-4638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6759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164</v>
      </c>
      <c r="D1422" s="2" t="str">
        <f t="shared" si="21"/>
        <v>Error?</v>
      </c>
    </row>
    <row r="1423" spans="1:4" x14ac:dyDescent="0.2">
      <c r="A1423" s="5">
        <v>1362</v>
      </c>
      <c r="B1423" s="138">
        <f>'Expenditures 15-22'!D246</f>
        <v>974</v>
      </c>
      <c r="D1423" s="2" t="str">
        <f t="shared" si="21"/>
        <v>Error?</v>
      </c>
    </row>
    <row r="1424" spans="1:4" x14ac:dyDescent="0.2">
      <c r="A1424" s="5">
        <v>1363</v>
      </c>
      <c r="B1424" s="138">
        <f>'Expenditures 15-22'!D257</f>
        <v>1138</v>
      </c>
      <c r="C1424" s="2" t="s">
        <v>594</v>
      </c>
      <c r="D1424" s="2" t="str">
        <f t="shared" si="21"/>
        <v>Error?</v>
      </c>
    </row>
    <row r="1425" spans="1:4" x14ac:dyDescent="0.2">
      <c r="A1425" s="5">
        <v>1364</v>
      </c>
      <c r="B1425" s="138">
        <f>'Expenditures 15-22'!D259</f>
        <v>4357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3913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8548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20306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27065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6759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164</v>
      </c>
      <c r="C1486" s="2" t="s">
        <v>594</v>
      </c>
      <c r="D1486" s="2" t="str">
        <f t="shared" si="22"/>
        <v>Error?</v>
      </c>
    </row>
    <row r="1487" spans="1:4" x14ac:dyDescent="0.2">
      <c r="A1487" s="5">
        <v>1426</v>
      </c>
      <c r="B1487" s="138">
        <f>'Expenditures 15-22'!K246</f>
        <v>974</v>
      </c>
      <c r="C1487" s="2" t="s">
        <v>594</v>
      </c>
      <c r="D1487" s="2" t="str">
        <f t="shared" si="22"/>
        <v>Error?</v>
      </c>
    </row>
    <row r="1488" spans="1:4" x14ac:dyDescent="0.2">
      <c r="A1488" s="5">
        <v>1427</v>
      </c>
      <c r="B1488" s="138">
        <f>'Expenditures 15-22'!K257</f>
        <v>1138</v>
      </c>
      <c r="C1488" s="2" t="s">
        <v>594</v>
      </c>
      <c r="D1488" s="2" t="str">
        <f t="shared" si="22"/>
        <v>Error?</v>
      </c>
    </row>
    <row r="1489" spans="1:4" x14ac:dyDescent="0.2">
      <c r="A1489" s="5">
        <v>1428</v>
      </c>
      <c r="B1489" s="138">
        <f>'Expenditures 15-22'!K259</f>
        <v>4357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4357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3913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8548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2350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14811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20306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27065</v>
      </c>
      <c r="C1517" s="2" t="s">
        <v>594</v>
      </c>
      <c r="D1517" s="2" t="str">
        <f t="shared" si="22"/>
        <v>Error?</v>
      </c>
    </row>
    <row r="1518" spans="1:4" x14ac:dyDescent="0.2">
      <c r="A1518" s="5">
        <v>1457</v>
      </c>
      <c r="B1518" s="138">
        <f>'Expenditures 15-22'!K296</f>
        <v>3428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395586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309722</v>
      </c>
      <c r="C1630" s="2" t="s">
        <v>594</v>
      </c>
      <c r="D1630" s="2" t="str">
        <f t="shared" si="24"/>
        <v>Error?</v>
      </c>
    </row>
    <row r="1631" spans="1:4" x14ac:dyDescent="0.2">
      <c r="A1631" s="5">
        <v>1570</v>
      </c>
      <c r="B1631" s="138">
        <f>'Acct Summary 7-8'!D79</f>
        <v>194119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165805</v>
      </c>
      <c r="C1644" s="2" t="s">
        <v>594</v>
      </c>
      <c r="D1644" s="2" t="str">
        <f t="shared" si="24"/>
        <v>Error?</v>
      </c>
    </row>
    <row r="1645" spans="1:4" x14ac:dyDescent="0.2">
      <c r="A1645" s="5">
        <v>1584</v>
      </c>
      <c r="B1645" s="138">
        <f>'Acct Summary 7-8'!E79</f>
        <v>156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v>
      </c>
      <c r="C1658" s="2" t="s">
        <v>594</v>
      </c>
      <c r="D1658" s="2" t="str">
        <f t="shared" si="24"/>
        <v>Error?</v>
      </c>
    </row>
    <row r="1659" spans="1:4" x14ac:dyDescent="0.2">
      <c r="A1659" s="5">
        <v>1598</v>
      </c>
      <c r="B1659" s="138">
        <f>'Acct Summary 7-8'!F79</f>
        <v>61124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56486</v>
      </c>
      <c r="C1672" s="2" t="s">
        <v>594</v>
      </c>
      <c r="D1672" s="2" t="str">
        <f t="shared" si="25"/>
        <v>Error?</v>
      </c>
    </row>
    <row r="1673" spans="1:4" x14ac:dyDescent="0.2">
      <c r="A1673" s="5">
        <v>1612</v>
      </c>
      <c r="B1673" s="138">
        <f>'Acct Summary 7-8'!G79</f>
        <v>8139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11567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674449</v>
      </c>
      <c r="C1744" s="2" t="s">
        <v>594</v>
      </c>
      <c r="D1744" s="2" t="str">
        <f t="shared" si="26"/>
        <v>Error?</v>
      </c>
    </row>
    <row r="1745" spans="1:5" x14ac:dyDescent="0.2">
      <c r="A1745" s="5">
        <v>1684</v>
      </c>
      <c r="B1745" s="138">
        <f>'Tax Sched 23'!B5</f>
        <v>58338</v>
      </c>
      <c r="C1745" s="2" t="s">
        <v>594</v>
      </c>
      <c r="D1745" s="2" t="str">
        <f t="shared" si="26"/>
        <v>Error?</v>
      </c>
    </row>
    <row r="1746" spans="1:5" x14ac:dyDescent="0.2">
      <c r="A1746" s="5">
        <v>1685</v>
      </c>
      <c r="B1746" s="138">
        <f>'Tax Sched 23'!B6</f>
        <v>135272</v>
      </c>
      <c r="C1746" s="2" t="s">
        <v>594</v>
      </c>
      <c r="D1746" s="2" t="str">
        <f t="shared" si="26"/>
        <v>Error?</v>
      </c>
    </row>
    <row r="1747" spans="1:5" x14ac:dyDescent="0.2">
      <c r="A1747" s="5">
        <v>1686</v>
      </c>
      <c r="B1747" s="138">
        <f>'Tax Sched 23'!B7</f>
        <v>38891</v>
      </c>
      <c r="C1747" s="2" t="s">
        <v>594</v>
      </c>
      <c r="D1747" s="2" t="str">
        <f t="shared" si="26"/>
        <v>Error?</v>
      </c>
    </row>
    <row r="1748" spans="1:5" x14ac:dyDescent="0.2">
      <c r="A1748" s="5">
        <v>1687</v>
      </c>
      <c r="B1748" s="138">
        <f>'Tax Sched 23'!B8</f>
        <v>13581</v>
      </c>
      <c r="C1748" s="2" t="s">
        <v>594</v>
      </c>
      <c r="D1748" s="2" t="str">
        <f t="shared" si="26"/>
        <v>Error?</v>
      </c>
    </row>
    <row r="1749" spans="1:5" x14ac:dyDescent="0.2">
      <c r="A1749" s="5">
        <v>1688</v>
      </c>
      <c r="B1749" s="138">
        <f>'Tax Sched 23'!B10</f>
        <v>16207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22687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6482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987494</v>
      </c>
      <c r="C1759" s="2" t="s">
        <v>594</v>
      </c>
      <c r="D1759" s="2" t="str">
        <f t="shared" si="26"/>
        <v>Error?</v>
      </c>
    </row>
    <row r="1760" spans="1:5" x14ac:dyDescent="0.2">
      <c r="A1760" s="5">
        <v>1699</v>
      </c>
      <c r="B1760" s="138">
        <f>'Tax Sched 23'!D4</f>
        <v>674449</v>
      </c>
      <c r="C1760" s="2" t="s">
        <v>594</v>
      </c>
      <c r="D1760" s="2" t="str">
        <f t="shared" si="26"/>
        <v>Error?</v>
      </c>
    </row>
    <row r="1761" spans="1:5" x14ac:dyDescent="0.2">
      <c r="A1761" s="5">
        <v>1700</v>
      </c>
      <c r="B1761" s="138">
        <f>'Tax Sched 23'!D5</f>
        <v>58338</v>
      </c>
      <c r="C1761" s="2" t="s">
        <v>594</v>
      </c>
      <c r="D1761" s="2" t="str">
        <f t="shared" si="26"/>
        <v>Error?</v>
      </c>
    </row>
    <row r="1762" spans="1:5" s="8" customFormat="1" x14ac:dyDescent="0.2">
      <c r="A1762" s="5">
        <v>1701</v>
      </c>
      <c r="B1762" s="138">
        <f>'Tax Sched 23'!D6</f>
        <v>135272</v>
      </c>
      <c r="C1762" s="2" t="s">
        <v>594</v>
      </c>
      <c r="D1762" s="2" t="str">
        <f t="shared" si="26"/>
        <v>Error?</v>
      </c>
      <c r="E1762" s="9"/>
    </row>
    <row r="1763" spans="1:5" x14ac:dyDescent="0.2">
      <c r="A1763" s="5">
        <v>1702</v>
      </c>
      <c r="B1763" s="138">
        <f>'Tax Sched 23'!D7</f>
        <v>38891</v>
      </c>
      <c r="C1763" s="2" t="s">
        <v>594</v>
      </c>
      <c r="D1763" s="2" t="str">
        <f t="shared" si="26"/>
        <v>Error?</v>
      </c>
    </row>
    <row r="1764" spans="1:5" x14ac:dyDescent="0.2">
      <c r="A1764" s="5">
        <v>1703</v>
      </c>
      <c r="B1764" s="138">
        <f>'Tax Sched 23'!D8</f>
        <v>13581</v>
      </c>
      <c r="C1764" s="2" t="s">
        <v>594</v>
      </c>
      <c r="D1764" s="2" t="str">
        <f t="shared" si="26"/>
        <v>Error?</v>
      </c>
    </row>
    <row r="1765" spans="1:5" x14ac:dyDescent="0.2">
      <c r="A1765" s="5">
        <v>1704</v>
      </c>
      <c r="B1765" s="138">
        <f>'Tax Sched 23'!D10</f>
        <v>16207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22687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6482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987494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691933</v>
      </c>
      <c r="C1792" s="2" t="s">
        <v>594</v>
      </c>
      <c r="D1792" s="2" t="str">
        <f t="shared" si="27"/>
        <v>Error?</v>
      </c>
    </row>
    <row r="1793" spans="1:4" x14ac:dyDescent="0.2">
      <c r="A1793" s="5">
        <v>1732</v>
      </c>
      <c r="B1793" s="138">
        <f>'Tax Sched 23'!F5</f>
        <v>67257</v>
      </c>
      <c r="C1793" s="2" t="s">
        <v>594</v>
      </c>
      <c r="D1793" s="2" t="str">
        <f t="shared" si="27"/>
        <v>Error?</v>
      </c>
    </row>
    <row r="1794" spans="1:4" x14ac:dyDescent="0.2">
      <c r="A1794" s="5">
        <v>1733</v>
      </c>
      <c r="B1794" s="138">
        <f>'Tax Sched 23'!F6</f>
        <v>137266</v>
      </c>
      <c r="C1794" s="2" t="s">
        <v>594</v>
      </c>
      <c r="D1794" s="2" t="str">
        <f t="shared" si="27"/>
        <v>Error?</v>
      </c>
    </row>
    <row r="1795" spans="1:4" x14ac:dyDescent="0.2">
      <c r="A1795" s="5">
        <v>1734</v>
      </c>
      <c r="B1795" s="138">
        <f>'Tax Sched 23'!F7</f>
        <v>40164</v>
      </c>
      <c r="C1795" s="2" t="s">
        <v>594</v>
      </c>
      <c r="D1795" s="2" t="str">
        <f t="shared" si="27"/>
        <v>Error?</v>
      </c>
    </row>
    <row r="1796" spans="1:4" x14ac:dyDescent="0.2">
      <c r="A1796" s="5">
        <v>1735</v>
      </c>
      <c r="B1796" s="138">
        <f>'Tax Sched 23'!F8</f>
        <v>18003</v>
      </c>
      <c r="C1796" s="2" t="s">
        <v>594</v>
      </c>
      <c r="D1796" s="2" t="str">
        <f t="shared" si="27"/>
        <v>Error?</v>
      </c>
    </row>
    <row r="1797" spans="1:4" x14ac:dyDescent="0.2">
      <c r="A1797" s="5">
        <v>1736</v>
      </c>
      <c r="B1797" s="138">
        <f>'Tax Sched 23'!F10</f>
        <v>16735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26903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6694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1031366</v>
      </c>
      <c r="C1807" s="2" t="s">
        <v>594</v>
      </c>
      <c r="D1807" s="2" t="str">
        <f t="shared" si="27"/>
        <v>Error?</v>
      </c>
    </row>
    <row r="1808" spans="1:4" x14ac:dyDescent="0.2">
      <c r="A1808" s="5">
        <v>1747</v>
      </c>
      <c r="B1808" s="138">
        <f>'Tax Sched 23'!E4</f>
        <v>691933</v>
      </c>
      <c r="D1808" s="2" t="str">
        <f t="shared" si="27"/>
        <v>Error?</v>
      </c>
    </row>
    <row r="1809" spans="1:4" x14ac:dyDescent="0.2">
      <c r="A1809" s="5">
        <v>1748</v>
      </c>
      <c r="B1809" s="138">
        <f>'Tax Sched 23'!E5</f>
        <v>67257</v>
      </c>
      <c r="D1809" s="2" t="str">
        <f t="shared" si="27"/>
        <v>Error?</v>
      </c>
    </row>
    <row r="1810" spans="1:4" x14ac:dyDescent="0.2">
      <c r="A1810" s="5">
        <v>1749</v>
      </c>
      <c r="B1810" s="138">
        <f>'Tax Sched 23'!E6</f>
        <v>137266</v>
      </c>
      <c r="D1810" s="2" t="str">
        <f t="shared" si="27"/>
        <v>Error?</v>
      </c>
    </row>
    <row r="1811" spans="1:4" x14ac:dyDescent="0.2">
      <c r="A1811" s="5">
        <v>1750</v>
      </c>
      <c r="B1811" s="138">
        <f>'Tax Sched 23'!E7</f>
        <v>40164</v>
      </c>
      <c r="D1811" s="2" t="str">
        <f t="shared" si="27"/>
        <v>Error?</v>
      </c>
    </row>
    <row r="1812" spans="1:4" x14ac:dyDescent="0.2">
      <c r="A1812" s="5">
        <v>1751</v>
      </c>
      <c r="B1812" s="138">
        <f>'Tax Sched 23'!E8</f>
        <v>18003</v>
      </c>
      <c r="D1812" s="2" t="str">
        <f t="shared" si="27"/>
        <v>Error?</v>
      </c>
    </row>
    <row r="1813" spans="1:4" x14ac:dyDescent="0.2">
      <c r="A1813" s="5">
        <v>1752</v>
      </c>
      <c r="B1813" s="138">
        <f>'Tax Sched 23'!E10</f>
        <v>16735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26903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6694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1031366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6482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6482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2041865</v>
      </c>
      <c r="D2009" s="2" t="str">
        <f t="shared" si="30"/>
        <v>Error?</v>
      </c>
    </row>
    <row r="2010" spans="1:4" x14ac:dyDescent="0.2">
      <c r="A2010" s="5">
        <v>1949</v>
      </c>
      <c r="B2010" s="138">
        <f>'Cap Outlay Deprec 26'!C10</f>
        <v>23600</v>
      </c>
      <c r="D2010" s="2" t="str">
        <f t="shared" si="30"/>
        <v>Error?</v>
      </c>
    </row>
    <row r="2011" spans="1:4" x14ac:dyDescent="0.2">
      <c r="A2011" s="5">
        <v>1950</v>
      </c>
      <c r="B2011" s="138">
        <f>'Cap Outlay Deprec 26'!C12</f>
        <v>150788</v>
      </c>
      <c r="D2011" s="2" t="str">
        <f t="shared" si="30"/>
        <v>Error?</v>
      </c>
    </row>
    <row r="2012" spans="1:4" x14ac:dyDescent="0.2">
      <c r="A2012" s="5">
        <v>1951</v>
      </c>
      <c r="B2012" s="138">
        <f>'Cap Outlay Deprec 26'!C13</f>
        <v>83957</v>
      </c>
      <c r="D2012" s="2" t="str">
        <f t="shared" si="30"/>
        <v>Error?</v>
      </c>
    </row>
    <row r="2013" spans="1:4" x14ac:dyDescent="0.2">
      <c r="A2013" s="5">
        <v>1952</v>
      </c>
      <c r="B2013" s="138">
        <f>'Cap Outlay Deprec 26'!C16</f>
        <v>2305210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7348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4033</v>
      </c>
      <c r="D2017" s="2" t="str">
        <f t="shared" si="30"/>
        <v>Error?</v>
      </c>
    </row>
    <row r="2018" spans="1:4" x14ac:dyDescent="0.2">
      <c r="A2018" s="5">
        <v>1957</v>
      </c>
      <c r="B2018" s="138">
        <f>'Cap Outlay Deprec 26'!D13</f>
        <v>2510</v>
      </c>
      <c r="D2018" s="2" t="str">
        <f t="shared" si="30"/>
        <v>Error?</v>
      </c>
    </row>
    <row r="2019" spans="1:4" x14ac:dyDescent="0.2">
      <c r="A2019" s="5">
        <v>1958</v>
      </c>
      <c r="B2019" s="138">
        <f>'Cap Outlay Deprec 26'!D16</f>
        <v>13891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5000</v>
      </c>
      <c r="C2026" s="2" t="s">
        <v>594</v>
      </c>
      <c r="D2026" s="2" t="str">
        <f t="shared" si="30"/>
        <v>Error?</v>
      </c>
    </row>
    <row r="2027" spans="1:4" x14ac:dyDescent="0.2">
      <c r="A2027" s="5">
        <v>1966</v>
      </c>
      <c r="B2027" s="138">
        <f>'Cap Outlay Deprec 26'!F8</f>
        <v>2049213</v>
      </c>
      <c r="C2027" s="2" t="s">
        <v>594</v>
      </c>
      <c r="D2027" s="2" t="str">
        <f t="shared" si="30"/>
        <v>Error?</v>
      </c>
    </row>
    <row r="2028" spans="1:4" x14ac:dyDescent="0.2">
      <c r="A2028" s="5">
        <v>1967</v>
      </c>
      <c r="B2028" s="138">
        <f>'Cap Outlay Deprec 26'!F10</f>
        <v>23600</v>
      </c>
      <c r="C2028" s="2" t="s">
        <v>594</v>
      </c>
      <c r="D2028" s="2" t="str">
        <f t="shared" si="30"/>
        <v>Error?</v>
      </c>
    </row>
    <row r="2029" spans="1:4" x14ac:dyDescent="0.2">
      <c r="A2029" s="5">
        <v>1968</v>
      </c>
      <c r="B2029" s="138">
        <f>'Cap Outlay Deprec 26'!F12</f>
        <v>154821</v>
      </c>
      <c r="C2029" s="2" t="s">
        <v>594</v>
      </c>
      <c r="D2029" s="2" t="str">
        <f t="shared" si="30"/>
        <v>Error?</v>
      </c>
    </row>
    <row r="2030" spans="1:4" x14ac:dyDescent="0.2">
      <c r="A2030" s="5">
        <v>1969</v>
      </c>
      <c r="B2030" s="138">
        <f>'Cap Outlay Deprec 26'!F13</f>
        <v>86467</v>
      </c>
      <c r="C2030" s="2" t="s">
        <v>594</v>
      </c>
      <c r="D2030" s="2" t="str">
        <f t="shared" si="30"/>
        <v>Error?</v>
      </c>
    </row>
    <row r="2031" spans="1:4" x14ac:dyDescent="0.2">
      <c r="A2031" s="5">
        <v>1970</v>
      </c>
      <c r="B2031" s="138">
        <f>'Cap Outlay Deprec 26'!F16</f>
        <v>2319101</v>
      </c>
      <c r="C2031" s="2" t="s">
        <v>594</v>
      </c>
      <c r="D2031" s="2" t="str">
        <f t="shared" si="30"/>
        <v>Error?</v>
      </c>
    </row>
    <row r="2032" spans="1:4" x14ac:dyDescent="0.2">
      <c r="A2032" s="10">
        <v>1971</v>
      </c>
      <c r="D2032" s="2" t="str">
        <f t="shared" si="30"/>
        <v>OK</v>
      </c>
    </row>
    <row r="2033" spans="1:4" x14ac:dyDescent="0.2">
      <c r="A2033" s="5">
        <v>1972</v>
      </c>
      <c r="B2033" s="138">
        <f>'Cap Outlay Deprec 26'!H8</f>
        <v>658903</v>
      </c>
      <c r="D2033" s="2" t="str">
        <f t="shared" si="30"/>
        <v>Error?</v>
      </c>
    </row>
    <row r="2034" spans="1:4" x14ac:dyDescent="0.2">
      <c r="A2034" s="5">
        <v>1973</v>
      </c>
      <c r="B2034" s="138">
        <f>'Cap Outlay Deprec 26'!H10</f>
        <v>17546</v>
      </c>
      <c r="D2034" s="2" t="str">
        <f t="shared" si="30"/>
        <v>Error?</v>
      </c>
    </row>
    <row r="2035" spans="1:4" x14ac:dyDescent="0.2">
      <c r="A2035" s="5">
        <v>1974</v>
      </c>
      <c r="B2035" s="138">
        <f>'Cap Outlay Deprec 26'!H12</f>
        <v>138927</v>
      </c>
      <c r="D2035" s="2" t="str">
        <f t="shared" si="30"/>
        <v>Error?</v>
      </c>
    </row>
    <row r="2036" spans="1:4" x14ac:dyDescent="0.2">
      <c r="A2036" s="5">
        <v>1975</v>
      </c>
      <c r="B2036" s="138">
        <f>'Cap Outlay Deprec 26'!H13</f>
        <v>59137</v>
      </c>
      <c r="D2036" s="2" t="str">
        <f t="shared" si="30"/>
        <v>Error?</v>
      </c>
    </row>
    <row r="2037" spans="1:4" x14ac:dyDescent="0.2">
      <c r="A2037" s="5">
        <v>1976</v>
      </c>
      <c r="B2037" s="138">
        <f>'Cap Outlay Deprec 26'!H16</f>
        <v>874513</v>
      </c>
      <c r="C2037" s="2" t="s">
        <v>594</v>
      </c>
      <c r="D2037" s="2" t="str">
        <f t="shared" si="30"/>
        <v>Error?</v>
      </c>
    </row>
    <row r="2038" spans="1:4" x14ac:dyDescent="0.2">
      <c r="A2038" s="10">
        <v>1977</v>
      </c>
      <c r="D2038" s="2" t="str">
        <f t="shared" si="30"/>
        <v>OK</v>
      </c>
    </row>
    <row r="2039" spans="1:4" x14ac:dyDescent="0.2">
      <c r="A2039" s="5">
        <v>1978</v>
      </c>
      <c r="B2039" s="138">
        <f>'Cap Outlay Deprec 26'!I8</f>
        <v>36444</v>
      </c>
      <c r="D2039" s="2" t="str">
        <f t="shared" si="30"/>
        <v>Error?</v>
      </c>
    </row>
    <row r="2040" spans="1:4" x14ac:dyDescent="0.2">
      <c r="A2040" s="5">
        <v>1979</v>
      </c>
      <c r="B2040" s="138">
        <f>'Cap Outlay Deprec 26'!I10</f>
        <v>1180</v>
      </c>
      <c r="D2040" s="2" t="str">
        <f t="shared" si="30"/>
        <v>Error?</v>
      </c>
    </row>
    <row r="2041" spans="1:4" x14ac:dyDescent="0.2">
      <c r="A2041" s="5">
        <v>1980</v>
      </c>
      <c r="B2041" s="138">
        <f>'Cap Outlay Deprec 26'!I12</f>
        <v>3492</v>
      </c>
      <c r="D2041" s="2" t="str">
        <f t="shared" si="30"/>
        <v>Error?</v>
      </c>
    </row>
    <row r="2042" spans="1:4" x14ac:dyDescent="0.2">
      <c r="A2042" s="5">
        <v>1981</v>
      </c>
      <c r="B2042" s="138">
        <f>'Cap Outlay Deprec 26'!I13</f>
        <v>9943</v>
      </c>
      <c r="D2042" s="2" t="str">
        <f t="shared" si="30"/>
        <v>Error?</v>
      </c>
    </row>
    <row r="2043" spans="1:4" x14ac:dyDescent="0.2">
      <c r="A2043" s="5">
        <v>1982</v>
      </c>
      <c r="B2043" s="138">
        <f>'Cap Outlay Deprec 26'!I16</f>
        <v>51059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695347</v>
      </c>
      <c r="C2051" s="2" t="s">
        <v>594</v>
      </c>
      <c r="D2051" s="2" t="str">
        <f t="shared" si="31"/>
        <v>Error?</v>
      </c>
    </row>
    <row r="2052" spans="1:4" x14ac:dyDescent="0.2">
      <c r="A2052" s="5">
        <v>1991</v>
      </c>
      <c r="B2052" s="138">
        <f>'Cap Outlay Deprec 26'!K10</f>
        <v>18726</v>
      </c>
      <c r="C2052" s="2" t="s">
        <v>594</v>
      </c>
      <c r="D2052" s="2" t="str">
        <f t="shared" si="31"/>
        <v>Error?</v>
      </c>
    </row>
    <row r="2053" spans="1:4" x14ac:dyDescent="0.2">
      <c r="A2053" s="5">
        <v>1992</v>
      </c>
      <c r="B2053" s="138">
        <f>'Cap Outlay Deprec 26'!K12</f>
        <v>142419</v>
      </c>
      <c r="C2053" s="2" t="s">
        <v>594</v>
      </c>
      <c r="D2053" s="2" t="str">
        <f t="shared" si="31"/>
        <v>Error?</v>
      </c>
    </row>
    <row r="2054" spans="1:4" x14ac:dyDescent="0.2">
      <c r="A2054" s="5">
        <v>1993</v>
      </c>
      <c r="B2054" s="138">
        <f>'Cap Outlay Deprec 26'!K13</f>
        <v>69080</v>
      </c>
      <c r="C2054" s="2" t="s">
        <v>594</v>
      </c>
      <c r="D2054" s="2" t="str">
        <f t="shared" si="31"/>
        <v>Error?</v>
      </c>
    </row>
    <row r="2055" spans="1:4" x14ac:dyDescent="0.2">
      <c r="A2055" s="5">
        <v>1994</v>
      </c>
      <c r="B2055" s="138">
        <f>'Cap Outlay Deprec 26'!K16</f>
        <v>925572</v>
      </c>
      <c r="C2055" s="2" t="s">
        <v>594</v>
      </c>
      <c r="D2055" s="2" t="str">
        <f t="shared" si="31"/>
        <v>Error?</v>
      </c>
    </row>
    <row r="2056" spans="1:4" x14ac:dyDescent="0.2">
      <c r="A2056" s="5">
        <v>1995</v>
      </c>
      <c r="B2056" s="138">
        <f>'Cap Outlay Deprec 26'!L5</f>
        <v>5000</v>
      </c>
      <c r="C2056" s="2" t="s">
        <v>594</v>
      </c>
      <c r="D2056" s="2" t="str">
        <f t="shared" si="31"/>
        <v>Error?</v>
      </c>
    </row>
    <row r="2057" spans="1:4" x14ac:dyDescent="0.2">
      <c r="A2057" s="5">
        <v>1996</v>
      </c>
      <c r="B2057" s="138">
        <f>'Cap Outlay Deprec 26'!L8</f>
        <v>1353866</v>
      </c>
      <c r="C2057" s="2" t="s">
        <v>594</v>
      </c>
      <c r="D2057" s="2" t="str">
        <f t="shared" si="31"/>
        <v>Error?</v>
      </c>
    </row>
    <row r="2058" spans="1:4" x14ac:dyDescent="0.2">
      <c r="A2058" s="5">
        <v>1997</v>
      </c>
      <c r="B2058" s="138">
        <f>'Cap Outlay Deprec 26'!L10</f>
        <v>4874</v>
      </c>
      <c r="C2058" s="2" t="s">
        <v>594</v>
      </c>
      <c r="D2058" s="2" t="str">
        <f t="shared" si="31"/>
        <v>Error?</v>
      </c>
    </row>
    <row r="2059" spans="1:4" x14ac:dyDescent="0.2">
      <c r="A2059" s="5">
        <v>1998</v>
      </c>
      <c r="B2059" s="138">
        <f>'Cap Outlay Deprec 26'!L12</f>
        <v>12402</v>
      </c>
      <c r="C2059" s="2" t="s">
        <v>594</v>
      </c>
      <c r="D2059" s="2" t="str">
        <f t="shared" si="31"/>
        <v>Error?</v>
      </c>
    </row>
    <row r="2060" spans="1:4" x14ac:dyDescent="0.2">
      <c r="A2060" s="5">
        <v>1999</v>
      </c>
      <c r="B2060" s="138">
        <f>'Cap Outlay Deprec 26'!L13</f>
        <v>17387</v>
      </c>
      <c r="C2060" s="2" t="s">
        <v>594</v>
      </c>
      <c r="D2060" s="2" t="str">
        <f t="shared" si="31"/>
        <v>Error?</v>
      </c>
    </row>
    <row r="2061" spans="1:4" x14ac:dyDescent="0.2">
      <c r="A2061" s="5">
        <v>2000</v>
      </c>
      <c r="B2061" s="138">
        <f>'Cap Outlay Deprec 26'!L16</f>
        <v>1393529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5251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57961</v>
      </c>
      <c r="C2088" s="2" t="s">
        <v>594</v>
      </c>
      <c r="D2088" s="2" t="str">
        <f t="shared" si="31"/>
        <v>Error?</v>
      </c>
    </row>
    <row r="2089" spans="1:4" x14ac:dyDescent="0.2">
      <c r="A2089" s="5">
        <v>2028</v>
      </c>
      <c r="B2089" s="138">
        <f>'Expenditures 15-22'!K92</f>
        <v>35464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8855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751039</v>
      </c>
      <c r="C2551" s="2" t="s">
        <v>594</v>
      </c>
      <c r="D2551" s="2" t="str">
        <f t="shared" si="38"/>
        <v>Error?</v>
      </c>
    </row>
    <row r="2552" spans="1:4" x14ac:dyDescent="0.2">
      <c r="A2552" s="10">
        <v>2491</v>
      </c>
      <c r="D2552" s="2" t="str">
        <f t="shared" si="38"/>
        <v>OK</v>
      </c>
    </row>
    <row r="2553" spans="1:4" x14ac:dyDescent="0.2">
      <c r="A2553" s="5">
        <v>2492</v>
      </c>
      <c r="B2553" s="138">
        <f>'Acct Summary 7-8'!C6</f>
        <v>117224</v>
      </c>
      <c r="C2553" s="2" t="s">
        <v>594</v>
      </c>
      <c r="D2553" s="2" t="str">
        <f t="shared" si="38"/>
        <v>Error?</v>
      </c>
    </row>
    <row r="2554" spans="1:4" x14ac:dyDescent="0.2">
      <c r="A2554" s="5">
        <v>2493</v>
      </c>
      <c r="B2554" s="138">
        <f>'Acct Summary 7-8'!C7</f>
        <v>28995</v>
      </c>
      <c r="C2554" s="2" t="s">
        <v>594</v>
      </c>
      <c r="D2554" s="2" t="str">
        <f t="shared" si="38"/>
        <v>Error?</v>
      </c>
    </row>
    <row r="2555" spans="1:4" x14ac:dyDescent="0.2">
      <c r="A2555" s="5">
        <v>2494</v>
      </c>
      <c r="B2555" s="138">
        <f>'Acct Summary 7-8'!C8</f>
        <v>897258</v>
      </c>
      <c r="C2555" s="2" t="s">
        <v>594</v>
      </c>
      <c r="D2555" s="2" t="str">
        <f t="shared" si="38"/>
        <v>Error?</v>
      </c>
    </row>
    <row r="2556" spans="1:4" x14ac:dyDescent="0.2">
      <c r="A2556" s="5">
        <v>2495</v>
      </c>
      <c r="B2556" s="138">
        <f>'Acct Summary 7-8'!C12</f>
        <v>653388</v>
      </c>
      <c r="C2556" s="2" t="s">
        <v>594</v>
      </c>
      <c r="D2556" s="2" t="str">
        <f t="shared" si="38"/>
        <v>Error?</v>
      </c>
    </row>
    <row r="2557" spans="1:4" x14ac:dyDescent="0.2">
      <c r="A2557" s="5">
        <v>2496</v>
      </c>
      <c r="B2557" s="138">
        <f>'Acct Summary 7-8'!C13</f>
        <v>236309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93425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983122</v>
      </c>
      <c r="C2561" s="2" t="s">
        <v>594</v>
      </c>
      <c r="D2561" s="2" t="str">
        <f t="shared" si="39"/>
        <v>Error?</v>
      </c>
    </row>
    <row r="2562" spans="1:4" x14ac:dyDescent="0.2">
      <c r="A2562" s="5">
        <v>2501</v>
      </c>
      <c r="B2562" s="138">
        <f>'Acct Summary 7-8'!C20</f>
        <v>-85864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80281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80281</v>
      </c>
      <c r="C2568" s="2" t="s">
        <v>594</v>
      </c>
      <c r="D2568" s="2" t="str">
        <f t="shared" si="39"/>
        <v>Error?</v>
      </c>
    </row>
    <row r="2569" spans="1:4" x14ac:dyDescent="0.2">
      <c r="A2569" s="5">
        <v>2508</v>
      </c>
      <c r="B2569" s="138">
        <f>'Acct Summary 7-8'!D13</f>
        <v>108595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108595</v>
      </c>
      <c r="C2573" s="2" t="s">
        <v>594</v>
      </c>
      <c r="D2573" s="2" t="str">
        <f t="shared" si="39"/>
        <v>Error?</v>
      </c>
    </row>
    <row r="2574" spans="1:4" x14ac:dyDescent="0.2">
      <c r="A2574" s="5">
        <v>2513</v>
      </c>
      <c r="B2574" s="138">
        <f>'Acct Summary 7-8'!D20</f>
        <v>-28314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39089</v>
      </c>
      <c r="C2591" s="2" t="s">
        <v>594</v>
      </c>
      <c r="D2591" s="2" t="str">
        <f t="shared" si="39"/>
        <v>Error?</v>
      </c>
    </row>
    <row r="2592" spans="1:4" x14ac:dyDescent="0.2">
      <c r="A2592" s="10">
        <v>2531</v>
      </c>
      <c r="D2592" s="2" t="str">
        <f t="shared" si="39"/>
        <v>OK</v>
      </c>
    </row>
    <row r="2593" spans="1:4" x14ac:dyDescent="0.2">
      <c r="A2593" s="5">
        <v>2532</v>
      </c>
      <c r="B2593" s="138">
        <f>'Acct Summary 7-8'!F6</f>
        <v>38311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77400</v>
      </c>
      <c r="C2595" s="2" t="s">
        <v>594</v>
      </c>
      <c r="D2595" s="2" t="str">
        <f t="shared" si="39"/>
        <v>Error?</v>
      </c>
    </row>
    <row r="2596" spans="1:4" x14ac:dyDescent="0.2">
      <c r="A2596" s="5">
        <v>2535</v>
      </c>
      <c r="B2596" s="138">
        <f>'Acct Summary 7-8'!F13</f>
        <v>82038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82038</v>
      </c>
      <c r="C2600" s="2" t="s">
        <v>594</v>
      </c>
      <c r="D2600" s="2" t="str">
        <f t="shared" si="39"/>
        <v>Error?</v>
      </c>
    </row>
    <row r="2601" spans="1:4" x14ac:dyDescent="0.2">
      <c r="A2601" s="5">
        <v>2540</v>
      </c>
      <c r="B2601" s="138">
        <f>'Acct Summary 7-8'!F20</f>
        <v>-4638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30493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30493</v>
      </c>
      <c r="C2606" s="2" t="s">
        <v>594</v>
      </c>
      <c r="D2606" s="2" t="str">
        <f t="shared" si="39"/>
        <v>Error?</v>
      </c>
    </row>
    <row r="2607" spans="1:4" x14ac:dyDescent="0.2">
      <c r="A2607" s="5">
        <v>2546</v>
      </c>
      <c r="B2607" s="138">
        <f>'Acct Summary 7-8'!G12</f>
        <v>6759</v>
      </c>
      <c r="C2607" s="2" t="s">
        <v>594</v>
      </c>
      <c r="D2607" s="2" t="str">
        <f t="shared" si="39"/>
        <v>Error?</v>
      </c>
    </row>
    <row r="2608" spans="1:4" x14ac:dyDescent="0.2">
      <c r="A2608" s="5">
        <v>2547</v>
      </c>
      <c r="B2608" s="138">
        <f>'Acct Summary 7-8'!G13</f>
        <v>20306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27065</v>
      </c>
      <c r="C2612" s="2" t="s">
        <v>594</v>
      </c>
      <c r="D2612" s="2" t="str">
        <f t="shared" si="39"/>
        <v>Error?</v>
      </c>
    </row>
    <row r="2613" spans="1:4" x14ac:dyDescent="0.2">
      <c r="A2613" s="5">
        <v>2552</v>
      </c>
      <c r="B2613" s="138">
        <f>'Acct Summary 7-8'!G20</f>
        <v>3428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135419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135419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137487</v>
      </c>
      <c r="C2634" s="2" t="s">
        <v>594</v>
      </c>
      <c r="D2634" s="2" t="str">
        <f t="shared" si="40"/>
        <v>Error?</v>
      </c>
    </row>
    <row r="2635" spans="1:4" x14ac:dyDescent="0.2">
      <c r="A2635" s="5">
        <v>2574</v>
      </c>
      <c r="B2635" s="138">
        <f>'Acct Summary 7-8'!E17</f>
        <v>137487</v>
      </c>
      <c r="C2635" s="2" t="s">
        <v>594</v>
      </c>
      <c r="D2635" s="2" t="str">
        <f t="shared" si="40"/>
        <v>Error?</v>
      </c>
    </row>
    <row r="2636" spans="1:4" x14ac:dyDescent="0.2">
      <c r="A2636" s="5">
        <v>2575</v>
      </c>
      <c r="B2636" s="138">
        <f>'Acct Summary 7-8'!E20</f>
        <v>-2068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52710</v>
      </c>
      <c r="C2789" s="2" t="s">
        <v>594</v>
      </c>
      <c r="D2789" s="2" t="str">
        <f t="shared" si="42"/>
        <v>Error?</v>
      </c>
    </row>
    <row r="2790" spans="1:4" x14ac:dyDescent="0.2">
      <c r="A2790" s="5">
        <v>2729</v>
      </c>
      <c r="B2790" s="138">
        <f>'Expenditures 15-22'!E102</f>
        <v>52710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113314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9494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113314</v>
      </c>
      <c r="D2912" s="2" t="str">
        <f t="shared" si="44"/>
        <v>Error?</v>
      </c>
    </row>
    <row r="2913" spans="1:4" x14ac:dyDescent="0.2">
      <c r="A2913" s="5">
        <v>2852</v>
      </c>
      <c r="B2913" s="138">
        <f>'Assets-Liab 5-6'!I41</f>
        <v>113314</v>
      </c>
      <c r="C2913" s="2" t="s">
        <v>594</v>
      </c>
      <c r="D2913" s="2" t="str">
        <f t="shared" si="44"/>
        <v>Error?</v>
      </c>
    </row>
    <row r="2914" spans="1:4" x14ac:dyDescent="0.2">
      <c r="A2914" s="5">
        <v>2853</v>
      </c>
      <c r="B2914" s="138">
        <f>'Assets-Liab 5-6'!L33</f>
        <v>9494</v>
      </c>
      <c r="D2914" s="2" t="str">
        <f t="shared" si="44"/>
        <v>Error?</v>
      </c>
    </row>
    <row r="2915" spans="1:4" x14ac:dyDescent="0.2">
      <c r="A2915" s="10">
        <v>2854</v>
      </c>
      <c r="D2915" s="2" t="str">
        <f t="shared" si="44"/>
        <v>OK</v>
      </c>
    </row>
    <row r="2916" spans="1:4" x14ac:dyDescent="0.2">
      <c r="A2916" s="5">
        <v>2855</v>
      </c>
      <c r="B2916" s="138">
        <f>'Assets-Liab 5-6'!L34</f>
        <v>9494</v>
      </c>
      <c r="C2916" s="2" t="s">
        <v>594</v>
      </c>
      <c r="D2916" s="2" t="str">
        <f t="shared" si="44"/>
        <v>Error?</v>
      </c>
    </row>
    <row r="2917" spans="1:4" x14ac:dyDescent="0.2">
      <c r="A2917" s="5">
        <v>2856</v>
      </c>
      <c r="B2917" s="138">
        <f>'Assets-Liab 5-6'!L41</f>
        <v>9494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52710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5251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57961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16617</v>
      </c>
      <c r="C3225" s="2" t="s">
        <v>594</v>
      </c>
      <c r="D3225" s="2" t="str">
        <f t="shared" si="49"/>
        <v>Error?</v>
      </c>
    </row>
    <row r="3226" spans="1:4" x14ac:dyDescent="0.2">
      <c r="A3226" s="5">
        <v>3165</v>
      </c>
      <c r="B3226" s="138">
        <f>'Acct Summary 7-8'!I8</f>
        <v>16617</v>
      </c>
      <c r="C3226" s="2" t="s">
        <v>594</v>
      </c>
      <c r="D3226" s="2" t="str">
        <f t="shared" si="49"/>
        <v>Error?</v>
      </c>
    </row>
    <row r="3227" spans="1:4" x14ac:dyDescent="0.2">
      <c r="A3227" s="5">
        <v>3166</v>
      </c>
      <c r="B3227" s="138">
        <f>'Acct Summary 7-8'!I20</f>
        <v>16617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-85864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-28314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2004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2004</v>
      </c>
      <c r="C3277" s="2" t="s">
        <v>594</v>
      </c>
      <c r="D3277" s="2" t="str">
        <f t="shared" si="50"/>
        <v>Error?</v>
      </c>
    </row>
    <row r="3278" spans="1:4" x14ac:dyDescent="0.2">
      <c r="A3278" s="5">
        <v>3217</v>
      </c>
      <c r="B3278" s="138">
        <f>'Acct Summary 7-8'!E78</f>
        <v>-64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2004</v>
      </c>
      <c r="C3318" s="2" t="s">
        <v>594</v>
      </c>
      <c r="D3318" s="2" t="str">
        <f t="shared" si="50"/>
        <v>Error?</v>
      </c>
    </row>
    <row r="3319" spans="1:4" x14ac:dyDescent="0.2">
      <c r="A3319" s="5">
        <v>3258</v>
      </c>
      <c r="B3319" s="138">
        <f>'Acct Summary 7-8'!I77</f>
        <v>-2004</v>
      </c>
      <c r="C3319" s="2" t="s">
        <v>594</v>
      </c>
      <c r="D3319" s="2" t="str">
        <f t="shared" si="50"/>
        <v>Error?</v>
      </c>
    </row>
    <row r="3320" spans="1:4" x14ac:dyDescent="0.2">
      <c r="A3320" s="5">
        <v>3259</v>
      </c>
      <c r="B3320" s="138">
        <f>'Acct Summary 7-8'!I78</f>
        <v>14613</v>
      </c>
      <c r="C3320" s="2" t="s">
        <v>594</v>
      </c>
      <c r="D3320" s="2" t="str">
        <f t="shared" si="50"/>
        <v>Error?</v>
      </c>
    </row>
    <row r="3321" spans="1:4" x14ac:dyDescent="0.2">
      <c r="A3321" s="5">
        <v>3260</v>
      </c>
      <c r="B3321" s="138">
        <f>'Acct Summary 7-8'!I79</f>
        <v>98701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113314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40616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11360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55730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5189</v>
      </c>
      <c r="D3387" s="2" t="str">
        <f t="shared" si="51"/>
        <v>Error?</v>
      </c>
    </row>
    <row r="3388" spans="1:4" x14ac:dyDescent="0.2">
      <c r="A3388" s="5">
        <v>3327</v>
      </c>
      <c r="B3388" s="138">
        <f>'Expenditures 15-22'!D217</f>
        <v>955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5189</v>
      </c>
      <c r="C3390" s="2" t="s">
        <v>594</v>
      </c>
      <c r="D3390" s="2" t="str">
        <f t="shared" si="51"/>
        <v>Error?</v>
      </c>
    </row>
    <row r="3391" spans="1:4" x14ac:dyDescent="0.2">
      <c r="A3391" s="5">
        <v>3330</v>
      </c>
      <c r="B3391" s="138">
        <f>'Expenditures 15-22'!K217</f>
        <v>955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309722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165805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v>
      </c>
      <c r="D3417" s="2" t="str">
        <f t="shared" si="52"/>
        <v>Error?</v>
      </c>
    </row>
    <row r="3418" spans="1:4" x14ac:dyDescent="0.2">
      <c r="A3418" s="10">
        <v>3357</v>
      </c>
      <c r="D3418" s="2" t="str">
        <f t="shared" si="52"/>
        <v>OK</v>
      </c>
    </row>
    <row r="3419" spans="1:4" x14ac:dyDescent="0.2">
      <c r="A3419" s="5">
        <v>3358</v>
      </c>
      <c r="B3419" s="138">
        <f>'Assets-Liab 5-6'!F4</f>
        <v>56486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11567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113314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13581</v>
      </c>
      <c r="C3446" s="2" t="s">
        <v>594</v>
      </c>
      <c r="D3446" s="2" t="str">
        <f t="shared" si="52"/>
        <v>Error?</v>
      </c>
    </row>
    <row r="3447" spans="1:4" x14ac:dyDescent="0.2">
      <c r="A3447" s="5">
        <v>3386</v>
      </c>
      <c r="B3447" s="138">
        <f>'Tax Sched 23'!D16</f>
        <v>13581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18003</v>
      </c>
      <c r="C3449" s="2" t="s">
        <v>594</v>
      </c>
      <c r="D3449" s="2" t="str">
        <f t="shared" si="52"/>
        <v>Error?</v>
      </c>
    </row>
    <row r="3450" spans="1:4" x14ac:dyDescent="0.2">
      <c r="A3450" s="5">
        <v>3389</v>
      </c>
      <c r="B3450" s="138">
        <f>'Tax Sched 23'!E16</f>
        <v>18003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21520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21520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21520</v>
      </c>
      <c r="D3567" s="2" t="str">
        <f t="shared" si="54"/>
        <v>Error?</v>
      </c>
    </row>
    <row r="3568" spans="1:4" x14ac:dyDescent="0.2">
      <c r="A3568" s="5">
        <v>3507</v>
      </c>
      <c r="B3568" s="138">
        <f>'Assets-Liab 5-6'!K41</f>
        <v>21520</v>
      </c>
      <c r="C3568" s="2" t="s">
        <v>594</v>
      </c>
      <c r="D3568" s="2" t="str">
        <f t="shared" si="54"/>
        <v>Error?</v>
      </c>
    </row>
    <row r="3569" spans="1:4" x14ac:dyDescent="0.2">
      <c r="A3569" s="5">
        <v>3508</v>
      </c>
      <c r="B3569" s="138">
        <f>'Acct Summary 7-8'!K4</f>
        <v>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80</v>
      </c>
      <c r="C3588" s="2" t="s">
        <v>594</v>
      </c>
      <c r="D3588" s="2" t="str">
        <f t="shared" si="55"/>
        <v>Error?</v>
      </c>
    </row>
    <row r="3589" spans="1:4" x14ac:dyDescent="0.2">
      <c r="A3589" s="5">
        <v>3528</v>
      </c>
      <c r="B3589" s="138">
        <f>'Acct Summary 7-8'!K79</f>
        <v>21440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21520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8006</v>
      </c>
      <c r="C3725" s="2" t="s">
        <v>594</v>
      </c>
      <c r="D3725" s="2" t="str">
        <f t="shared" si="57"/>
        <v>Error?</v>
      </c>
    </row>
    <row r="3726" spans="1:4" x14ac:dyDescent="0.2">
      <c r="A3726" s="5">
        <v>3665</v>
      </c>
      <c r="B3726" s="138">
        <f>'Tax Sched 23'!D13</f>
        <v>8006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8408</v>
      </c>
      <c r="C3728" s="2" t="s">
        <v>594</v>
      </c>
      <c r="D3728" s="2" t="str">
        <f t="shared" si="57"/>
        <v>Error?</v>
      </c>
    </row>
    <row r="3729" spans="1:4" x14ac:dyDescent="0.2">
      <c r="A3729" s="5">
        <v>3668</v>
      </c>
      <c r="B3729" s="138">
        <f>'Tax Sched 23'!E13</f>
        <v>8408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394462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1291720</v>
      </c>
      <c r="C4122" s="2" t="s">
        <v>594</v>
      </c>
      <c r="D4122" s="2" t="str">
        <f t="shared" si="63"/>
        <v>Error?</v>
      </c>
    </row>
    <row r="4123" spans="1:4" x14ac:dyDescent="0.2">
      <c r="A4123" s="5">
        <v>4062</v>
      </c>
      <c r="B4123" s="138">
        <f>'Acct Summary 7-8'!D10</f>
        <v>80281</v>
      </c>
      <c r="C4123" s="2" t="s">
        <v>594</v>
      </c>
      <c r="D4123" s="2" t="str">
        <f t="shared" si="63"/>
        <v>Error?</v>
      </c>
    </row>
    <row r="4124" spans="1:4" x14ac:dyDescent="0.2">
      <c r="A4124" s="5">
        <v>4063</v>
      </c>
      <c r="B4124" s="138">
        <f>'Acct Summary 7-8'!E10</f>
        <v>135419</v>
      </c>
      <c r="C4124" s="2" t="s">
        <v>594</v>
      </c>
      <c r="D4124" s="2" t="str">
        <f t="shared" si="63"/>
        <v>Error?</v>
      </c>
    </row>
    <row r="4125" spans="1:4" x14ac:dyDescent="0.2">
      <c r="A4125" s="5">
        <v>4064</v>
      </c>
      <c r="B4125" s="138">
        <f>'Acct Summary 7-8'!F10</f>
        <v>77400</v>
      </c>
      <c r="C4125" s="2" t="s">
        <v>594</v>
      </c>
      <c r="D4125" s="2" t="str">
        <f t="shared" si="63"/>
        <v>Error?</v>
      </c>
    </row>
    <row r="4126" spans="1:4" x14ac:dyDescent="0.2">
      <c r="A4126" s="5">
        <v>4065</v>
      </c>
      <c r="B4126" s="138">
        <f>'Acct Summary 7-8'!G10</f>
        <v>30493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16617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80</v>
      </c>
      <c r="C4130" s="2" t="s">
        <v>594</v>
      </c>
      <c r="D4130" s="2" t="str">
        <f t="shared" si="63"/>
        <v>Error?</v>
      </c>
    </row>
    <row r="4131" spans="1:4" x14ac:dyDescent="0.2">
      <c r="A4131" s="5">
        <v>4070</v>
      </c>
      <c r="B4131" s="138">
        <f>'Acct Summary 7-8'!C18</f>
        <v>394462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1377584</v>
      </c>
      <c r="C4136" s="2" t="s">
        <v>594</v>
      </c>
      <c r="D4136" s="2" t="str">
        <f t="shared" si="63"/>
        <v>Error?</v>
      </c>
    </row>
    <row r="4137" spans="1:4" x14ac:dyDescent="0.2">
      <c r="A4137" s="5">
        <v>4076</v>
      </c>
      <c r="B4137" s="138">
        <f>'Acct Summary 7-8'!D19</f>
        <v>108595</v>
      </c>
      <c r="C4137" s="2" t="s">
        <v>594</v>
      </c>
      <c r="D4137" s="2" t="str">
        <f t="shared" si="63"/>
        <v>Error?</v>
      </c>
    </row>
    <row r="4138" spans="1:4" x14ac:dyDescent="0.2">
      <c r="A4138" s="5">
        <v>4077</v>
      </c>
      <c r="B4138" s="138">
        <f>'Acct Summary 7-8'!E19</f>
        <v>137487</v>
      </c>
      <c r="C4138" s="2" t="s">
        <v>594</v>
      </c>
      <c r="D4138" s="2" t="str">
        <f t="shared" si="63"/>
        <v>Error?</v>
      </c>
    </row>
    <row r="4139" spans="1:4" x14ac:dyDescent="0.2">
      <c r="A4139" s="5">
        <v>4078</v>
      </c>
      <c r="B4139" s="138">
        <f>'Acct Summary 7-8'!F19</f>
        <v>82038</v>
      </c>
      <c r="C4139" s="2" t="s">
        <v>594</v>
      </c>
      <c r="D4139" s="2" t="str">
        <f t="shared" si="63"/>
        <v>Error?</v>
      </c>
    </row>
    <row r="4140" spans="1:4" x14ac:dyDescent="0.2">
      <c r="A4140" s="5">
        <v>4079</v>
      </c>
      <c r="B4140" s="138">
        <f>'Acct Summary 7-8'!G19</f>
        <v>27065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815000</v>
      </c>
      <c r="C4171" s="2" t="s">
        <v>594</v>
      </c>
      <c r="D4171" s="2" t="str">
        <f t="shared" si="64"/>
        <v>Error?</v>
      </c>
    </row>
    <row r="4172" spans="1:4" x14ac:dyDescent="0.2">
      <c r="A4172" s="5">
        <v>4111</v>
      </c>
      <c r="B4172" s="138">
        <f>'Short-Term Long-Term Debt 24'!J49</f>
        <v>814908</v>
      </c>
      <c r="C4172" s="2" t="s">
        <v>594</v>
      </c>
      <c r="D4172" s="2" t="str">
        <f t="shared" si="64"/>
        <v>Error?</v>
      </c>
    </row>
    <row r="4173" spans="1:4" x14ac:dyDescent="0.2">
      <c r="A4173" s="5">
        <v>4112</v>
      </c>
      <c r="B4173" s="138">
        <f>'Short-Term Long-Term Debt 24'!H49</f>
        <v>100000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2067.34</v>
      </c>
      <c r="C4265" s="2" t="s">
        <v>594</v>
      </c>
      <c r="D4265" s="2" t="str">
        <f t="shared" si="65"/>
        <v>Error?</v>
      </c>
      <c r="E4265" s="128"/>
    </row>
    <row r="4266" spans="1:5" x14ac:dyDescent="0.2">
      <c r="A4266" s="12">
        <v>4205</v>
      </c>
      <c r="B4266" s="138">
        <f>('FP Info 3'!F10)*100000</f>
        <v>200.95</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2388</v>
      </c>
      <c r="C4268" s="2" t="s">
        <v>594</v>
      </c>
      <c r="D4268" s="2" t="str">
        <f t="shared" si="65"/>
        <v>Error?</v>
      </c>
    </row>
    <row r="4269" spans="1:5" x14ac:dyDescent="0.2">
      <c r="A4269" s="12">
        <v>4208</v>
      </c>
      <c r="B4269" s="138">
        <f>'FP Info 3'!J16</f>
        <v>645327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3441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3441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33469733</v>
      </c>
      <c r="D4995" s="2" t="str">
        <f t="shared" si="77"/>
        <v>Error?</v>
      </c>
    </row>
    <row r="4996" spans="1:4" x14ac:dyDescent="0.2">
      <c r="A4996" s="12">
        <v>4935</v>
      </c>
      <c r="B4996" s="138">
        <f>'FP Info 3'!H31</f>
        <v>2309411.577</v>
      </c>
      <c r="D4996" s="2" t="str">
        <f t="shared" si="77"/>
        <v>Error?</v>
      </c>
    </row>
    <row r="4997" spans="1:4" x14ac:dyDescent="0.2">
      <c r="A4997" s="12">
        <v>4936</v>
      </c>
      <c r="B4997" s="138">
        <f>'FP Info 3'!H37</f>
        <v>815000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8006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674449</v>
      </c>
      <c r="D5061" s="2" t="str">
        <f t="shared" si="78"/>
        <v>Error?</v>
      </c>
    </row>
    <row r="5062" spans="1:4" x14ac:dyDescent="0.2">
      <c r="A5062" s="10">
        <v>5001</v>
      </c>
      <c r="D5062" s="2" t="str">
        <f t="shared" si="78"/>
        <v>OK</v>
      </c>
    </row>
    <row r="5063" spans="1:4" x14ac:dyDescent="0.2">
      <c r="A5063" s="5">
        <v>5002</v>
      </c>
      <c r="B5063" s="138">
        <f>'Revenues 9-14'!C7</f>
        <v>6482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688937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3608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3608</v>
      </c>
      <c r="C5071" s="2" t="s">
        <v>594</v>
      </c>
      <c r="D5071" s="2" t="str">
        <f t="shared" si="78"/>
        <v>Error?</v>
      </c>
    </row>
    <row r="5072" spans="1:4" x14ac:dyDescent="0.2">
      <c r="A5072" s="5">
        <v>5011</v>
      </c>
      <c r="B5072" s="138">
        <f>'Revenues 9-14'!C20</f>
        <v>18705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12280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30985</v>
      </c>
      <c r="C5087" s="2" t="s">
        <v>594</v>
      </c>
      <c r="D5087" s="2" t="str">
        <f t="shared" si="78"/>
        <v>Error?</v>
      </c>
    </row>
    <row r="5088" spans="1:4" x14ac:dyDescent="0.2">
      <c r="A5088" s="5">
        <v>5027</v>
      </c>
      <c r="B5088" s="138">
        <f>'Revenues 9-14'!C65</f>
        <v>4364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4364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12613</v>
      </c>
      <c r="C5096" s="2" t="s">
        <v>594</v>
      </c>
      <c r="D5096" s="2" t="str">
        <f t="shared" si="78"/>
        <v>Error?</v>
      </c>
    </row>
    <row r="5097" spans="1:4" x14ac:dyDescent="0.2">
      <c r="A5097" s="5">
        <v>5036</v>
      </c>
      <c r="B5097" s="138">
        <f>'Revenues 9-14'!C77</f>
        <v>4317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4317</v>
      </c>
      <c r="C5102" s="2" t="s">
        <v>594</v>
      </c>
      <c r="D5102" s="2" t="str">
        <f t="shared" si="78"/>
        <v>Error?</v>
      </c>
    </row>
    <row r="5103" spans="1:4" x14ac:dyDescent="0.2">
      <c r="A5103" s="5">
        <v>5042</v>
      </c>
      <c r="B5103" s="138">
        <f>'Revenues 9-14'!C84</f>
        <v>6215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6215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751039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102361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102361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5893</v>
      </c>
      <c r="D5134" s="2" t="str">
        <f t="shared" si="79"/>
        <v>Error?</v>
      </c>
    </row>
    <row r="5135" spans="1:4" x14ac:dyDescent="0.2">
      <c r="A5135" s="5">
        <v>5074</v>
      </c>
      <c r="B5135" s="138">
        <f>'Revenues 9-14'!C126</f>
        <v>8893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14786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14863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117224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9843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9843</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8681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8681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28995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28995</v>
      </c>
      <c r="C5326" s="2" t="s">
        <v>594</v>
      </c>
      <c r="D5326" s="2" t="str">
        <f t="shared" si="82"/>
        <v>Error?</v>
      </c>
    </row>
    <row r="5327" spans="1:4" x14ac:dyDescent="0.2">
      <c r="A5327" s="5">
        <v>5266</v>
      </c>
      <c r="B5327" s="138">
        <f>'Revenues 9-14'!C275</f>
        <v>897258</v>
      </c>
      <c r="C5327" s="2" t="s">
        <v>594</v>
      </c>
      <c r="D5327" s="2" t="str">
        <f t="shared" si="82"/>
        <v>Error?</v>
      </c>
    </row>
    <row r="5328" spans="1:4" x14ac:dyDescent="0.2">
      <c r="A5328" s="5">
        <v>5267</v>
      </c>
      <c r="B5328" s="138">
        <f>'Revenues 9-14'!D5</f>
        <v>58338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58338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21284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21284</v>
      </c>
      <c r="C5339" s="2" t="s">
        <v>594</v>
      </c>
      <c r="D5339" s="2" t="str">
        <f t="shared" si="82"/>
        <v>Error?</v>
      </c>
    </row>
    <row r="5340" spans="1:4" x14ac:dyDescent="0.2">
      <c r="A5340" s="5">
        <v>5279</v>
      </c>
      <c r="B5340" s="138">
        <f>'Revenues 9-14'!D65</f>
        <v>659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659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80281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80281</v>
      </c>
      <c r="C5508" s="2" t="s">
        <v>594</v>
      </c>
      <c r="D5508" s="2" t="str">
        <f t="shared" si="85"/>
        <v>Error?</v>
      </c>
    </row>
    <row r="5509" spans="1:4" x14ac:dyDescent="0.2">
      <c r="A5509" s="5">
        <v>5448</v>
      </c>
      <c r="B5509" s="138">
        <f>'Revenues 9-14'!E5</f>
        <v>135272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135272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135419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135419</v>
      </c>
      <c r="C5552" s="2" t="s">
        <v>594</v>
      </c>
      <c r="D5552" s="2" t="str">
        <f t="shared" si="85"/>
        <v>Error?</v>
      </c>
    </row>
    <row r="5553" spans="1:4" x14ac:dyDescent="0.2">
      <c r="A5553" s="5">
        <v>5492</v>
      </c>
      <c r="B5553" s="138">
        <f>'Revenues 9-14'!F5</f>
        <v>38891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38891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39089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29292</v>
      </c>
      <c r="D5615" s="2" t="str">
        <f t="shared" si="86"/>
        <v>Error?</v>
      </c>
    </row>
    <row r="5616" spans="1:4" x14ac:dyDescent="0.2">
      <c r="A5616" s="10">
        <v>5555</v>
      </c>
      <c r="D5616" s="2" t="str">
        <f t="shared" si="86"/>
        <v>OK</v>
      </c>
    </row>
    <row r="5617" spans="1:4" x14ac:dyDescent="0.2">
      <c r="A5617" s="5">
        <v>5556</v>
      </c>
      <c r="B5617" s="138">
        <f>'Revenues 9-14'!F152</f>
        <v>9019</v>
      </c>
      <c r="D5617" s="2" t="str">
        <f t="shared" si="86"/>
        <v>Error?</v>
      </c>
    </row>
    <row r="5618" spans="1:4" x14ac:dyDescent="0.2">
      <c r="A5618" s="5">
        <v>5557</v>
      </c>
      <c r="B5618" s="138">
        <f>'Revenues 9-14'!F154</f>
        <v>38311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38311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38311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77400</v>
      </c>
      <c r="C5720" s="2" t="s">
        <v>594</v>
      </c>
      <c r="D5720" s="2" t="str">
        <f t="shared" si="88"/>
        <v>Error?</v>
      </c>
    </row>
    <row r="5721" spans="1:4" x14ac:dyDescent="0.2">
      <c r="A5721" s="5">
        <v>5660</v>
      </c>
      <c r="B5721" s="138">
        <f>'Revenues 9-14'!G5</f>
        <v>13581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13581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27162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3239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3239</v>
      </c>
      <c r="C5730" s="2" t="s">
        <v>594</v>
      </c>
      <c r="D5730" s="2" t="str">
        <f t="shared" si="88"/>
        <v>Error?</v>
      </c>
    </row>
    <row r="5731" spans="1:4" x14ac:dyDescent="0.2">
      <c r="A5731" s="5">
        <v>5670</v>
      </c>
      <c r="B5731" s="138">
        <f>'Revenues 9-14'!G65</f>
        <v>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30493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16207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16207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16617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80</v>
      </c>
      <c r="C6023" s="2" t="s">
        <v>594</v>
      </c>
      <c r="D6023" s="2" t="str">
        <f t="shared" si="93"/>
        <v>Error?</v>
      </c>
    </row>
    <row r="6024" spans="1:5" x14ac:dyDescent="0.2">
      <c r="A6024" s="5">
        <v>5963</v>
      </c>
      <c r="B6024" s="138">
        <f>'Revenues 9-14'!G109</f>
        <v>30493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16617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12613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79.906000000000006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15910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15910</v>
      </c>
      <c r="D6215" s="2" t="str">
        <f t="shared" si="96"/>
        <v>Error?</v>
      </c>
      <c r="E6215" s="2" t="s">
        <v>199</v>
      </c>
    </row>
    <row r="6216" spans="1:5" x14ac:dyDescent="0.2">
      <c r="A6216">
        <v>6155</v>
      </c>
      <c r="B6216" s="138">
        <f>'Assets-Liab 5-6'!J41</f>
        <v>15910</v>
      </c>
      <c r="D6216" s="2" t="str">
        <f t="shared" si="96"/>
        <v>Error?</v>
      </c>
      <c r="E6216" s="2" t="s">
        <v>199</v>
      </c>
    </row>
    <row r="6217" spans="1:5" x14ac:dyDescent="0.2">
      <c r="A6217">
        <v>6156</v>
      </c>
      <c r="B6217" s="138">
        <f>'Assets-Liab 5-6'!J4</f>
        <v>15910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22783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22783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22783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20471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20471</v>
      </c>
      <c r="D6229" s="2" t="str">
        <f t="shared" si="96"/>
        <v>Error?</v>
      </c>
      <c r="E6229" s="2" t="s">
        <v>199</v>
      </c>
    </row>
    <row r="6230" spans="1:5" x14ac:dyDescent="0.2">
      <c r="A6230">
        <v>6169</v>
      </c>
      <c r="B6230" s="138">
        <f>'Acct Summary 7-8'!J20</f>
        <v>2312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2312</v>
      </c>
      <c r="D6263" s="2" t="str">
        <f t="shared" si="96"/>
        <v>Error?</v>
      </c>
      <c r="E6263" s="2" t="s">
        <v>199</v>
      </c>
    </row>
    <row r="6264" spans="1:5" x14ac:dyDescent="0.2">
      <c r="A6264">
        <v>6203</v>
      </c>
      <c r="B6264" s="138">
        <f>'Acct Summary 7-8'!J79</f>
        <v>13598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15910</v>
      </c>
      <c r="D6266" s="2" t="str">
        <f t="shared" si="96"/>
        <v>Error?</v>
      </c>
      <c r="E6266" s="2" t="s">
        <v>199</v>
      </c>
    </row>
    <row r="6267" spans="1:5" x14ac:dyDescent="0.2">
      <c r="A6267">
        <v>6206</v>
      </c>
      <c r="B6267" s="138">
        <f>'Acct Summary 7-8'!C82</f>
        <v>-85864</v>
      </c>
      <c r="D6267" s="2" t="str">
        <f t="shared" si="96"/>
        <v>Error?</v>
      </c>
      <c r="E6267" s="2" t="s">
        <v>199</v>
      </c>
    </row>
    <row r="6268" spans="1:5" x14ac:dyDescent="0.2">
      <c r="A6268">
        <v>6207</v>
      </c>
      <c r="B6268" s="138">
        <f>'Acct Summary 7-8'!D82</f>
        <v>-28314</v>
      </c>
      <c r="D6268" s="2" t="str">
        <f t="shared" si="96"/>
        <v>Error?</v>
      </c>
      <c r="E6268" s="2" t="s">
        <v>199</v>
      </c>
    </row>
    <row r="6269" spans="1:5" x14ac:dyDescent="0.2">
      <c r="A6269">
        <v>6208</v>
      </c>
      <c r="B6269" s="138">
        <f>'Acct Summary 7-8'!E82</f>
        <v>-64</v>
      </c>
      <c r="D6269" s="2" t="str">
        <f t="shared" si="96"/>
        <v>Error?</v>
      </c>
      <c r="E6269" s="2" t="s">
        <v>199</v>
      </c>
    </row>
    <row r="6270" spans="1:5" x14ac:dyDescent="0.2">
      <c r="A6270">
        <v>6209</v>
      </c>
      <c r="B6270" s="138">
        <f>'Acct Summary 7-8'!F82</f>
        <v>-4638</v>
      </c>
      <c r="D6270" s="2" t="str">
        <f t="shared" si="96"/>
        <v>Error?</v>
      </c>
      <c r="E6270" s="2" t="s">
        <v>199</v>
      </c>
    </row>
    <row r="6271" spans="1:5" x14ac:dyDescent="0.2">
      <c r="A6271">
        <v>6210</v>
      </c>
      <c r="B6271" s="138">
        <f>'Acct Summary 7-8'!G82</f>
        <v>3428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14613</v>
      </c>
      <c r="D6273" s="2" t="str">
        <f t="shared" si="97"/>
        <v>Error?</v>
      </c>
      <c r="E6273" s="2" t="s">
        <v>199</v>
      </c>
    </row>
    <row r="6274" spans="1:5" x14ac:dyDescent="0.2">
      <c r="A6274">
        <v>6213</v>
      </c>
      <c r="B6274" s="138">
        <f>'Acct Summary 7-8'!J82</f>
        <v>2312</v>
      </c>
      <c r="D6274" s="2" t="str">
        <f t="shared" si="97"/>
        <v>Error?</v>
      </c>
      <c r="E6274" s="2" t="s">
        <v>199</v>
      </c>
    </row>
    <row r="6275" spans="1:5" x14ac:dyDescent="0.2">
      <c r="A6275">
        <v>6214</v>
      </c>
      <c r="B6275" s="138">
        <f>'Acct Summary 7-8'!K82</f>
        <v>80</v>
      </c>
      <c r="D6275" s="2" t="str">
        <f t="shared" si="97"/>
        <v>Error?</v>
      </c>
      <c r="E6275" s="2" t="s">
        <v>199</v>
      </c>
    </row>
    <row r="6276" spans="1:5" x14ac:dyDescent="0.2">
      <c r="A6276">
        <v>6215</v>
      </c>
      <c r="B6276" s="138">
        <f>'Acct Summary 7-8'!C83</f>
        <v>-0.2772292572048482</v>
      </c>
      <c r="D6276" s="2" t="str">
        <f t="shared" si="97"/>
        <v>Error?</v>
      </c>
      <c r="E6276" s="2" t="s">
        <v>199</v>
      </c>
    </row>
    <row r="6277" spans="1:5" x14ac:dyDescent="0.2">
      <c r="A6277">
        <v>6216</v>
      </c>
      <c r="B6277" s="138">
        <f>'Acct Summary 7-8'!D83</f>
        <v>-0.17076686469044963</v>
      </c>
      <c r="D6277" s="2" t="str">
        <f t="shared" si="97"/>
        <v>Error?</v>
      </c>
      <c r="E6277" s="2" t="s">
        <v>199</v>
      </c>
    </row>
    <row r="6278" spans="1:5" x14ac:dyDescent="0.2">
      <c r="A6278">
        <v>6217</v>
      </c>
      <c r="B6278" s="138">
        <f>'Acct Summary 7-8'!E83</f>
        <v>-0.69565217391304346</v>
      </c>
      <c r="D6278" s="2" t="str">
        <f t="shared" si="97"/>
        <v>Error?</v>
      </c>
      <c r="E6278" s="2" t="s">
        <v>199</v>
      </c>
    </row>
    <row r="6279" spans="1:5" x14ac:dyDescent="0.2">
      <c r="A6279">
        <v>6218</v>
      </c>
      <c r="B6279" s="138">
        <f>'Acct Summary 7-8'!F83</f>
        <v>-8.210884112877527E-2</v>
      </c>
      <c r="D6279" s="2" t="str">
        <f t="shared" si="97"/>
        <v>Error?</v>
      </c>
      <c r="E6279" s="2" t="s">
        <v>199</v>
      </c>
    </row>
    <row r="6280" spans="1:5" x14ac:dyDescent="0.2">
      <c r="A6280">
        <v>6219</v>
      </c>
      <c r="B6280" s="138">
        <f>'Acct Summary 7-8'!G83</f>
        <v>0.29636033543701912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0.12896023439292587</v>
      </c>
      <c r="D6282" s="2" t="str">
        <f t="shared" si="97"/>
        <v>Error?</v>
      </c>
      <c r="E6282" s="2" t="s">
        <v>199</v>
      </c>
    </row>
    <row r="6283" spans="1:5" x14ac:dyDescent="0.2">
      <c r="A6283">
        <v>6222</v>
      </c>
      <c r="B6283" s="138">
        <f>'Acct Summary 7-8'!J83</f>
        <v>0.14531741043368951</v>
      </c>
      <c r="D6283" s="2" t="str">
        <f t="shared" si="97"/>
        <v>Error?</v>
      </c>
      <c r="E6283" s="2" t="s">
        <v>199</v>
      </c>
    </row>
    <row r="6284" spans="1:5" x14ac:dyDescent="0.2">
      <c r="A6284">
        <v>6223</v>
      </c>
      <c r="B6284" s="138">
        <f>'Acct Summary 7-8'!K83</f>
        <v>3.7174721189591076E-3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22687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22687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22783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20569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22798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1500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35464</v>
      </c>
      <c r="D6983" s="2" t="str">
        <f t="shared" si="108"/>
        <v>Error?</v>
      </c>
    </row>
    <row r="6984" spans="1:4" x14ac:dyDescent="0.2">
      <c r="A6984">
        <v>6923</v>
      </c>
      <c r="B6984" s="138">
        <f>'Expenditures 15-22'!K86</f>
        <v>35464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35464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20471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22783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471</v>
      </c>
      <c r="D7073" s="2" t="str">
        <f t="shared" si="109"/>
        <v>Error?</v>
      </c>
    </row>
    <row r="7074" spans="1:4" x14ac:dyDescent="0.2">
      <c r="A7074">
        <v>7013</v>
      </c>
      <c r="B7074" s="138">
        <f>'Expenditures 15-22'!K216</f>
        <v>471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9960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9960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20471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20471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20471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20471</v>
      </c>
      <c r="D7224" s="2" t="str">
        <f t="shared" si="111"/>
        <v>Error?</v>
      </c>
    </row>
    <row r="7225" spans="1:4" x14ac:dyDescent="0.2">
      <c r="A7225">
        <v>7164</v>
      </c>
      <c r="B7225" s="138">
        <f>'Expenditures 15-22'!K343</f>
        <v>2312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2229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51059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5200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5200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6482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2004</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11690</v>
      </c>
      <c r="D7797" s="2" t="str">
        <f t="shared" si="127"/>
        <v>Error?</v>
      </c>
      <c r="E7797" s="4" t="s">
        <v>2020</v>
      </c>
    </row>
    <row r="7798" spans="1:5" x14ac:dyDescent="0.2">
      <c r="A7798">
        <v>7737</v>
      </c>
      <c r="B7798" s="138">
        <f>'Contracts Paid in CY 29'!F141</f>
        <v>11690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Deer Park CCSD 82</v>
      </c>
      <c r="B7" s="2404"/>
      <c r="C7" s="2404"/>
      <c r="D7" s="2441"/>
      <c r="E7" s="2442">
        <f>COVER!A13</f>
        <v>35050082004</v>
      </c>
      <c r="F7" s="2443"/>
      <c r="G7" s="2410" t="str">
        <f>COVER!T23</f>
        <v>066-004501</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HOPKINS &amp; ASSOCIATES, CPAS</v>
      </c>
      <c r="H9" s="2417"/>
      <c r="I9" s="2417"/>
      <c r="J9" s="2417"/>
      <c r="K9" s="2417"/>
      <c r="L9" s="2418"/>
    </row>
    <row r="10" spans="1:29" ht="13.5" customHeight="1" x14ac:dyDescent="0.2">
      <c r="A10" s="2400" t="str">
        <f>COVER!A38</f>
        <v>MIKE STRUNA</v>
      </c>
      <c r="B10" s="2401"/>
      <c r="C10" s="2401"/>
      <c r="D10" s="2401"/>
      <c r="E10" s="2401"/>
      <c r="F10" s="2402"/>
      <c r="G10" s="2416" t="str">
        <f>COVER!T17</f>
        <v>314 SOUTH MCCOY ST.</v>
      </c>
      <c r="H10" s="2429"/>
      <c r="I10" s="2429"/>
      <c r="J10" s="2429"/>
      <c r="K10" s="2429"/>
      <c r="L10" s="2430"/>
    </row>
    <row r="11" spans="1:29" ht="13.5" customHeight="1" x14ac:dyDescent="0.2">
      <c r="A11" s="1185" t="s">
        <v>1599</v>
      </c>
      <c r="B11" s="1186"/>
      <c r="C11" s="1187"/>
      <c r="D11" s="1192"/>
      <c r="E11" s="1187"/>
      <c r="F11" s="1191"/>
      <c r="G11" s="2416" t="str">
        <f>COVER!T19</f>
        <v>GRANVILLE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joel@hopkinsoffice.com</v>
      </c>
      <c r="J13" s="2438"/>
      <c r="K13" s="2438"/>
      <c r="L13" s="2439"/>
    </row>
    <row r="14" spans="1:29" ht="13.5" customHeight="1" x14ac:dyDescent="0.2">
      <c r="A14" s="2416" t="str">
        <f>COVER!A19</f>
        <v>2350 EAST 1250TH ROAD</v>
      </c>
      <c r="B14" s="2429"/>
      <c r="C14" s="2429"/>
      <c r="D14" s="2429"/>
      <c r="E14" s="2429"/>
      <c r="F14" s="2430"/>
      <c r="G14" s="1196" t="s">
        <v>1247</v>
      </c>
      <c r="H14" s="1194"/>
      <c r="I14" s="1194"/>
      <c r="J14" s="1194"/>
      <c r="K14" s="1194"/>
      <c r="L14" s="1195"/>
    </row>
    <row r="15" spans="1:29" ht="13.5" customHeight="1" x14ac:dyDescent="0.2">
      <c r="A15" s="2416" t="str">
        <f>COVER!A21</f>
        <v>OTTAWA</v>
      </c>
      <c r="B15" s="2429"/>
      <c r="C15" s="2429"/>
      <c r="D15" s="2429"/>
      <c r="E15" s="2429"/>
      <c r="F15" s="2430"/>
      <c r="G15" s="2426" t="str">
        <f>COVER!T15</f>
        <v>JOEL HOPKINS</v>
      </c>
      <c r="H15" s="2427"/>
      <c r="I15" s="2427"/>
      <c r="J15" s="2427"/>
      <c r="K15" s="2427"/>
      <c r="L15" s="2428"/>
    </row>
    <row r="16" spans="1:29" ht="12.2" customHeight="1" x14ac:dyDescent="0.2">
      <c r="A16" s="2406">
        <f>COVER!A25</f>
        <v>61350</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815-339-6630</v>
      </c>
      <c r="H18" s="2404"/>
      <c r="I18" s="2404"/>
      <c r="J18" s="2404"/>
      <c r="K18" s="2403" t="str">
        <f>COVER!X21</f>
        <v>815-339-6643</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Deer Park CCSD 82</v>
      </c>
      <c r="B1" s="2440"/>
      <c r="C1" s="2440"/>
      <c r="D1" s="2440"/>
    </row>
    <row r="2" spans="1:11" s="1215" customFormat="1" ht="12.75" x14ac:dyDescent="0.2">
      <c r="A2" s="2445">
        <f>'Single Audit Cover'!E7</f>
        <v>35050082004</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Deer Park CCSD 82</v>
      </c>
      <c r="B1" s="2448"/>
      <c r="C1" s="2448"/>
      <c r="D1" s="2448"/>
      <c r="E1" s="2448"/>
    </row>
    <row r="2" spans="1:5" x14ac:dyDescent="0.2">
      <c r="A2" s="2449">
        <f>'Single Audit Cover'!E7</f>
        <v>35050082004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28995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28995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28995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28995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Deer Park CCSD 82</v>
      </c>
      <c r="B1" s="2453"/>
      <c r="C1" s="2453"/>
      <c r="D1" s="2453"/>
      <c r="E1" s="2453"/>
      <c r="F1" s="2453"/>
    </row>
    <row r="2" spans="1:7" ht="13.5" customHeight="1" x14ac:dyDescent="0.2">
      <c r="A2" s="2454">
        <f>'Single Audit Cover'!E7</f>
        <v>35050082004</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Deer Park CCSD 82</v>
      </c>
      <c r="C1" s="2465"/>
      <c r="D1" s="2465"/>
      <c r="E1" s="2465"/>
      <c r="F1" s="2465"/>
      <c r="G1" s="2465"/>
      <c r="H1" s="2465"/>
      <c r="I1" s="2465"/>
      <c r="J1" s="2465"/>
      <c r="K1" s="2465"/>
      <c r="L1" s="2465"/>
      <c r="M1" s="2465"/>
    </row>
    <row r="2" spans="2:14" ht="15" x14ac:dyDescent="0.2">
      <c r="B2" s="2454">
        <f>'Single Audit Cover'!E7</f>
        <v>35050082004</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2099</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Deer Park CCSD 82</v>
      </c>
      <c r="C1" s="2473"/>
      <c r="D1" s="2473"/>
      <c r="E1" s="2473"/>
      <c r="F1" s="2473"/>
      <c r="G1" s="2473"/>
      <c r="H1" s="2473"/>
      <c r="I1" s="2473"/>
      <c r="J1" s="1422"/>
    </row>
    <row r="2" spans="2:10" s="317" customFormat="1" ht="12.75" customHeight="1" x14ac:dyDescent="0.2">
      <c r="B2" s="2474">
        <f>'Single Audit Cover'!E7</f>
        <v>35050082004</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Deer Park CCSD 82</v>
      </c>
      <c r="C1" s="2472"/>
      <c r="D1" s="2472"/>
      <c r="E1" s="2472"/>
      <c r="F1" s="2472"/>
      <c r="G1" s="2472"/>
      <c r="H1" s="2472"/>
      <c r="I1" s="2472"/>
      <c r="J1" s="2472"/>
      <c r="K1" s="2472"/>
      <c r="L1" s="1374"/>
      <c r="M1" s="1374"/>
    </row>
    <row r="2" spans="1:13" ht="12" customHeight="1" x14ac:dyDescent="0.2">
      <c r="B2" s="2474">
        <f>'Single Audit Cover'!E7</f>
        <v>35050082004</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Deer Park CCSD 82</v>
      </c>
      <c r="C1" s="2499"/>
      <c r="D1" s="2499"/>
      <c r="E1" s="2499"/>
      <c r="F1" s="2499"/>
      <c r="G1" s="2499"/>
      <c r="H1" s="2499"/>
      <c r="I1" s="2499"/>
      <c r="J1" s="2499"/>
      <c r="K1" s="2499"/>
      <c r="L1" s="1465"/>
    </row>
    <row r="2" spans="1:12" ht="12.75" customHeight="1" x14ac:dyDescent="0.2">
      <c r="B2" s="2500">
        <f>'Single Audit Cover'!E7</f>
        <v>35050082004</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Deer Park CCSD 82</v>
      </c>
      <c r="C1" s="2472"/>
      <c r="D1" s="2472"/>
      <c r="E1" s="1491"/>
    </row>
    <row r="2" spans="2:5" s="1282" customFormat="1" ht="12.75" customHeight="1" x14ac:dyDescent="0.2">
      <c r="B2" s="2474">
        <f>'Single Audit Cover'!E7</f>
        <v>35050082004</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33469733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2.0673400000000001E-2</v>
      </c>
      <c r="E10" s="356" t="s">
        <v>1062</v>
      </c>
      <c r="F10" s="355">
        <v>2.0095E-3</v>
      </c>
      <c r="G10" s="356" t="s">
        <v>1062</v>
      </c>
      <c r="H10" s="355">
        <v>1.1999999999999999E-3</v>
      </c>
      <c r="I10" s="356" t="s">
        <v>1063</v>
      </c>
      <c r="J10" s="1754">
        <f>ROUND(D10+F10+H10,5)</f>
        <v>2.3879999999999998E-2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1071556</v>
      </c>
      <c r="E16" s="356"/>
      <c r="F16" s="1755">
        <f>SUM('Acct Summary 7-8'!C17,'Acct Summary 7-8'!D17,'Acct Summary 7-8'!F17)</f>
        <v>1173755</v>
      </c>
      <c r="G16" s="356"/>
      <c r="H16" s="1755">
        <f>SUM(D16-F16)</f>
        <v>-102199</v>
      </c>
      <c r="I16" s="222"/>
      <c r="J16" s="1755">
        <f>SUM('Acct Summary 7-8'!C81,'Acct Summary 7-8'!D81,'Acct Summary 7-8'!F81,'Acct Summary 7-8'!I81)</f>
        <v>645327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2309411.577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Deer Park CCSD 82</v>
      </c>
      <c r="E7" s="391"/>
      <c r="G7" s="252"/>
      <c r="H7" s="387"/>
      <c r="I7" s="387"/>
      <c r="J7" s="387"/>
      <c r="K7" s="387"/>
      <c r="L7" s="329"/>
      <c r="M7" s="329"/>
      <c r="N7" s="329"/>
      <c r="O7" s="329"/>
      <c r="P7" s="329"/>
    </row>
    <row r="8" spans="1:18" ht="12.75" x14ac:dyDescent="0.2">
      <c r="A8" s="329"/>
      <c r="B8" s="329"/>
      <c r="C8" s="389" t="s">
        <v>1187</v>
      </c>
      <c r="D8" s="392">
        <f>COVER!A13</f>
        <v>35050082004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645327</v>
      </c>
      <c r="I12" s="404"/>
      <c r="J12" s="404"/>
      <c r="K12" s="405">
        <f>TRUNC((H12/H13*100000),5)/100000</f>
        <v>0.60223357430000002</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1071556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1173755</v>
      </c>
      <c r="I17" s="404"/>
      <c r="J17" s="416"/>
      <c r="K17" s="405">
        <f>TRUNC((H17/H18*100000),5)/100000</f>
        <v>1.0953743900999999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1071556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5.2659164000000001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645327</v>
      </c>
      <c r="I24" s="422"/>
      <c r="J24" s="422"/>
      <c r="K24" s="423">
        <f>TRUNC(((H24/H25*100000)/100000),2)</f>
        <v>197.92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3260.4305599999998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679368.64043000003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815000</v>
      </c>
      <c r="I32" s="420"/>
      <c r="J32" s="420"/>
      <c r="K32" s="423">
        <f>TRUNC(100-((((H32/H33*100))*100)/100),2)</f>
        <v>64.7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2309411.577</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A47" sqref="A47"/>
      <selection pane="bottomLeft" activeCell="A45" sqref="A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f>27899+237287+2000+42537-1</f>
        <v>309722</v>
      </c>
      <c r="D4" s="466">
        <f>971+2572+106857+55405</f>
        <v>165805</v>
      </c>
      <c r="E4" s="466">
        <v>92</v>
      </c>
      <c r="F4" s="466">
        <v>56486</v>
      </c>
      <c r="G4" s="466">
        <v>11567</v>
      </c>
      <c r="H4" s="466"/>
      <c r="I4" s="466">
        <v>113314</v>
      </c>
      <c r="J4" s="467">
        <v>15910</v>
      </c>
      <c r="K4" s="466">
        <v>21520</v>
      </c>
      <c r="L4" s="466">
        <v>9494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309722</v>
      </c>
      <c r="D13" s="1759">
        <f t="shared" ref="D13:L13" si="0">SUM(D4:D12)</f>
        <v>165805</v>
      </c>
      <c r="E13" s="1759">
        <f t="shared" si="0"/>
        <v>92</v>
      </c>
      <c r="F13" s="1759">
        <f t="shared" si="0"/>
        <v>56486</v>
      </c>
      <c r="G13" s="1759">
        <f t="shared" si="0"/>
        <v>11567</v>
      </c>
      <c r="H13" s="1759">
        <f t="shared" si="0"/>
        <v>0</v>
      </c>
      <c r="I13" s="1759">
        <f t="shared" si="0"/>
        <v>113314</v>
      </c>
      <c r="J13" s="1759">
        <f t="shared" si="0"/>
        <v>15910</v>
      </c>
      <c r="K13" s="1759">
        <f t="shared" si="0"/>
        <v>21520</v>
      </c>
      <c r="L13" s="1759">
        <f t="shared" si="0"/>
        <v>9494</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v>
      </c>
      <c r="N16" s="484"/>
    </row>
    <row r="17" spans="1:14" s="485" customFormat="1" ht="12.75" customHeight="1" x14ac:dyDescent="0.2">
      <c r="A17" s="482" t="s">
        <v>1470</v>
      </c>
      <c r="B17" s="483">
        <v>230</v>
      </c>
      <c r="C17" s="477"/>
      <c r="D17" s="477"/>
      <c r="E17" s="477"/>
      <c r="F17" s="477"/>
      <c r="G17" s="477"/>
      <c r="H17" s="477"/>
      <c r="I17" s="477"/>
      <c r="J17" s="477"/>
      <c r="K17" s="477"/>
      <c r="L17" s="477"/>
      <c r="M17" s="467">
        <v>2049213</v>
      </c>
      <c r="N17" s="484"/>
    </row>
    <row r="18" spans="1:14" s="485" customFormat="1" ht="12.75" customHeight="1" x14ac:dyDescent="0.2">
      <c r="A18" s="482" t="s">
        <v>1471</v>
      </c>
      <c r="B18" s="483">
        <v>240</v>
      </c>
      <c r="C18" s="477"/>
      <c r="D18" s="477"/>
      <c r="E18" s="477"/>
      <c r="F18" s="477"/>
      <c r="G18" s="477"/>
      <c r="H18" s="477"/>
      <c r="I18" s="477"/>
      <c r="J18" s="477"/>
      <c r="K18" s="477"/>
      <c r="L18" s="477"/>
      <c r="M18" s="467">
        <v>23600</v>
      </c>
      <c r="N18" s="484"/>
    </row>
    <row r="19" spans="1:14" s="485" customFormat="1" ht="12.75" customHeight="1" x14ac:dyDescent="0.2">
      <c r="A19" s="482" t="s">
        <v>1472</v>
      </c>
      <c r="B19" s="483">
        <v>250</v>
      </c>
      <c r="C19" s="477"/>
      <c r="D19" s="477"/>
      <c r="E19" s="477"/>
      <c r="F19" s="477"/>
      <c r="G19" s="477"/>
      <c r="H19" s="477"/>
      <c r="I19" s="477"/>
      <c r="J19" s="477"/>
      <c r="K19" s="477"/>
      <c r="L19" s="477"/>
      <c r="M19" s="467">
        <f>218916+22372</f>
        <v>241288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814908</v>
      </c>
    </row>
    <row r="23" spans="1:14" ht="13.5" customHeight="1" thickBot="1" x14ac:dyDescent="0.25">
      <c r="A23" s="1758" t="s">
        <v>664</v>
      </c>
      <c r="B23" s="1763"/>
      <c r="C23" s="468"/>
      <c r="D23" s="468"/>
      <c r="E23" s="468"/>
      <c r="F23" s="468"/>
      <c r="G23" s="468"/>
      <c r="H23" s="468"/>
      <c r="I23" s="468"/>
      <c r="J23" s="468"/>
      <c r="K23" s="468"/>
      <c r="L23" s="468"/>
      <c r="M23" s="1710">
        <f>SUM(M15:M22)</f>
        <v>2319101</v>
      </c>
      <c r="N23" s="1710">
        <f>SUM(N21:N22)</f>
        <v>815000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9494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9494</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815000</v>
      </c>
    </row>
    <row r="37" spans="1:14" ht="13.5" thickBot="1" x14ac:dyDescent="0.25">
      <c r="A37" s="1758" t="s">
        <v>674</v>
      </c>
      <c r="B37" s="1763"/>
      <c r="C37" s="477"/>
      <c r="D37" s="477"/>
      <c r="E37" s="477"/>
      <c r="F37" s="477"/>
      <c r="G37" s="477"/>
      <c r="H37" s="477"/>
      <c r="I37" s="477"/>
      <c r="J37" s="477"/>
      <c r="K37" s="477"/>
      <c r="L37" s="480"/>
      <c r="M37" s="468"/>
      <c r="N37" s="1710">
        <f>SUM(N36:N36)</f>
        <v>815000</v>
      </c>
    </row>
    <row r="38" spans="1:14" s="329" customFormat="1" ht="13.5" customHeight="1" thickTop="1" x14ac:dyDescent="0.2">
      <c r="A38" s="496" t="s">
        <v>440</v>
      </c>
      <c r="B38" s="483">
        <v>714</v>
      </c>
      <c r="C38" s="466">
        <v>8855</v>
      </c>
      <c r="D38" s="466"/>
      <c r="E38" s="466"/>
      <c r="F38" s="466"/>
      <c r="G38" s="466"/>
      <c r="H38" s="466"/>
      <c r="I38" s="466"/>
      <c r="J38" s="467"/>
      <c r="K38" s="466"/>
      <c r="L38" s="481"/>
      <c r="M38" s="497"/>
      <c r="N38" s="497"/>
    </row>
    <row r="39" spans="1:14" s="329" customFormat="1" ht="13.5" customHeight="1" x14ac:dyDescent="0.2">
      <c r="A39" s="496" t="s">
        <v>360</v>
      </c>
      <c r="B39" s="483">
        <v>730</v>
      </c>
      <c r="C39" s="466">
        <f>309722-8855</f>
        <v>300867</v>
      </c>
      <c r="D39" s="466">
        <v>165805</v>
      </c>
      <c r="E39" s="466">
        <v>92</v>
      </c>
      <c r="F39" s="466">
        <v>56486</v>
      </c>
      <c r="G39" s="466">
        <v>11567</v>
      </c>
      <c r="H39" s="466"/>
      <c r="I39" s="466">
        <v>113314</v>
      </c>
      <c r="J39" s="467">
        <v>15910</v>
      </c>
      <c r="K39" s="466">
        <v>21520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2319101</v>
      </c>
      <c r="N40" s="497"/>
    </row>
    <row r="41" spans="1:14" ht="13.5" customHeight="1" thickBot="1" x14ac:dyDescent="0.25">
      <c r="A41" s="1758" t="s">
        <v>676</v>
      </c>
      <c r="B41" s="1728"/>
      <c r="C41" s="1710">
        <f>(SUM(C34,C37,C38,C39))</f>
        <v>309722</v>
      </c>
      <c r="D41" s="1710">
        <f t="shared" ref="D41:L41" si="2">SUM(D34,D37,D38:D39)</f>
        <v>165805</v>
      </c>
      <c r="E41" s="1710">
        <f t="shared" si="2"/>
        <v>92</v>
      </c>
      <c r="F41" s="1710">
        <f t="shared" si="2"/>
        <v>56486</v>
      </c>
      <c r="G41" s="1710">
        <f t="shared" si="2"/>
        <v>11567</v>
      </c>
      <c r="H41" s="1710">
        <f t="shared" si="2"/>
        <v>0</v>
      </c>
      <c r="I41" s="1710">
        <f t="shared" si="2"/>
        <v>113314</v>
      </c>
      <c r="J41" s="1710">
        <f t="shared" si="2"/>
        <v>15910</v>
      </c>
      <c r="K41" s="1710">
        <f t="shared" si="2"/>
        <v>21520</v>
      </c>
      <c r="L41" s="1710">
        <f t="shared" si="2"/>
        <v>9494</v>
      </c>
      <c r="M41" s="1710">
        <f>SUM(M40)</f>
        <v>2319101</v>
      </c>
      <c r="N41" s="1710">
        <f>SUM(N37)</f>
        <v>815000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&amp;F&amp;CSee Accompanying Notes to the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2153" t="s">
        <v>1579</v>
      </c>
      <c r="B4" s="2154"/>
      <c r="C4" s="1764">
        <f>'Revenues 9-14'!C109</f>
        <v>751039</v>
      </c>
      <c r="D4" s="1764">
        <f>'Revenues 9-14'!D109</f>
        <v>80281</v>
      </c>
      <c r="E4" s="1764">
        <f>'Revenues 9-14'!E109</f>
        <v>135419</v>
      </c>
      <c r="F4" s="1764">
        <f>'Revenues 9-14'!F109</f>
        <v>39089</v>
      </c>
      <c r="G4" s="1764">
        <f>'Revenues 9-14'!G109</f>
        <v>30493</v>
      </c>
      <c r="H4" s="1764">
        <f>'Revenues 9-14'!H109</f>
        <v>0</v>
      </c>
      <c r="I4" s="1764">
        <f>'Revenues 9-14'!I109</f>
        <v>16617</v>
      </c>
      <c r="J4" s="1764">
        <f>'Revenues 9-14'!J109</f>
        <v>22783</v>
      </c>
      <c r="K4" s="1764">
        <f>'Revenues 9-14'!K109</f>
        <v>80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117224</v>
      </c>
      <c r="D6" s="1765">
        <f>'Revenues 9-14'!D173</f>
        <v>0</v>
      </c>
      <c r="E6" s="1765">
        <f>'Revenues 9-14'!E173</f>
        <v>0</v>
      </c>
      <c r="F6" s="1765">
        <f>'Revenues 9-14'!F173</f>
        <v>38311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28995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897258</v>
      </c>
      <c r="D8" s="1710">
        <f t="shared" ref="D8:K8" si="0">SUM(D4:D7)</f>
        <v>80281</v>
      </c>
      <c r="E8" s="1710">
        <f t="shared" si="0"/>
        <v>135419</v>
      </c>
      <c r="F8" s="1710">
        <f t="shared" si="0"/>
        <v>77400</v>
      </c>
      <c r="G8" s="1710">
        <f t="shared" si="0"/>
        <v>30493</v>
      </c>
      <c r="H8" s="1710">
        <f t="shared" si="0"/>
        <v>0</v>
      </c>
      <c r="I8" s="1710">
        <f t="shared" si="0"/>
        <v>16617</v>
      </c>
      <c r="J8" s="1710">
        <f t="shared" si="0"/>
        <v>22783</v>
      </c>
      <c r="K8" s="1710">
        <f t="shared" si="0"/>
        <v>80</v>
      </c>
      <c r="L8" s="347"/>
    </row>
    <row r="9" spans="1:13" ht="15.75" thickTop="1" x14ac:dyDescent="0.2">
      <c r="A9" s="514" t="s">
        <v>1752</v>
      </c>
      <c r="B9" s="515">
        <v>3998</v>
      </c>
      <c r="C9" s="481">
        <v>394462</v>
      </c>
      <c r="D9" s="516"/>
      <c r="E9" s="481"/>
      <c r="F9" s="481"/>
      <c r="G9" s="517"/>
      <c r="H9" s="481"/>
      <c r="I9" s="509" t="s">
        <v>1231</v>
      </c>
      <c r="J9" s="478"/>
      <c r="K9" s="481"/>
      <c r="L9" s="347"/>
    </row>
    <row r="10" spans="1:13" s="519" customFormat="1" ht="13.5" thickBot="1" x14ac:dyDescent="0.25">
      <c r="A10" s="1758" t="s">
        <v>1235</v>
      </c>
      <c r="B10" s="1731"/>
      <c r="C10" s="1710">
        <f>SUM(C8:C9)</f>
        <v>1291720</v>
      </c>
      <c r="D10" s="1710">
        <f t="shared" ref="D10:K10" si="1">SUM(D8:D9)</f>
        <v>80281</v>
      </c>
      <c r="E10" s="1710">
        <f t="shared" si="1"/>
        <v>135419</v>
      </c>
      <c r="F10" s="1710">
        <f t="shared" si="1"/>
        <v>77400</v>
      </c>
      <c r="G10" s="1710">
        <f t="shared" si="1"/>
        <v>30493</v>
      </c>
      <c r="H10" s="1710">
        <f t="shared" si="1"/>
        <v>0</v>
      </c>
      <c r="I10" s="1710">
        <f t="shared" si="1"/>
        <v>16617</v>
      </c>
      <c r="J10" s="1710">
        <f t="shared" si="1"/>
        <v>22783</v>
      </c>
      <c r="K10" s="1710">
        <f t="shared" si="1"/>
        <v>80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653388</v>
      </c>
      <c r="D12" s="520" t="s">
        <v>1231</v>
      </c>
      <c r="E12" s="468" t="s">
        <v>1231</v>
      </c>
      <c r="F12" s="468" t="s">
        <v>1231</v>
      </c>
      <c r="G12" s="1764">
        <f>'Expenditures 15-22'!K229</f>
        <v>6759</v>
      </c>
      <c r="H12" s="521"/>
      <c r="I12" s="468" t="s">
        <v>1231</v>
      </c>
      <c r="J12" s="468" t="s">
        <v>1231</v>
      </c>
      <c r="K12" s="521" t="s">
        <v>1231</v>
      </c>
      <c r="L12" s="347"/>
    </row>
    <row r="13" spans="1:13" ht="15.75" customHeight="1" x14ac:dyDescent="0.2">
      <c r="A13" s="1598" t="s">
        <v>477</v>
      </c>
      <c r="B13" s="1600">
        <v>2000</v>
      </c>
      <c r="C13" s="1765">
        <f>'Expenditures 15-22'!K74</f>
        <v>236309</v>
      </c>
      <c r="D13" s="1765">
        <f>'Expenditures 15-22'!K129</f>
        <v>108595</v>
      </c>
      <c r="E13" s="469" t="s">
        <v>1231</v>
      </c>
      <c r="F13" s="1765">
        <f>'Expenditures 15-22'!K184</f>
        <v>82038</v>
      </c>
      <c r="G13" s="1765">
        <f>'Expenditures 15-22'!K279</f>
        <v>20306</v>
      </c>
      <c r="H13" s="1765">
        <f>'Expenditures 15-22'!K303</f>
        <v>0</v>
      </c>
      <c r="I13" s="468" t="s">
        <v>1231</v>
      </c>
      <c r="J13" s="1765">
        <f>'Expenditures 15-22'!K330</f>
        <v>20471</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93425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137487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983122</v>
      </c>
      <c r="D17" s="1710">
        <f t="shared" si="2"/>
        <v>108595</v>
      </c>
      <c r="E17" s="1710">
        <f t="shared" si="2"/>
        <v>137487</v>
      </c>
      <c r="F17" s="1710">
        <f t="shared" si="2"/>
        <v>82038</v>
      </c>
      <c r="G17" s="1710">
        <f t="shared" si="2"/>
        <v>27065</v>
      </c>
      <c r="H17" s="1710">
        <f t="shared" si="2"/>
        <v>0</v>
      </c>
      <c r="I17" s="468"/>
      <c r="J17" s="1710">
        <f>SUM(J12:J16)</f>
        <v>20471</v>
      </c>
      <c r="K17" s="1710">
        <f>SUM(K12:K16)</f>
        <v>0</v>
      </c>
      <c r="L17" s="347"/>
    </row>
    <row r="18" spans="1:12" ht="15" customHeight="1" thickTop="1" x14ac:dyDescent="0.2">
      <c r="A18" s="1766" t="s">
        <v>1753</v>
      </c>
      <c r="B18" s="1767">
        <v>4180</v>
      </c>
      <c r="C18" s="1764">
        <f t="shared" ref="C18:H18" si="3">C9</f>
        <v>394462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1377584</v>
      </c>
      <c r="D19" s="1710">
        <f t="shared" si="4"/>
        <v>108595</v>
      </c>
      <c r="E19" s="1710">
        <f t="shared" si="4"/>
        <v>137487</v>
      </c>
      <c r="F19" s="1710">
        <f t="shared" si="4"/>
        <v>82038</v>
      </c>
      <c r="G19" s="1710">
        <f t="shared" si="4"/>
        <v>27065</v>
      </c>
      <c r="H19" s="1710">
        <f t="shared" si="4"/>
        <v>0</v>
      </c>
      <c r="I19" s="468"/>
      <c r="J19" s="1710">
        <f>SUM(J17:J18)</f>
        <v>20471</v>
      </c>
      <c r="K19" s="1710">
        <f>SUM(K17:K18)</f>
        <v>0</v>
      </c>
      <c r="L19" s="347"/>
    </row>
    <row r="20" spans="1:12" ht="16.5" thickTop="1" thickBot="1" x14ac:dyDescent="0.25">
      <c r="A20" s="2141" t="s">
        <v>1754</v>
      </c>
      <c r="B20" s="2142"/>
      <c r="C20" s="1768">
        <f>C8-C17</f>
        <v>-85864</v>
      </c>
      <c r="D20" s="1768">
        <f t="shared" ref="D20:K20" si="5">D8-D17</f>
        <v>-28314</v>
      </c>
      <c r="E20" s="1768">
        <f t="shared" si="5"/>
        <v>-2068</v>
      </c>
      <c r="F20" s="1768">
        <f t="shared" si="5"/>
        <v>-4638</v>
      </c>
      <c r="G20" s="1768">
        <f t="shared" si="5"/>
        <v>3428</v>
      </c>
      <c r="H20" s="1768">
        <f t="shared" si="5"/>
        <v>0</v>
      </c>
      <c r="I20" s="1768">
        <f t="shared" si="5"/>
        <v>16617</v>
      </c>
      <c r="J20" s="1768">
        <f t="shared" si="5"/>
        <v>2312</v>
      </c>
      <c r="K20" s="1768">
        <f t="shared" si="5"/>
        <v>80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v>2004</v>
      </c>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2004</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2004</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1" t="s">
        <v>460</v>
      </c>
      <c r="B76" s="2162"/>
      <c r="C76" s="1725">
        <f t="shared" ref="C76:K76" si="7">SUM(C47:C75)</f>
        <v>0</v>
      </c>
      <c r="D76" s="1725">
        <f t="shared" si="7"/>
        <v>0</v>
      </c>
      <c r="E76" s="1725">
        <f t="shared" si="7"/>
        <v>0</v>
      </c>
      <c r="F76" s="1725">
        <f t="shared" si="7"/>
        <v>0</v>
      </c>
      <c r="G76" s="1725">
        <f t="shared" si="7"/>
        <v>0</v>
      </c>
      <c r="H76" s="1725">
        <f t="shared" si="7"/>
        <v>0</v>
      </c>
      <c r="I76" s="1725">
        <f t="shared" si="7"/>
        <v>2004</v>
      </c>
      <c r="J76" s="1725">
        <f t="shared" si="7"/>
        <v>0</v>
      </c>
      <c r="K76" s="1725">
        <f t="shared" si="7"/>
        <v>0</v>
      </c>
      <c r="L76" s="524"/>
    </row>
    <row r="77" spans="1:12" ht="14.25" thickTop="1" thickBot="1" x14ac:dyDescent="0.25">
      <c r="A77" s="2133" t="s">
        <v>1239</v>
      </c>
      <c r="B77" s="2134"/>
      <c r="C77" s="1725">
        <f t="shared" ref="C77:K77" si="8">C44-C76</f>
        <v>0</v>
      </c>
      <c r="D77" s="1725">
        <f t="shared" si="8"/>
        <v>0</v>
      </c>
      <c r="E77" s="1725">
        <f t="shared" si="8"/>
        <v>2004</v>
      </c>
      <c r="F77" s="1725">
        <f t="shared" si="8"/>
        <v>0</v>
      </c>
      <c r="G77" s="1725">
        <f t="shared" si="8"/>
        <v>0</v>
      </c>
      <c r="H77" s="1725">
        <f t="shared" si="8"/>
        <v>0</v>
      </c>
      <c r="I77" s="1725">
        <f t="shared" si="8"/>
        <v>-2004</v>
      </c>
      <c r="J77" s="1725">
        <f t="shared" si="8"/>
        <v>0</v>
      </c>
      <c r="K77" s="1725">
        <f t="shared" si="8"/>
        <v>0</v>
      </c>
      <c r="L77" s="347"/>
    </row>
    <row r="78" spans="1:12" ht="21.75" customHeight="1" thickTop="1" thickBot="1" x14ac:dyDescent="0.25">
      <c r="A78" s="2137" t="s">
        <v>618</v>
      </c>
      <c r="B78" s="2138"/>
      <c r="C78" s="1724">
        <f t="shared" ref="C78:K78" si="9">C20+C77</f>
        <v>-85864</v>
      </c>
      <c r="D78" s="1724">
        <f t="shared" si="9"/>
        <v>-28314</v>
      </c>
      <c r="E78" s="1724">
        <f t="shared" si="9"/>
        <v>-64</v>
      </c>
      <c r="F78" s="1724">
        <f t="shared" si="9"/>
        <v>-4638</v>
      </c>
      <c r="G78" s="1724">
        <f t="shared" si="9"/>
        <v>3428</v>
      </c>
      <c r="H78" s="1724">
        <f t="shared" si="9"/>
        <v>0</v>
      </c>
      <c r="I78" s="1724">
        <f t="shared" si="9"/>
        <v>14613</v>
      </c>
      <c r="J78" s="1724">
        <f t="shared" si="9"/>
        <v>2312</v>
      </c>
      <c r="K78" s="1724">
        <f t="shared" si="9"/>
        <v>80</v>
      </c>
      <c r="L78" s="533"/>
    </row>
    <row r="79" spans="1:12" ht="13.5" thickTop="1" x14ac:dyDescent="0.2">
      <c r="A79" s="1516" t="s">
        <v>2073</v>
      </c>
      <c r="B79" s="534"/>
      <c r="C79" s="478">
        <v>395586</v>
      </c>
      <c r="D79" s="535">
        <v>194119</v>
      </c>
      <c r="E79" s="535">
        <v>156</v>
      </c>
      <c r="F79" s="535">
        <v>61124</v>
      </c>
      <c r="G79" s="535">
        <v>8139</v>
      </c>
      <c r="H79" s="535"/>
      <c r="I79" s="535">
        <v>98701</v>
      </c>
      <c r="J79" s="535">
        <v>13598</v>
      </c>
      <c r="K79" s="535">
        <v>21440</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309722</v>
      </c>
      <c r="D81" s="1710">
        <f>SUM(D78:D80)</f>
        <v>165805</v>
      </c>
      <c r="E81" s="1710">
        <f t="shared" ref="E81:K81" si="10">SUM(E78:E80)</f>
        <v>92</v>
      </c>
      <c r="F81" s="1710">
        <f t="shared" si="10"/>
        <v>56486</v>
      </c>
      <c r="G81" s="1710">
        <f t="shared" si="10"/>
        <v>11567</v>
      </c>
      <c r="H81" s="1710">
        <f t="shared" si="10"/>
        <v>0</v>
      </c>
      <c r="I81" s="1710">
        <f t="shared" si="10"/>
        <v>113314</v>
      </c>
      <c r="J81" s="1710">
        <f t="shared" si="10"/>
        <v>15910</v>
      </c>
      <c r="K81" s="1710">
        <f t="shared" si="10"/>
        <v>21520</v>
      </c>
      <c r="L81" s="347"/>
    </row>
    <row r="82" spans="1:12" ht="0.75" customHeight="1" thickTop="1" thickBot="1" x14ac:dyDescent="0.25">
      <c r="A82" s="536" t="s">
        <v>361</v>
      </c>
      <c r="B82" s="537"/>
      <c r="C82" s="538">
        <f>(C81-C79)</f>
        <v>-85864</v>
      </c>
      <c r="D82" s="538">
        <f t="shared" ref="D82:K82" si="11">(D81-D79)</f>
        <v>-28314</v>
      </c>
      <c r="E82" s="538">
        <f t="shared" si="11"/>
        <v>-64</v>
      </c>
      <c r="F82" s="538">
        <f t="shared" si="11"/>
        <v>-4638</v>
      </c>
      <c r="G82" s="538">
        <f t="shared" si="11"/>
        <v>3428</v>
      </c>
      <c r="H82" s="538">
        <f t="shared" si="11"/>
        <v>0</v>
      </c>
      <c r="I82" s="538">
        <f t="shared" si="11"/>
        <v>14613</v>
      </c>
      <c r="J82" s="538">
        <f t="shared" si="11"/>
        <v>2312</v>
      </c>
      <c r="K82" s="538">
        <f t="shared" si="11"/>
        <v>80</v>
      </c>
    </row>
    <row r="83" spans="1:12" ht="14.25" hidden="1" thickTop="1" thickBot="1" x14ac:dyDescent="0.25">
      <c r="A83" s="539" t="s">
        <v>362</v>
      </c>
      <c r="B83" s="464"/>
      <c r="C83" s="540">
        <f>C82/C81</f>
        <v>-0.2772292572048482</v>
      </c>
      <c r="D83" s="540">
        <f t="shared" ref="D83:K83" si="12">D82/D81</f>
        <v>-0.17076686469044963</v>
      </c>
      <c r="E83" s="540">
        <f t="shared" si="12"/>
        <v>-0.69565217391304346</v>
      </c>
      <c r="F83" s="540">
        <f t="shared" si="12"/>
        <v>-8.210884112877527E-2</v>
      </c>
      <c r="G83" s="540">
        <f t="shared" si="12"/>
        <v>0.29636033543701912</v>
      </c>
      <c r="H83" s="540" t="e">
        <f t="shared" si="12"/>
        <v>#DIV/0!</v>
      </c>
      <c r="I83" s="540">
        <f t="shared" si="12"/>
        <v>0.12896023439292587</v>
      </c>
      <c r="J83" s="540">
        <f t="shared" si="12"/>
        <v>0.14531741043368951</v>
      </c>
      <c r="K83" s="540">
        <f t="shared" si="12"/>
        <v>3.7174721189591076E-3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the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0" activePane="bottomLeft" state="frozen"/>
      <selection activeCell="A47" sqref="A47"/>
      <selection pane="bottomLeft" activeCell="C189" sqref="C18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674449</v>
      </c>
      <c r="D5" s="481">
        <v>58338</v>
      </c>
      <c r="E5" s="466">
        <v>135272</v>
      </c>
      <c r="F5" s="548">
        <v>38891</v>
      </c>
      <c r="G5" s="466">
        <v>13581</v>
      </c>
      <c r="H5" s="466"/>
      <c r="I5" s="466">
        <v>16207</v>
      </c>
      <c r="J5" s="467">
        <v>22687</v>
      </c>
      <c r="K5" s="466"/>
    </row>
    <row r="6" spans="1:12" ht="15" x14ac:dyDescent="0.2">
      <c r="A6" s="463" t="s">
        <v>1761</v>
      </c>
      <c r="B6" s="470">
        <v>1130</v>
      </c>
      <c r="C6" s="466">
        <v>8006</v>
      </c>
      <c r="D6" s="466"/>
      <c r="E6" s="475"/>
      <c r="F6" s="475"/>
      <c r="G6" s="468"/>
      <c r="H6" s="468"/>
      <c r="I6" s="468"/>
      <c r="J6" s="468"/>
      <c r="K6" s="468"/>
    </row>
    <row r="7" spans="1:12" x14ac:dyDescent="0.2">
      <c r="A7" s="463" t="s">
        <v>112</v>
      </c>
      <c r="B7" s="549">
        <v>1140</v>
      </c>
      <c r="C7" s="466">
        <v>6482</v>
      </c>
      <c r="D7" s="466"/>
      <c r="E7" s="468"/>
      <c r="F7" s="467"/>
      <c r="G7" s="467"/>
      <c r="H7" s="467"/>
      <c r="I7" s="468"/>
      <c r="J7" s="468"/>
      <c r="K7" s="468"/>
    </row>
    <row r="8" spans="1:12" x14ac:dyDescent="0.2">
      <c r="A8" s="463" t="s">
        <v>433</v>
      </c>
      <c r="B8" s="470">
        <v>1150</v>
      </c>
      <c r="C8" s="475"/>
      <c r="D8" s="475"/>
      <c r="E8" s="477"/>
      <c r="F8" s="477"/>
      <c r="G8" s="481">
        <v>13581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688937</v>
      </c>
      <c r="D12" s="1729">
        <f t="shared" si="0"/>
        <v>58338</v>
      </c>
      <c r="E12" s="1729">
        <f t="shared" si="0"/>
        <v>135272</v>
      </c>
      <c r="F12" s="1729">
        <f t="shared" si="0"/>
        <v>38891</v>
      </c>
      <c r="G12" s="1729">
        <f t="shared" si="0"/>
        <v>27162</v>
      </c>
      <c r="H12" s="1729">
        <f t="shared" si="0"/>
        <v>0</v>
      </c>
      <c r="I12" s="1729">
        <f t="shared" si="0"/>
        <v>16207</v>
      </c>
      <c r="J12" s="1729">
        <f t="shared" si="0"/>
        <v>22687</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3608</v>
      </c>
      <c r="D16" s="466">
        <v>21284</v>
      </c>
      <c r="E16" s="466"/>
      <c r="F16" s="466"/>
      <c r="G16" s="466">
        <v>3239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3608</v>
      </c>
      <c r="D18" s="1732">
        <f t="shared" ref="D18:K18" si="1">SUM(D14:D17)</f>
        <v>21284</v>
      </c>
      <c r="E18" s="1732">
        <f t="shared" si="1"/>
        <v>0</v>
      </c>
      <c r="F18" s="1732">
        <f t="shared" si="1"/>
        <v>0</v>
      </c>
      <c r="G18" s="1732">
        <f t="shared" si="1"/>
        <v>3239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18705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v>12280</v>
      </c>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30985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4364</v>
      </c>
      <c r="D65" s="466">
        <v>659</v>
      </c>
      <c r="E65" s="466">
        <v>147</v>
      </c>
      <c r="F65" s="467">
        <v>198</v>
      </c>
      <c r="G65" s="466">
        <v>92</v>
      </c>
      <c r="H65" s="466"/>
      <c r="I65" s="466">
        <v>410</v>
      </c>
      <c r="J65" s="467">
        <v>96</v>
      </c>
      <c r="K65" s="466">
        <v>80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4364</v>
      </c>
      <c r="D67" s="1710">
        <f t="shared" ref="D67:K67" si="2">SUM(D65:D66)</f>
        <v>659</v>
      </c>
      <c r="E67" s="1710">
        <f t="shared" si="2"/>
        <v>147</v>
      </c>
      <c r="F67" s="1710">
        <f t="shared" si="2"/>
        <v>198</v>
      </c>
      <c r="G67" s="1710">
        <f t="shared" si="2"/>
        <v>92</v>
      </c>
      <c r="H67" s="1710">
        <f t="shared" si="2"/>
        <v>0</v>
      </c>
      <c r="I67" s="1710">
        <f t="shared" si="2"/>
        <v>410</v>
      </c>
      <c r="J67" s="1710">
        <f t="shared" si="2"/>
        <v>96</v>
      </c>
      <c r="K67" s="1710">
        <f t="shared" si="2"/>
        <v>80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12613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12613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4317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4317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6215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6215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751039</v>
      </c>
      <c r="D109" s="1737">
        <f t="shared" si="4"/>
        <v>80281</v>
      </c>
      <c r="E109" s="1737">
        <f t="shared" si="4"/>
        <v>135419</v>
      </c>
      <c r="F109" s="1737">
        <f t="shared" si="4"/>
        <v>39089</v>
      </c>
      <c r="G109" s="1737">
        <f t="shared" si="4"/>
        <v>30493</v>
      </c>
      <c r="H109" s="1737">
        <f t="shared" si="4"/>
        <v>0</v>
      </c>
      <c r="I109" s="1737">
        <f t="shared" si="4"/>
        <v>16617</v>
      </c>
      <c r="J109" s="1737">
        <f t="shared" si="4"/>
        <v>22783</v>
      </c>
      <c r="K109" s="1724">
        <f t="shared" si="4"/>
        <v>80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102361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102361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5893</v>
      </c>
      <c r="D125" s="561"/>
      <c r="E125" s="468"/>
      <c r="F125" s="466"/>
      <c r="G125" s="468"/>
      <c r="H125" s="468"/>
      <c r="I125" s="468"/>
      <c r="J125" s="468"/>
      <c r="K125" s="468"/>
    </row>
    <row r="126" spans="1:11" ht="12.75" customHeight="1" x14ac:dyDescent="0.2">
      <c r="A126" s="463" t="s">
        <v>922</v>
      </c>
      <c r="B126" s="562">
        <v>3110</v>
      </c>
      <c r="C126" s="551">
        <f>6425+2468</f>
        <v>8893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14786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77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29292</v>
      </c>
      <c r="G151" s="467"/>
      <c r="H151" s="468"/>
      <c r="I151" s="468"/>
      <c r="J151" s="468"/>
      <c r="K151" s="468"/>
    </row>
    <row r="152" spans="1:11" ht="12.75" customHeight="1" x14ac:dyDescent="0.2">
      <c r="A152" s="463" t="s">
        <v>1117</v>
      </c>
      <c r="B152" s="562">
        <v>3510</v>
      </c>
      <c r="C152" s="551"/>
      <c r="D152" s="466"/>
      <c r="E152" s="561"/>
      <c r="F152" s="466">
        <v>9019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38311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14863</v>
      </c>
      <c r="D172" s="1744">
        <f t="shared" si="6"/>
        <v>0</v>
      </c>
      <c r="E172" s="1744">
        <f t="shared" si="6"/>
        <v>0</v>
      </c>
      <c r="F172" s="1744">
        <f t="shared" si="6"/>
        <v>38311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117224</v>
      </c>
      <c r="D173" s="1737">
        <f>SUM(D121,D172)</f>
        <v>0</v>
      </c>
      <c r="E173" s="1737">
        <f>SUM(E121,E172)</f>
        <v>0</v>
      </c>
      <c r="F173" s="1737">
        <f t="shared" ref="F173:K173" si="7">SUM(F121,F172)</f>
        <v>38311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3441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3441</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9843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9843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8681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8681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7030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28995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28995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897258</v>
      </c>
      <c r="D275" s="1737">
        <f t="shared" si="12"/>
        <v>80281</v>
      </c>
      <c r="E275" s="1737">
        <f t="shared" si="12"/>
        <v>135419</v>
      </c>
      <c r="F275" s="1737">
        <f t="shared" si="12"/>
        <v>77400</v>
      </c>
      <c r="G275" s="1737">
        <f t="shared" si="12"/>
        <v>30493</v>
      </c>
      <c r="H275" s="1737">
        <f t="shared" si="12"/>
        <v>0</v>
      </c>
      <c r="I275" s="1737">
        <f t="shared" si="12"/>
        <v>16617</v>
      </c>
      <c r="J275" s="1737">
        <f t="shared" si="12"/>
        <v>22783</v>
      </c>
      <c r="K275" s="1724">
        <f t="shared" si="12"/>
        <v>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the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9" activePane="bottomLeft" state="frozen"/>
      <selection activeCell="A47" sqref="A47"/>
      <selection pane="bottomLeft" activeCell="E323" sqref="E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424903</v>
      </c>
      <c r="D5" s="466">
        <v>106712</v>
      </c>
      <c r="E5" s="466">
        <v>6025</v>
      </c>
      <c r="F5" s="466">
        <v>21208</v>
      </c>
      <c r="G5" s="466"/>
      <c r="H5" s="466"/>
      <c r="I5" s="467"/>
      <c r="J5" s="467"/>
      <c r="K5" s="1693">
        <f>SUM(C5:J5)</f>
        <v>558848</v>
      </c>
      <c r="L5" s="466">
        <v>527735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20569</v>
      </c>
      <c r="D7" s="467">
        <v>2229</v>
      </c>
      <c r="E7" s="467"/>
      <c r="F7" s="467"/>
      <c r="G7" s="467"/>
      <c r="H7" s="467"/>
      <c r="I7" s="467"/>
      <c r="J7" s="467"/>
      <c r="K7" s="1693">
        <f t="shared" ref="K7:K32" si="0">SUM(C7:J7)</f>
        <v>22798</v>
      </c>
      <c r="L7" s="466">
        <v>21813</v>
      </c>
    </row>
    <row r="8" spans="1:14" x14ac:dyDescent="0.2">
      <c r="A8" s="1526" t="s">
        <v>166</v>
      </c>
      <c r="B8" s="615">
        <v>1200</v>
      </c>
      <c r="C8" s="466">
        <v>40616</v>
      </c>
      <c r="D8" s="466">
        <v>11360</v>
      </c>
      <c r="E8" s="466">
        <v>3754</v>
      </c>
      <c r="F8" s="466"/>
      <c r="G8" s="466"/>
      <c r="H8" s="466"/>
      <c r="I8" s="467"/>
      <c r="J8" s="467"/>
      <c r="K8" s="1693">
        <f t="shared" si="0"/>
        <v>55730</v>
      </c>
      <c r="L8" s="466">
        <v>67732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v>7900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9930</v>
      </c>
      <c r="D14" s="466">
        <v>1141</v>
      </c>
      <c r="E14" s="466">
        <v>2111</v>
      </c>
      <c r="F14" s="466">
        <v>2315</v>
      </c>
      <c r="G14" s="466"/>
      <c r="H14" s="466">
        <v>515</v>
      </c>
      <c r="I14" s="467"/>
      <c r="J14" s="467"/>
      <c r="K14" s="1693">
        <f t="shared" si="0"/>
        <v>16012</v>
      </c>
      <c r="L14" s="466">
        <v>16310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496018</v>
      </c>
      <c r="D33" s="1692">
        <f t="shared" ref="D33:L33" si="1">SUM(D5:D32)</f>
        <v>121442</v>
      </c>
      <c r="E33" s="1692">
        <f t="shared" si="1"/>
        <v>11890</v>
      </c>
      <c r="F33" s="1692">
        <f t="shared" si="1"/>
        <v>23523</v>
      </c>
      <c r="G33" s="1692">
        <f t="shared" si="1"/>
        <v>0</v>
      </c>
      <c r="H33" s="1692">
        <f t="shared" si="1"/>
        <v>515</v>
      </c>
      <c r="I33" s="1692">
        <f t="shared" si="1"/>
        <v>0</v>
      </c>
      <c r="J33" s="1692">
        <f t="shared" si="1"/>
        <v>0</v>
      </c>
      <c r="K33" s="1692">
        <f t="shared" si="1"/>
        <v>653388</v>
      </c>
      <c r="L33" s="1692">
        <f t="shared" si="1"/>
        <v>641490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9475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4994</v>
      </c>
      <c r="F38" s="466"/>
      <c r="G38" s="466"/>
      <c r="H38" s="466"/>
      <c r="I38" s="467"/>
      <c r="J38" s="467"/>
      <c r="K38" s="1693">
        <f t="shared" si="2"/>
        <v>4994</v>
      </c>
      <c r="L38" s="466">
        <v>12841</v>
      </c>
    </row>
    <row r="39" spans="1:14" x14ac:dyDescent="0.2">
      <c r="A39" s="1526" t="s">
        <v>208</v>
      </c>
      <c r="B39" s="615">
        <v>2140</v>
      </c>
      <c r="C39" s="466"/>
      <c r="D39" s="466"/>
      <c r="E39" s="466"/>
      <c r="F39" s="466"/>
      <c r="G39" s="466"/>
      <c r="H39" s="466"/>
      <c r="I39" s="467"/>
      <c r="J39" s="467"/>
      <c r="K39" s="1693">
        <f t="shared" si="2"/>
        <v>0</v>
      </c>
      <c r="L39" s="466">
        <v>1400</v>
      </c>
    </row>
    <row r="40" spans="1:14" x14ac:dyDescent="0.2">
      <c r="A40" s="1526" t="s">
        <v>209</v>
      </c>
      <c r="B40" s="615">
        <v>2150</v>
      </c>
      <c r="C40" s="466"/>
      <c r="D40" s="466"/>
      <c r="E40" s="466"/>
      <c r="F40" s="466"/>
      <c r="G40" s="466"/>
      <c r="H40" s="466"/>
      <c r="I40" s="467"/>
      <c r="J40" s="467"/>
      <c r="K40" s="1693">
        <f t="shared" si="2"/>
        <v>0</v>
      </c>
      <c r="L40" s="466">
        <v>18268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4994</v>
      </c>
      <c r="F42" s="1692">
        <f t="shared" si="3"/>
        <v>0</v>
      </c>
      <c r="G42" s="1692">
        <f t="shared" si="3"/>
        <v>0</v>
      </c>
      <c r="H42" s="1692">
        <f t="shared" si="3"/>
        <v>0</v>
      </c>
      <c r="I42" s="1692">
        <f t="shared" si="3"/>
        <v>0</v>
      </c>
      <c r="J42" s="1692">
        <f t="shared" si="3"/>
        <v>0</v>
      </c>
      <c r="K42" s="1692">
        <f t="shared" si="3"/>
        <v>4994</v>
      </c>
      <c r="L42" s="1692">
        <f t="shared" si="3"/>
        <v>41984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5500</v>
      </c>
      <c r="F44" s="481"/>
      <c r="G44" s="481"/>
      <c r="H44" s="481"/>
      <c r="I44" s="467"/>
      <c r="J44" s="467"/>
      <c r="K44" s="1694">
        <f>SUM(C44:J44)</f>
        <v>5500</v>
      </c>
      <c r="L44" s="481">
        <v>6000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v>527</v>
      </c>
      <c r="F46" s="466"/>
      <c r="G46" s="466"/>
      <c r="H46" s="466"/>
      <c r="I46" s="467"/>
      <c r="J46" s="467"/>
      <c r="K46" s="1694">
        <f>SUM(C46:J46)</f>
        <v>527</v>
      </c>
      <c r="L46" s="466"/>
    </row>
    <row r="47" spans="1:14" ht="12.75" customHeight="1" thickBot="1" x14ac:dyDescent="0.25">
      <c r="A47" s="1690" t="s">
        <v>582</v>
      </c>
      <c r="B47" s="1691" t="s">
        <v>32</v>
      </c>
      <c r="C47" s="1692">
        <f>SUM(C44:C46)</f>
        <v>0</v>
      </c>
      <c r="D47" s="1692">
        <f t="shared" ref="D47:K47" si="4">SUM(D44:D46)</f>
        <v>0</v>
      </c>
      <c r="E47" s="1692">
        <f t="shared" si="4"/>
        <v>6027</v>
      </c>
      <c r="F47" s="1692">
        <f t="shared" si="4"/>
        <v>0</v>
      </c>
      <c r="G47" s="1692">
        <f t="shared" si="4"/>
        <v>0</v>
      </c>
      <c r="H47" s="1692">
        <f t="shared" si="4"/>
        <v>0</v>
      </c>
      <c r="I47" s="1692">
        <f t="shared" si="4"/>
        <v>0</v>
      </c>
      <c r="J47" s="1692">
        <f t="shared" si="4"/>
        <v>0</v>
      </c>
      <c r="K47" s="1692">
        <f t="shared" si="4"/>
        <v>6027</v>
      </c>
      <c r="L47" s="1692">
        <f>SUM(L44:L46)</f>
        <v>6000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2138</v>
      </c>
      <c r="D49" s="481"/>
      <c r="E49" s="481">
        <f>1469+4900+11256+400</f>
        <v>18025</v>
      </c>
      <c r="F49" s="481">
        <f>5076+2047</f>
        <v>7123</v>
      </c>
      <c r="G49" s="481"/>
      <c r="H49" s="481"/>
      <c r="I49" s="467"/>
      <c r="J49" s="467"/>
      <c r="K49" s="1694">
        <f>SUM(C49:J49)</f>
        <v>27286</v>
      </c>
      <c r="L49" s="481">
        <v>4300</v>
      </c>
    </row>
    <row r="50" spans="1:14" x14ac:dyDescent="0.2">
      <c r="A50" s="1526" t="s">
        <v>872</v>
      </c>
      <c r="B50" s="615">
        <v>2320</v>
      </c>
      <c r="C50" s="466">
        <v>67200</v>
      </c>
      <c r="D50" s="466">
        <v>698</v>
      </c>
      <c r="E50" s="466"/>
      <c r="F50" s="466"/>
      <c r="G50" s="466"/>
      <c r="H50" s="466">
        <v>2703</v>
      </c>
      <c r="I50" s="467"/>
      <c r="J50" s="467"/>
      <c r="K50" s="1694">
        <f>SUM(C50:J50)</f>
        <v>70601</v>
      </c>
      <c r="L50" s="466">
        <v>67560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v>1500</v>
      </c>
    </row>
    <row r="53" spans="1:14" ht="12.75" customHeight="1" thickBot="1" x14ac:dyDescent="0.25">
      <c r="A53" s="1690" t="s">
        <v>741</v>
      </c>
      <c r="B53" s="1691" t="s">
        <v>33</v>
      </c>
      <c r="C53" s="1692">
        <f>SUM(C49:C52)</f>
        <v>69338</v>
      </c>
      <c r="D53" s="1692">
        <f t="shared" ref="D53:L53" si="5">SUM(D49:D52)</f>
        <v>698</v>
      </c>
      <c r="E53" s="1692">
        <f t="shared" si="5"/>
        <v>18025</v>
      </c>
      <c r="F53" s="1692">
        <f t="shared" si="5"/>
        <v>7123</v>
      </c>
      <c r="G53" s="1692">
        <f t="shared" si="5"/>
        <v>0</v>
      </c>
      <c r="H53" s="1692">
        <f t="shared" si="5"/>
        <v>2703</v>
      </c>
      <c r="I53" s="1692">
        <f t="shared" si="5"/>
        <v>0</v>
      </c>
      <c r="J53" s="1692">
        <f t="shared" si="5"/>
        <v>0</v>
      </c>
      <c r="K53" s="1692">
        <f t="shared" si="5"/>
        <v>97887</v>
      </c>
      <c r="L53" s="1692">
        <f t="shared" si="5"/>
        <v>73360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21322</v>
      </c>
      <c r="D55" s="481">
        <v>6890</v>
      </c>
      <c r="E55" s="481"/>
      <c r="F55" s="481">
        <v>5636</v>
      </c>
      <c r="G55" s="481"/>
      <c r="H55" s="481"/>
      <c r="I55" s="467"/>
      <c r="J55" s="467"/>
      <c r="K55" s="1694">
        <f>SUM(C55:J55)</f>
        <v>33848</v>
      </c>
      <c r="L55" s="481">
        <v>37418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21322</v>
      </c>
      <c r="D57" s="1696">
        <f t="shared" ref="D57:K57" si="6">SUM(D55:D56)</f>
        <v>6890</v>
      </c>
      <c r="E57" s="1696">
        <f t="shared" si="6"/>
        <v>0</v>
      </c>
      <c r="F57" s="1696">
        <f t="shared" si="6"/>
        <v>5636</v>
      </c>
      <c r="G57" s="1696">
        <f t="shared" si="6"/>
        <v>0</v>
      </c>
      <c r="H57" s="1696">
        <f t="shared" si="6"/>
        <v>0</v>
      </c>
      <c r="I57" s="1696">
        <f t="shared" si="6"/>
        <v>0</v>
      </c>
      <c r="J57" s="1696">
        <f t="shared" si="6"/>
        <v>0</v>
      </c>
      <c r="K57" s="1696">
        <f t="shared" si="6"/>
        <v>33848</v>
      </c>
      <c r="L57" s="1692">
        <f>SUM(L55:L56)</f>
        <v>37418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21962</v>
      </c>
      <c r="M59" s="610"/>
      <c r="N59" s="610"/>
    </row>
    <row r="60" spans="1:14" s="343" customFormat="1" x14ac:dyDescent="0.2">
      <c r="A60" s="1526" t="s">
        <v>483</v>
      </c>
      <c r="B60" s="615">
        <v>2520</v>
      </c>
      <c r="C60" s="466">
        <v>19149</v>
      </c>
      <c r="D60" s="466">
        <v>141</v>
      </c>
      <c r="E60" s="466">
        <v>1090</v>
      </c>
      <c r="F60" s="466"/>
      <c r="G60" s="466"/>
      <c r="H60" s="466"/>
      <c r="I60" s="467"/>
      <c r="J60" s="467"/>
      <c r="K60" s="1694">
        <f t="shared" si="7"/>
        <v>20380</v>
      </c>
      <c r="L60" s="466">
        <v>7998</v>
      </c>
      <c r="M60" s="610"/>
      <c r="N60" s="610"/>
    </row>
    <row r="61" spans="1:14" s="343" customFormat="1" x14ac:dyDescent="0.2">
      <c r="A61" s="1526" t="s">
        <v>206</v>
      </c>
      <c r="B61" s="615">
        <v>2540</v>
      </c>
      <c r="C61" s="466">
        <v>3691</v>
      </c>
      <c r="D61" s="466"/>
      <c r="E61" s="466"/>
      <c r="F61" s="466"/>
      <c r="G61" s="466"/>
      <c r="H61" s="466"/>
      <c r="I61" s="467"/>
      <c r="J61" s="467"/>
      <c r="K61" s="1694">
        <f t="shared" si="7"/>
        <v>3691</v>
      </c>
      <c r="L61" s="466"/>
      <c r="M61" s="610"/>
      <c r="N61" s="610"/>
    </row>
    <row r="62" spans="1:14" s="343" customFormat="1" x14ac:dyDescent="0.2">
      <c r="A62" s="1526" t="s">
        <v>1010</v>
      </c>
      <c r="B62" s="615">
        <v>2550</v>
      </c>
      <c r="C62" s="466"/>
      <c r="D62" s="466">
        <v>2129</v>
      </c>
      <c r="E62" s="466"/>
      <c r="F62" s="466"/>
      <c r="G62" s="466"/>
      <c r="H62" s="466"/>
      <c r="I62" s="467"/>
      <c r="J62" s="467"/>
      <c r="K62" s="1694">
        <f t="shared" si="7"/>
        <v>2129</v>
      </c>
      <c r="L62" s="466"/>
      <c r="M62" s="610"/>
      <c r="N62" s="610"/>
    </row>
    <row r="63" spans="1:14" s="610" customFormat="1" x14ac:dyDescent="0.2">
      <c r="A63" s="1526" t="s">
        <v>102</v>
      </c>
      <c r="B63" s="615">
        <v>2560</v>
      </c>
      <c r="C63" s="466">
        <v>11500</v>
      </c>
      <c r="D63" s="466"/>
      <c r="E63" s="466">
        <v>1934</v>
      </c>
      <c r="F63" s="466">
        <v>20925</v>
      </c>
      <c r="G63" s="466">
        <v>4033</v>
      </c>
      <c r="H63" s="466"/>
      <c r="I63" s="467"/>
      <c r="J63" s="467"/>
      <c r="K63" s="1694">
        <f t="shared" si="7"/>
        <v>38392</v>
      </c>
      <c r="L63" s="466">
        <v>34355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34340</v>
      </c>
      <c r="D65" s="1692">
        <f t="shared" ref="D65:L65" si="8">SUM(D59:D64)</f>
        <v>2270</v>
      </c>
      <c r="E65" s="1692">
        <f t="shared" si="8"/>
        <v>3024</v>
      </c>
      <c r="F65" s="1692">
        <f t="shared" si="8"/>
        <v>20925</v>
      </c>
      <c r="G65" s="1692">
        <f t="shared" si="8"/>
        <v>4033</v>
      </c>
      <c r="H65" s="1692">
        <f t="shared" si="8"/>
        <v>0</v>
      </c>
      <c r="I65" s="1692">
        <f t="shared" si="8"/>
        <v>0</v>
      </c>
      <c r="J65" s="1692">
        <f t="shared" si="8"/>
        <v>0</v>
      </c>
      <c r="K65" s="1692">
        <f t="shared" si="8"/>
        <v>64592</v>
      </c>
      <c r="L65" s="1692">
        <f t="shared" si="8"/>
        <v>64315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19707</v>
      </c>
      <c r="F69" s="466">
        <v>6744</v>
      </c>
      <c r="G69" s="466">
        <v>2510</v>
      </c>
      <c r="H69" s="466"/>
      <c r="I69" s="467"/>
      <c r="J69" s="467"/>
      <c r="K69" s="1694">
        <f>SUM(C69:J69)</f>
        <v>28961</v>
      </c>
      <c r="L69" s="466">
        <v>28800</v>
      </c>
      <c r="M69" s="610"/>
      <c r="N69" s="610"/>
    </row>
    <row r="70" spans="1:14" s="343" customFormat="1" x14ac:dyDescent="0.2">
      <c r="A70" s="1526" t="s">
        <v>423</v>
      </c>
      <c r="B70" s="615">
        <v>2640</v>
      </c>
      <c r="C70" s="466"/>
      <c r="D70" s="466"/>
      <c r="E70" s="466"/>
      <c r="F70" s="466"/>
      <c r="G70" s="466"/>
      <c r="H70" s="466"/>
      <c r="I70" s="467"/>
      <c r="J70" s="467"/>
      <c r="K70" s="1694">
        <f>SUM(C70:J70)</f>
        <v>0</v>
      </c>
      <c r="L70" s="466">
        <v>8400</v>
      </c>
      <c r="M70" s="610"/>
      <c r="N70" s="610"/>
    </row>
    <row r="71" spans="1:14" s="343" customFormat="1" x14ac:dyDescent="0.2">
      <c r="A71" s="1526" t="s">
        <v>424</v>
      </c>
      <c r="B71" s="615">
        <v>2660</v>
      </c>
      <c r="C71" s="466"/>
      <c r="D71" s="466"/>
      <c r="E71" s="466"/>
      <c r="F71" s="466"/>
      <c r="G71" s="466"/>
      <c r="H71" s="466"/>
      <c r="I71" s="467"/>
      <c r="J71" s="467"/>
      <c r="K71" s="1694">
        <f>SUM(C71:J71)</f>
        <v>0</v>
      </c>
      <c r="L71" s="466">
        <v>200</v>
      </c>
      <c r="M71" s="610"/>
      <c r="N71" s="610"/>
    </row>
    <row r="72" spans="1:14" s="343" customFormat="1" ht="12.75" customHeight="1" thickBot="1" x14ac:dyDescent="0.25">
      <c r="A72" s="1690" t="s">
        <v>37</v>
      </c>
      <c r="B72" s="1697" t="s">
        <v>36</v>
      </c>
      <c r="C72" s="1692">
        <f>SUM(C67:C71)</f>
        <v>0</v>
      </c>
      <c r="D72" s="1692">
        <f t="shared" ref="D72:K72" si="9">SUM(D67:D71)</f>
        <v>0</v>
      </c>
      <c r="E72" s="1692">
        <f t="shared" si="9"/>
        <v>19707</v>
      </c>
      <c r="F72" s="1692">
        <f t="shared" si="9"/>
        <v>6744</v>
      </c>
      <c r="G72" s="1692">
        <f t="shared" si="9"/>
        <v>2510</v>
      </c>
      <c r="H72" s="1692">
        <f t="shared" si="9"/>
        <v>0</v>
      </c>
      <c r="I72" s="1692">
        <f t="shared" si="9"/>
        <v>0</v>
      </c>
      <c r="J72" s="1692">
        <f t="shared" si="9"/>
        <v>0</v>
      </c>
      <c r="K72" s="1692">
        <f t="shared" si="9"/>
        <v>28961</v>
      </c>
      <c r="L72" s="1692">
        <f>SUM(L67:L71)</f>
        <v>37400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125000</v>
      </c>
      <c r="D74" s="1699">
        <f t="shared" ref="D74:K74" si="10">SUM(D42,D47,D53,D57,D65,D72,D73)</f>
        <v>9858</v>
      </c>
      <c r="E74" s="1699">
        <f t="shared" si="10"/>
        <v>51777</v>
      </c>
      <c r="F74" s="1699">
        <f t="shared" si="10"/>
        <v>40428</v>
      </c>
      <c r="G74" s="1699">
        <f t="shared" si="10"/>
        <v>6543</v>
      </c>
      <c r="H74" s="1699">
        <f t="shared" si="10"/>
        <v>2703</v>
      </c>
      <c r="I74" s="1699">
        <f t="shared" si="10"/>
        <v>0</v>
      </c>
      <c r="J74" s="1699">
        <f t="shared" si="10"/>
        <v>0</v>
      </c>
      <c r="K74" s="1699">
        <f t="shared" si="10"/>
        <v>236309</v>
      </c>
      <c r="L74" s="1699">
        <f>SUM(L42,L47,L53,L57,L65,L72,L73)</f>
        <v>260477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52710</v>
      </c>
      <c r="F79" s="617"/>
      <c r="G79" s="617"/>
      <c r="H79" s="466">
        <v>5251</v>
      </c>
      <c r="I79" s="477"/>
      <c r="J79" s="477"/>
      <c r="K79" s="1693">
        <f t="shared" si="11"/>
        <v>57961</v>
      </c>
      <c r="L79" s="466">
        <v>40000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52710</v>
      </c>
      <c r="F84" s="617"/>
      <c r="G84" s="617"/>
      <c r="H84" s="1692">
        <f>SUM(H78:H83)</f>
        <v>5251</v>
      </c>
      <c r="I84" s="477"/>
      <c r="J84" s="477"/>
      <c r="K84" s="1692">
        <f>SUM(K78:K83)</f>
        <v>57961</v>
      </c>
      <c r="L84" s="1692">
        <f>SUM(L78:L83)</f>
        <v>40000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35464</v>
      </c>
      <c r="I86" s="477"/>
      <c r="J86" s="477"/>
      <c r="K86" s="1699">
        <f t="shared" ref="K86:K98" si="12">H86</f>
        <v>35464</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35464</v>
      </c>
      <c r="I92" s="477"/>
      <c r="J92" s="477"/>
      <c r="K92" s="1699">
        <f t="shared" si="12"/>
        <v>35464</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52710</v>
      </c>
      <c r="F102" s="617"/>
      <c r="G102" s="617"/>
      <c r="H102" s="1699">
        <f>SUM(H84,H92,H100,H101)</f>
        <v>40715</v>
      </c>
      <c r="I102" s="477"/>
      <c r="J102" s="477"/>
      <c r="K102" s="1699">
        <f>SUM(K84,K92,K100,K101)</f>
        <v>93425</v>
      </c>
      <c r="L102" s="1699">
        <f>SUM(L84,L92,L100,L101)</f>
        <v>40000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621018</v>
      </c>
      <c r="D114" s="1692">
        <f t="shared" ref="D114:K114" si="13">SUM(D33,D74,D75,D102,D112,D113)</f>
        <v>131300</v>
      </c>
      <c r="E114" s="1692">
        <f t="shared" si="13"/>
        <v>116377</v>
      </c>
      <c r="F114" s="1692">
        <f t="shared" si="13"/>
        <v>63951</v>
      </c>
      <c r="G114" s="1692">
        <f t="shared" si="13"/>
        <v>6543</v>
      </c>
      <c r="H114" s="1692">
        <f>SUM(H33,H74,H75,H102,H112,H113)</f>
        <v>43933</v>
      </c>
      <c r="I114" s="1692">
        <f t="shared" si="13"/>
        <v>0</v>
      </c>
      <c r="J114" s="1692">
        <f t="shared" si="13"/>
        <v>0</v>
      </c>
      <c r="K114" s="1692">
        <f t="shared" si="13"/>
        <v>983122</v>
      </c>
      <c r="L114" s="1692">
        <f>SUM(L33,L74,L75,L102,L112,L113)</f>
        <v>941967</v>
      </c>
    </row>
    <row r="115" spans="1:14" ht="13.5" thickTop="1" x14ac:dyDescent="0.2">
      <c r="A115" s="2175" t="s">
        <v>1053</v>
      </c>
      <c r="B115" s="2176"/>
      <c r="C115" s="619"/>
      <c r="D115" s="619"/>
      <c r="E115" s="619"/>
      <c r="F115" s="619"/>
      <c r="G115" s="619"/>
      <c r="H115" s="619"/>
      <c r="I115" s="619"/>
      <c r="J115" s="619"/>
      <c r="K115" s="1706">
        <f>'Revenues 9-14'!C275-'Expenditures 15-22'!K114</f>
        <v>-85864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40781</v>
      </c>
      <c r="D124" s="466">
        <v>6890</v>
      </c>
      <c r="E124" s="466">
        <f>28633+209</f>
        <v>28842</v>
      </c>
      <c r="F124" s="466">
        <f>7129+6408+11196+1</f>
        <v>24734</v>
      </c>
      <c r="G124" s="466">
        <v>7348</v>
      </c>
      <c r="H124" s="466"/>
      <c r="I124" s="467"/>
      <c r="J124" s="467"/>
      <c r="K124" s="1692">
        <f>SUM(C124:J124)</f>
        <v>108595</v>
      </c>
      <c r="L124" s="466">
        <v>94387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40781</v>
      </c>
      <c r="D127" s="1692">
        <f t="shared" ref="D127:L127" si="14">SUM(D122:D126)</f>
        <v>6890</v>
      </c>
      <c r="E127" s="1692">
        <f t="shared" si="14"/>
        <v>28842</v>
      </c>
      <c r="F127" s="1692">
        <f t="shared" si="14"/>
        <v>24734</v>
      </c>
      <c r="G127" s="1692">
        <f t="shared" si="14"/>
        <v>7348</v>
      </c>
      <c r="H127" s="1692">
        <f t="shared" si="14"/>
        <v>0</v>
      </c>
      <c r="I127" s="1692">
        <f t="shared" si="14"/>
        <v>0</v>
      </c>
      <c r="J127" s="1692">
        <f t="shared" si="14"/>
        <v>0</v>
      </c>
      <c r="K127" s="1692">
        <f t="shared" si="14"/>
        <v>108595</v>
      </c>
      <c r="L127" s="1692">
        <f t="shared" si="14"/>
        <v>94387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40781</v>
      </c>
      <c r="D129" s="1699">
        <f t="shared" ref="D129:L129" si="15">SUM(D120,D127,D128)</f>
        <v>6890</v>
      </c>
      <c r="E129" s="1699">
        <f t="shared" si="15"/>
        <v>28842</v>
      </c>
      <c r="F129" s="1699">
        <f t="shared" si="15"/>
        <v>24734</v>
      </c>
      <c r="G129" s="1699">
        <f t="shared" si="15"/>
        <v>7348</v>
      </c>
      <c r="H129" s="1699">
        <f t="shared" si="15"/>
        <v>0</v>
      </c>
      <c r="I129" s="1699">
        <f t="shared" si="15"/>
        <v>0</v>
      </c>
      <c r="J129" s="1699">
        <f t="shared" si="15"/>
        <v>0</v>
      </c>
      <c r="K129" s="1699">
        <f t="shared" si="15"/>
        <v>108595</v>
      </c>
      <c r="L129" s="1699">
        <f t="shared" si="15"/>
        <v>94387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40781</v>
      </c>
      <c r="D151" s="1692">
        <f t="shared" ref="D151:K151" si="16">SUM(D129,D130,D139,D149,D150)</f>
        <v>6890</v>
      </c>
      <c r="E151" s="1692">
        <f t="shared" si="16"/>
        <v>28842</v>
      </c>
      <c r="F151" s="1692">
        <f t="shared" si="16"/>
        <v>24734</v>
      </c>
      <c r="G151" s="1692">
        <f t="shared" si="16"/>
        <v>7348</v>
      </c>
      <c r="H151" s="1692">
        <f t="shared" si="16"/>
        <v>0</v>
      </c>
      <c r="I151" s="1692">
        <f t="shared" si="16"/>
        <v>0</v>
      </c>
      <c r="J151" s="1692">
        <f t="shared" si="16"/>
        <v>0</v>
      </c>
      <c r="K151" s="1692">
        <f t="shared" si="16"/>
        <v>108595</v>
      </c>
      <c r="L151" s="1692">
        <f>SUM(L129,L130,L139,L149,L150)</f>
        <v>94387</v>
      </c>
    </row>
    <row r="152" spans="1:14" ht="12.75" customHeight="1" thickTop="1" x14ac:dyDescent="0.2">
      <c r="A152" s="2195" t="s">
        <v>1240</v>
      </c>
      <c r="B152" s="2196"/>
      <c r="C152" s="619"/>
      <c r="D152" s="619"/>
      <c r="E152" s="619"/>
      <c r="F152" s="619"/>
      <c r="G152" s="619"/>
      <c r="H152" s="619"/>
      <c r="I152" s="619"/>
      <c r="J152" s="617"/>
      <c r="K152" s="1706">
        <f>'Revenues 9-14'!D275-'Expenditures 15-22'!K151</f>
        <v>-28314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36987</v>
      </c>
      <c r="I169" s="617"/>
      <c r="J169" s="617"/>
      <c r="K169" s="1693">
        <f>SUM(C169:H169)</f>
        <v>36987</v>
      </c>
      <c r="L169" s="657">
        <v>137263</v>
      </c>
    </row>
    <row r="170" spans="1:14" ht="33.75" customHeight="1" x14ac:dyDescent="0.2">
      <c r="A170" s="670" t="s">
        <v>1769</v>
      </c>
      <c r="B170" s="672" t="s">
        <v>31</v>
      </c>
      <c r="C170" s="617"/>
      <c r="D170" s="617"/>
      <c r="E170" s="617"/>
      <c r="F170" s="617"/>
      <c r="G170" s="617"/>
      <c r="H170" s="569">
        <v>100000</v>
      </c>
      <c r="I170" s="617"/>
      <c r="J170" s="617"/>
      <c r="K170" s="1693">
        <f>SUM(C170:J170)</f>
        <v>100000</v>
      </c>
      <c r="L170" s="569"/>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137487</v>
      </c>
      <c r="I172" s="639"/>
      <c r="J172" s="617"/>
      <c r="K172" s="1699">
        <f>SUM(K168,K169,K170,K171)</f>
        <v>137487</v>
      </c>
      <c r="L172" s="1699">
        <f>SUM(L168,L169,L170,L171)</f>
        <v>137263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137487</v>
      </c>
      <c r="I174" s="639"/>
      <c r="J174" s="617"/>
      <c r="K174" s="1699">
        <f>SUM(K160,K172,K173)</f>
        <v>137487</v>
      </c>
      <c r="L174" s="1699">
        <f>SUM(L160,L172,L173)</f>
        <v>137263</v>
      </c>
    </row>
    <row r="175" spans="1:14" ht="13.5" thickTop="1" x14ac:dyDescent="0.2">
      <c r="A175" s="2175" t="s">
        <v>1053</v>
      </c>
      <c r="B175" s="2176"/>
      <c r="C175" s="617"/>
      <c r="D175" s="617"/>
      <c r="E175" s="617"/>
      <c r="F175" s="617"/>
      <c r="G175" s="617"/>
      <c r="H175" s="619"/>
      <c r="I175" s="617"/>
      <c r="J175" s="617"/>
      <c r="K175" s="1706">
        <f>'Revenues 9-14'!E275-'Expenditures 15-22'!K174</f>
        <v>-2068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82038</v>
      </c>
      <c r="F182" s="466"/>
      <c r="G182" s="466"/>
      <c r="H182" s="466"/>
      <c r="I182" s="467"/>
      <c r="J182" s="467"/>
      <c r="K182" s="1693">
        <f>SUM(C182:J182)</f>
        <v>82038</v>
      </c>
      <c r="L182" s="466">
        <v>76000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82038</v>
      </c>
      <c r="F184" s="1699">
        <f t="shared" si="17"/>
        <v>0</v>
      </c>
      <c r="G184" s="1699">
        <f t="shared" si="17"/>
        <v>0</v>
      </c>
      <c r="H184" s="1699">
        <f t="shared" si="17"/>
        <v>0</v>
      </c>
      <c r="I184" s="1699">
        <f t="shared" si="17"/>
        <v>0</v>
      </c>
      <c r="J184" s="1699">
        <f t="shared" si="17"/>
        <v>0</v>
      </c>
      <c r="K184" s="1699">
        <f>SUM(K180,K182,K183)</f>
        <v>82038</v>
      </c>
      <c r="L184" s="1699">
        <f>SUM(L180, L182:L183)</f>
        <v>76000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82038</v>
      </c>
      <c r="F210" s="1692">
        <f>SUM(F184,F185)</f>
        <v>0</v>
      </c>
      <c r="G210" s="1692">
        <f>SUM(G184,G185)</f>
        <v>0</v>
      </c>
      <c r="H210" s="1692">
        <f>SUM(H184,H185,H196,H208,H209)</f>
        <v>0</v>
      </c>
      <c r="I210" s="1692">
        <f>SUM(I184,I185)</f>
        <v>0</v>
      </c>
      <c r="J210" s="1692">
        <f>SUM(J184,J185)</f>
        <v>0</v>
      </c>
      <c r="K210" s="1693">
        <f>SUM(K184,K185,K196,K208,K209)</f>
        <v>82038</v>
      </c>
      <c r="L210" s="1692">
        <f>SUM(L184,L185,L196,L208,L209)</f>
        <v>76000</v>
      </c>
    </row>
    <row r="211" spans="1:14" ht="13.5" thickTop="1" x14ac:dyDescent="0.2">
      <c r="A211" s="2175" t="s">
        <v>1053</v>
      </c>
      <c r="B211" s="2176"/>
      <c r="C211" s="619"/>
      <c r="D211" s="619"/>
      <c r="E211" s="619"/>
      <c r="F211" s="619"/>
      <c r="G211" s="619"/>
      <c r="H211" s="619"/>
      <c r="I211" s="617"/>
      <c r="J211" s="617"/>
      <c r="K211" s="1706">
        <f>'Revenues 9-14'!F275-'Expenditures 15-22'!K210</f>
        <v>-4638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5189</v>
      </c>
      <c r="E215" s="617"/>
      <c r="F215" s="617"/>
      <c r="G215" s="617"/>
      <c r="H215" s="617"/>
      <c r="I215" s="617"/>
      <c r="J215" s="617"/>
      <c r="K215" s="1693">
        <f>D215</f>
        <v>5189</v>
      </c>
      <c r="L215" s="466">
        <v>11094</v>
      </c>
    </row>
    <row r="216" spans="1:14" x14ac:dyDescent="0.2">
      <c r="A216" s="1526" t="s">
        <v>165</v>
      </c>
      <c r="B216" s="615" t="s">
        <v>1024</v>
      </c>
      <c r="C216" s="617"/>
      <c r="D216" s="467">
        <v>471</v>
      </c>
      <c r="E216" s="617"/>
      <c r="F216" s="617"/>
      <c r="G216" s="617"/>
      <c r="H216" s="617"/>
      <c r="I216" s="617"/>
      <c r="J216" s="617"/>
      <c r="K216" s="1693">
        <f t="shared" ref="K216:K228" si="19">D216</f>
        <v>471</v>
      </c>
      <c r="L216" s="466">
        <v>788</v>
      </c>
    </row>
    <row r="217" spans="1:14" x14ac:dyDescent="0.2">
      <c r="A217" s="1526" t="s">
        <v>166</v>
      </c>
      <c r="B217" s="615">
        <v>1200</v>
      </c>
      <c r="C217" s="617"/>
      <c r="D217" s="466">
        <f>247+119+589</f>
        <v>955</v>
      </c>
      <c r="E217" s="617"/>
      <c r="F217" s="617"/>
      <c r="G217" s="617"/>
      <c r="H217" s="617"/>
      <c r="I217" s="617"/>
      <c r="J217" s="617"/>
      <c r="K217" s="1693">
        <f t="shared" si="19"/>
        <v>955</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1583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144</v>
      </c>
      <c r="E223" s="617"/>
      <c r="F223" s="617"/>
      <c r="G223" s="617"/>
      <c r="H223" s="617"/>
      <c r="I223" s="617"/>
      <c r="J223" s="617"/>
      <c r="K223" s="1693">
        <f t="shared" si="19"/>
        <v>144</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6759</v>
      </c>
      <c r="E229" s="617"/>
      <c r="F229" s="617"/>
      <c r="G229" s="617"/>
      <c r="H229" s="617"/>
      <c r="I229" s="617"/>
      <c r="J229" s="617"/>
      <c r="K229" s="1692">
        <f>SUM(K215:K228)</f>
        <v>6759</v>
      </c>
      <c r="L229" s="1692">
        <f>SUM(L215:L228)</f>
        <v>13465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133+31</f>
        <v>164</v>
      </c>
      <c r="E245" s="617"/>
      <c r="F245" s="617"/>
      <c r="G245" s="617"/>
      <c r="H245" s="617"/>
      <c r="I245" s="617"/>
      <c r="J245" s="617"/>
      <c r="K245" s="1694">
        <f>D245</f>
        <v>164</v>
      </c>
      <c r="L245" s="481"/>
    </row>
    <row r="246" spans="1:12" x14ac:dyDescent="0.2">
      <c r="A246" s="1526" t="s">
        <v>872</v>
      </c>
      <c r="B246" s="615">
        <v>2320</v>
      </c>
      <c r="C246" s="617"/>
      <c r="D246" s="466">
        <v>974</v>
      </c>
      <c r="E246" s="617"/>
      <c r="F246" s="617"/>
      <c r="G246" s="617"/>
      <c r="H246" s="617"/>
      <c r="I246" s="617"/>
      <c r="J246" s="617"/>
      <c r="K246" s="1694">
        <f t="shared" ref="K246:K256" si="21">D246</f>
        <v>974</v>
      </c>
      <c r="L246" s="466">
        <v>975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1138</v>
      </c>
      <c r="E257" s="617"/>
      <c r="F257" s="617"/>
      <c r="G257" s="617"/>
      <c r="H257" s="617"/>
      <c r="I257" s="617"/>
      <c r="J257" s="617"/>
      <c r="K257" s="1692">
        <f>SUM(K245:K256)</f>
        <v>1138</v>
      </c>
      <c r="L257" s="1692">
        <f>SUM(L245:L256)</f>
        <v>975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2726+1322+309</f>
        <v>4357</v>
      </c>
      <c r="E259" s="617"/>
      <c r="F259" s="617"/>
      <c r="G259" s="617"/>
      <c r="H259" s="617"/>
      <c r="I259" s="617"/>
      <c r="J259" s="617"/>
      <c r="K259" s="1694">
        <f>D259</f>
        <v>4357</v>
      </c>
      <c r="L259" s="481">
        <v>1690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4357</v>
      </c>
      <c r="E261" s="617"/>
      <c r="F261" s="617"/>
      <c r="G261" s="617"/>
      <c r="H261" s="617"/>
      <c r="I261" s="617"/>
      <c r="J261" s="617"/>
      <c r="K261" s="1692">
        <f>SUM(K259:K260)</f>
        <v>4357</v>
      </c>
      <c r="L261" s="1692">
        <f>SUM(L259:L260)</f>
        <v>1690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1490</v>
      </c>
    </row>
    <row r="264" spans="1:14" x14ac:dyDescent="0.2">
      <c r="A264" s="1526" t="s">
        <v>483</v>
      </c>
      <c r="B264" s="686">
        <v>2520</v>
      </c>
      <c r="C264" s="617"/>
      <c r="D264" s="466">
        <f>2448+1187+278</f>
        <v>3913</v>
      </c>
      <c r="E264" s="617"/>
      <c r="F264" s="617"/>
      <c r="G264" s="617"/>
      <c r="H264" s="617"/>
      <c r="I264" s="617"/>
      <c r="J264" s="617"/>
      <c r="K264" s="1694">
        <f t="shared" ref="K264:K269" si="22">D264</f>
        <v>3913</v>
      </c>
      <c r="L264" s="466">
        <v>165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5214+2702+632</f>
        <v>8548</v>
      </c>
      <c r="E266" s="617"/>
      <c r="F266" s="617"/>
      <c r="G266" s="617"/>
      <c r="H266" s="617"/>
      <c r="I266" s="617"/>
      <c r="J266" s="617"/>
      <c r="K266" s="1694">
        <f t="shared" si="22"/>
        <v>8548</v>
      </c>
      <c r="L266" s="466">
        <v>3121</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f>1470+713+167</f>
        <v>2350</v>
      </c>
      <c r="E268" s="617"/>
      <c r="F268" s="617"/>
      <c r="G268" s="617"/>
      <c r="H268" s="617"/>
      <c r="I268" s="617"/>
      <c r="J268" s="617"/>
      <c r="K268" s="1694">
        <f t="shared" si="22"/>
        <v>2350</v>
      </c>
      <c r="L268" s="466">
        <v>885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14811</v>
      </c>
      <c r="E270" s="617"/>
      <c r="F270" s="617"/>
      <c r="G270" s="617"/>
      <c r="H270" s="617"/>
      <c r="I270" s="617"/>
      <c r="J270" s="617"/>
      <c r="K270" s="1692">
        <f>SUM(K263:K269)</f>
        <v>14811</v>
      </c>
      <c r="L270" s="1692">
        <f>SUM(L263:L269)</f>
        <v>5661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20306</v>
      </c>
      <c r="E279" s="617"/>
      <c r="F279" s="617"/>
      <c r="G279" s="617"/>
      <c r="H279" s="617"/>
      <c r="I279" s="617"/>
      <c r="J279" s="617"/>
      <c r="K279" s="1699">
        <f>SUM(K238,K243,K257,K261,K270,K277,K278)</f>
        <v>20306</v>
      </c>
      <c r="L279" s="1699">
        <f>SUM(L238,L243,L257,L261,L270,L277,L278)</f>
        <v>8326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27065</v>
      </c>
      <c r="E295" s="617"/>
      <c r="F295" s="617"/>
      <c r="G295" s="617"/>
      <c r="H295" s="1692">
        <f>H293</f>
        <v>0</v>
      </c>
      <c r="I295" s="617"/>
      <c r="J295" s="617"/>
      <c r="K295" s="1692">
        <f>SUM(K229,K279,K280,K285,K293,K294)</f>
        <v>27065</v>
      </c>
      <c r="L295" s="1692">
        <f>SUM(L229,L279,L280,L285,L293,L294)</f>
        <v>21791</v>
      </c>
    </row>
    <row r="296" spans="1:14" ht="13.5" thickTop="1" x14ac:dyDescent="0.2">
      <c r="A296" s="2175" t="s">
        <v>1053</v>
      </c>
      <c r="B296" s="2176"/>
      <c r="C296" s="617"/>
      <c r="D296" s="619"/>
      <c r="E296" s="617"/>
      <c r="F296" s="617"/>
      <c r="G296" s="617"/>
      <c r="H296" s="688"/>
      <c r="I296" s="617"/>
      <c r="J296" s="617"/>
      <c r="K296" s="1706">
        <f>'Revenues 9-14'!G275-'Expenditures 15-22'!K295</f>
        <v>3428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5311</v>
      </c>
      <c r="F320" s="467"/>
      <c r="G320" s="467"/>
      <c r="H320" s="467"/>
      <c r="I320" s="467"/>
      <c r="J320" s="467"/>
      <c r="K320" s="1693">
        <f t="shared" ref="K320:K327" si="24">SUM(C320:J320)</f>
        <v>5311</v>
      </c>
      <c r="L320" s="467">
        <v>7300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4600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9960</v>
      </c>
      <c r="F327" s="467"/>
      <c r="G327" s="467"/>
      <c r="H327" s="467"/>
      <c r="I327" s="467"/>
      <c r="J327" s="467"/>
      <c r="K327" s="1693">
        <f t="shared" si="24"/>
        <v>9960</v>
      </c>
      <c r="L327" s="467">
        <v>13000</v>
      </c>
      <c r="M327" s="666"/>
      <c r="N327" s="666"/>
    </row>
    <row r="328" spans="1:14" s="675" customFormat="1" x14ac:dyDescent="0.2">
      <c r="A328" s="1542" t="s">
        <v>492</v>
      </c>
      <c r="B328" s="691" t="s">
        <v>1194</v>
      </c>
      <c r="C328" s="474"/>
      <c r="D328" s="474"/>
      <c r="E328" s="474">
        <v>5200</v>
      </c>
      <c r="F328" s="474"/>
      <c r="G328" s="474"/>
      <c r="H328" s="474"/>
      <c r="I328" s="474"/>
      <c r="J328" s="474"/>
      <c r="K328" s="1721">
        <f>SUM(C328:J328)</f>
        <v>5200</v>
      </c>
      <c r="L328" s="474">
        <v>5200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20471</v>
      </c>
      <c r="F330" s="1692">
        <f t="shared" si="25"/>
        <v>0</v>
      </c>
      <c r="G330" s="1692">
        <f t="shared" si="25"/>
        <v>0</v>
      </c>
      <c r="H330" s="1692">
        <f t="shared" si="25"/>
        <v>0</v>
      </c>
      <c r="I330" s="1692">
        <f t="shared" si="25"/>
        <v>0</v>
      </c>
      <c r="J330" s="1692">
        <f t="shared" si="25"/>
        <v>0</v>
      </c>
      <c r="K330" s="1692">
        <f>SUM(K319:K329)</f>
        <v>20471</v>
      </c>
      <c r="L330" s="1692">
        <f>SUM(L319:L329)</f>
        <v>30100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20471</v>
      </c>
      <c r="F342" s="1692">
        <f>SUM(F330)</f>
        <v>0</v>
      </c>
      <c r="G342" s="1692">
        <f>SUM(G330)</f>
        <v>0</v>
      </c>
      <c r="H342" s="1692">
        <f>SUM(H330,H334,H340)</f>
        <v>0</v>
      </c>
      <c r="I342" s="1692">
        <f>SUM(I330)</f>
        <v>0</v>
      </c>
      <c r="J342" s="1692">
        <f>SUM(J330)</f>
        <v>0</v>
      </c>
      <c r="K342" s="1692">
        <f>SUM(K330,K334,K340)</f>
        <v>20471</v>
      </c>
      <c r="L342" s="1699">
        <f>SUM(L330,L340,L341)</f>
        <v>30100</v>
      </c>
    </row>
    <row r="343" spans="1:14" ht="12.75" customHeight="1" thickTop="1" x14ac:dyDescent="0.2">
      <c r="A343" s="2188" t="s">
        <v>1053</v>
      </c>
      <c r="B343" s="2189"/>
      <c r="C343" s="617"/>
      <c r="D343" s="617"/>
      <c r="E343" s="617"/>
      <c r="F343" s="617"/>
      <c r="G343" s="617"/>
      <c r="H343" s="617"/>
      <c r="I343" s="617"/>
      <c r="J343" s="617"/>
      <c r="K343" s="1706">
        <f>'Revenues 9-14'!J275-'Expenditures 15-22'!K342</f>
        <v>2312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80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the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2018-08-16T19:35:39Z</cp:lastPrinted>
  <dcterms:created xsi:type="dcterms:W3CDTF">2003-10-29T19:06:34Z</dcterms:created>
  <dcterms:modified xsi:type="dcterms:W3CDTF">2018-10-02T14:45:32Z</dcterms:modified>
</cp:coreProperties>
</file>