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16500" windowHeight="110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2" i="181" l="1"/>
  <c r="I13" i="11" l="1"/>
  <c r="I12" i="11"/>
  <c r="D259" i="29"/>
  <c r="E124" i="29"/>
  <c r="F124" i="29"/>
  <c r="G39" i="3"/>
  <c r="C39"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E22" i="181"/>
  <c r="F22" i="181" s="1"/>
  <c r="G22" i="181" s="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c r="B6626" i="106"/>
  <c r="D6626" i="106" s="1"/>
  <c r="B6627" i="106"/>
  <c r="D6627" i="106" s="1"/>
  <c r="B6628" i="106"/>
  <c r="D6628" i="106" s="1"/>
  <c r="B6629" i="106"/>
  <c r="D6629" i="106" s="1"/>
  <c r="B6630" i="106"/>
  <c r="D6630" i="106" s="1"/>
  <c r="B6631" i="106"/>
  <c r="D6631" i="106"/>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c r="B6696" i="106"/>
  <c r="D6696" i="106" s="1"/>
  <c r="B6697" i="106"/>
  <c r="D6697" i="106" s="1"/>
  <c r="B6698" i="106"/>
  <c r="D6698" i="106" s="1"/>
  <c r="B6699" i="106"/>
  <c r="D6699" i="106" s="1"/>
  <c r="B6700" i="106"/>
  <c r="D6700" i="106" s="1"/>
  <c r="B6701" i="106"/>
  <c r="D6701" i="106"/>
  <c r="B6702" i="106"/>
  <c r="D6702" i="106" s="1"/>
  <c r="B6703" i="106"/>
  <c r="D6703" i="106" s="1"/>
  <c r="B6704" i="106"/>
  <c r="D6704" i="106" s="1"/>
  <c r="B6705" i="106"/>
  <c r="D6705" i="106" s="1"/>
  <c r="B6706" i="106"/>
  <c r="D6706" i="106" s="1"/>
  <c r="B6707" i="106"/>
  <c r="D6707" i="106" s="1"/>
  <c r="B6708" i="106"/>
  <c r="D6708" i="106" s="1"/>
  <c r="B6709" i="106"/>
  <c r="D6709" i="106"/>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G27" i="108"/>
  <c r="F31" i="108"/>
  <c r="F36" i="108"/>
  <c r="G28" i="108"/>
  <c r="E29" i="108"/>
  <c r="G29" i="108"/>
  <c r="E30" i="108"/>
  <c r="G30" i="108"/>
  <c r="D31" i="108"/>
  <c r="D36" i="108"/>
  <c r="E31" i="108"/>
  <c r="G31" i="108"/>
  <c r="E33" i="108"/>
  <c r="G33" i="108"/>
  <c r="E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F13" i="4"/>
  <c r="B2596" i="106" s="1"/>
  <c r="D2596" i="106" s="1"/>
  <c r="C14" i="4"/>
  <c r="B2558" i="106" s="1"/>
  <c r="D2558" i="106" s="1"/>
  <c r="D14" i="4"/>
  <c r="B2570" i="106" s="1"/>
  <c r="D2570" i="106" s="1"/>
  <c r="B2633" i="106"/>
  <c r="D2633" i="106" s="1"/>
  <c r="D7" i="118"/>
  <c r="D8" i="118"/>
  <c r="D9" i="118"/>
  <c r="H14" i="118"/>
  <c r="H19" i="118"/>
  <c r="H24" i="118"/>
  <c r="H28" i="118"/>
  <c r="J22" i="37"/>
  <c r="L22" i="37"/>
  <c r="B5752" i="106"/>
  <c r="D5752" i="106" s="1"/>
  <c r="D12" i="7"/>
  <c r="B1769" i="106" s="1"/>
  <c r="D1769" i="106" s="1"/>
  <c r="D31" i="36" l="1"/>
  <c r="G15" i="145"/>
  <c r="D9" i="7"/>
  <c r="B1767" i="106" s="1"/>
  <c r="D1767" i="106" s="1"/>
  <c r="H173" i="5"/>
  <c r="D11" i="37"/>
  <c r="B1124" i="106"/>
  <c r="D1124" i="106" s="1"/>
  <c r="G5" i="4"/>
  <c r="B3409" i="106" s="1"/>
  <c r="D3409" i="106" s="1"/>
  <c r="D4" i="7"/>
  <c r="B1760" i="106" s="1"/>
  <c r="D1760" i="106" s="1"/>
  <c r="L5" i="11"/>
  <c r="B2056" i="106" s="1"/>
  <c r="D2056" i="106" s="1"/>
  <c r="H29" i="118"/>
  <c r="K28" i="118" s="1"/>
  <c r="O27" i="118" s="1"/>
  <c r="O29" i="118" s="1"/>
  <c r="N22" i="3"/>
  <c r="B283" i="106" s="1"/>
  <c r="D283" i="106" s="1"/>
  <c r="F72" i="34"/>
  <c r="F46" i="34"/>
  <c r="J352" i="29"/>
  <c r="J367" i="29" s="1"/>
  <c r="B7245" i="106" s="1"/>
  <c r="D7245" i="106" s="1"/>
  <c r="B1274" i="106"/>
  <c r="D1274" i="106" s="1"/>
  <c r="D7" i="7"/>
  <c r="B1763" i="106" s="1"/>
  <c r="D1763" i="106" s="1"/>
  <c r="F136" i="34"/>
  <c r="D24" i="37"/>
  <c r="B4270" i="106" s="1"/>
  <c r="D4270" i="106" s="1"/>
  <c r="K274" i="5"/>
  <c r="G172" i="5"/>
  <c r="G173" i="5" s="1"/>
  <c r="B5778" i="106" s="1"/>
  <c r="D5778" i="106" s="1"/>
  <c r="F34" i="34"/>
  <c r="K76" i="4"/>
  <c r="B3586" i="106" s="1"/>
  <c r="D3586" i="106" s="1"/>
  <c r="B4373" i="106"/>
  <c r="D4373" i="106" s="1"/>
  <c r="F172" i="5"/>
  <c r="B5644" i="106" s="1"/>
  <c r="D5644" i="106" s="1"/>
  <c r="B5096" i="106"/>
  <c r="D5096" i="106" s="1"/>
  <c r="B7235" i="106"/>
  <c r="D7235" i="106" s="1"/>
  <c r="C342" i="29"/>
  <c r="B7216" i="106" s="1"/>
  <c r="D7216" i="106" s="1"/>
  <c r="L15" i="11"/>
  <c r="B3459" i="106" s="1"/>
  <c r="D3459" i="106" s="1"/>
  <c r="L13" i="11"/>
  <c r="B2060" i="106" s="1"/>
  <c r="D2060" i="106" s="1"/>
  <c r="F28" i="108"/>
  <c r="C109" i="5"/>
  <c r="B5121" i="106" s="1"/>
  <c r="D5121" i="106" s="1"/>
  <c r="B5066" i="106"/>
  <c r="D5066" i="106" s="1"/>
  <c r="D54" i="36"/>
  <c r="D22" i="37"/>
  <c r="D37" i="108"/>
  <c r="F77" i="4"/>
  <c r="B3255" i="106" s="1"/>
  <c r="D3255" i="106" s="1"/>
  <c r="F106" i="34"/>
  <c r="D13" i="7"/>
  <c r="B3726" i="106" s="1"/>
  <c r="D3726" i="106" s="1"/>
  <c r="J274" i="5"/>
  <c r="B7054" i="106" s="1"/>
  <c r="D7054" i="106" s="1"/>
  <c r="K173" i="5"/>
  <c r="K6" i="4" s="1"/>
  <c r="B3570" i="106" s="1"/>
  <c r="D3570" i="106" s="1"/>
  <c r="F41" i="34"/>
  <c r="G39" i="108"/>
  <c r="B7047" i="106"/>
  <c r="D7047" i="106" s="1"/>
  <c r="B1126" i="106"/>
  <c r="D1126" i="106" s="1"/>
  <c r="F35" i="34"/>
  <c r="F37" i="108"/>
  <c r="E28" i="108"/>
  <c r="D26" i="108"/>
  <c r="F14" i="4"/>
  <c r="B2597" i="106" s="1"/>
  <c r="D2597" i="106" s="1"/>
  <c r="H109" i="5"/>
  <c r="B6025" i="106" s="1"/>
  <c r="D6025" i="106" s="1"/>
  <c r="F62" i="34"/>
  <c r="F49" i="34"/>
  <c r="D17" i="7"/>
  <c r="B4104" i="106" s="1"/>
  <c r="D4104" i="106" s="1"/>
  <c r="C172" i="5"/>
  <c r="B5214" i="106" s="1"/>
  <c r="D5214" i="106" s="1"/>
  <c r="F127" i="34"/>
  <c r="D5" i="7"/>
  <c r="B1761" i="106" s="1"/>
  <c r="D1761" i="106" s="1"/>
  <c r="H33" i="118"/>
  <c r="F128" i="34"/>
  <c r="B4951" i="106"/>
  <c r="D4951" i="106" s="1"/>
  <c r="L367" i="29"/>
  <c r="F19" i="7"/>
  <c r="B1807" i="106" s="1"/>
  <c r="D1807" i="106" s="1"/>
  <c r="F71" i="34"/>
  <c r="F50" i="34"/>
  <c r="F42" i="34"/>
  <c r="F26" i="108"/>
  <c r="K26" i="12"/>
  <c r="B7743" i="106" s="1"/>
  <c r="D7743" i="106" s="1"/>
  <c r="K350" i="29"/>
  <c r="L342" i="29"/>
  <c r="H4" i="4"/>
  <c r="B2655" i="106" s="1"/>
  <c r="D2655" i="106" s="1"/>
  <c r="B5770" i="106"/>
  <c r="D5770" i="106" s="1"/>
  <c r="B3565" i="106"/>
  <c r="D3565" i="106" s="1"/>
  <c r="K41" i="3"/>
  <c r="B6191" i="106"/>
  <c r="D6191" i="106" s="1"/>
  <c r="J41" i="3"/>
  <c r="D51" i="36" s="1"/>
  <c r="D15" i="7"/>
  <c r="B1772" i="106" s="1"/>
  <c r="D1772" i="106" s="1"/>
  <c r="B1746" i="106"/>
  <c r="D1746" i="106" s="1"/>
  <c r="D109" i="5"/>
  <c r="F130" i="34"/>
  <c r="G109" i="5"/>
  <c r="H342" i="29"/>
  <c r="B7071" i="106"/>
  <c r="D7071" i="106" s="1"/>
  <c r="F66" i="34"/>
  <c r="I173" i="5"/>
  <c r="B4216" i="106" s="1"/>
  <c r="D4216" i="106" s="1"/>
  <c r="D11" i="7"/>
  <c r="B1768" i="106" s="1"/>
  <c r="D1768" i="106" s="1"/>
  <c r="F111" i="34"/>
  <c r="F131" i="34"/>
  <c r="B7041" i="106"/>
  <c r="D7041" i="106" s="1"/>
  <c r="E109" i="5"/>
  <c r="E4" i="4" s="1"/>
  <c r="B2630" i="106" s="1"/>
  <c r="D2630" i="106" s="1"/>
  <c r="L312" i="29"/>
  <c r="F45" i="34"/>
  <c r="F36" i="34"/>
  <c r="B3658" i="106"/>
  <c r="D3658" i="106" s="1"/>
  <c r="H365" i="29"/>
  <c r="B3649" i="106"/>
  <c r="D3649" i="106" s="1"/>
  <c r="G367" i="29"/>
  <c r="B3619" i="106"/>
  <c r="D3619" i="106" s="1"/>
  <c r="C352" i="29"/>
  <c r="F21" i="8"/>
  <c r="B3689" i="106"/>
  <c r="D3689" i="106" s="1"/>
  <c r="J77" i="4"/>
  <c r="B6262" i="106" s="1"/>
  <c r="D6262" i="106" s="1"/>
  <c r="B3670" i="106"/>
  <c r="D3670" i="106" s="1"/>
  <c r="K352" i="29"/>
  <c r="K13" i="4" s="1"/>
  <c r="B3572" i="106" s="1"/>
  <c r="D3572" i="106" s="1"/>
  <c r="B3170" i="106"/>
  <c r="D3170" i="106" s="1"/>
  <c r="H76" i="4"/>
  <c r="B3298" i="106" s="1"/>
  <c r="D3298" i="106" s="1"/>
  <c r="B1995" i="106"/>
  <c r="D1995" i="106" s="1"/>
  <c r="I24" i="12"/>
  <c r="B3647" i="106"/>
  <c r="D3647"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3447" i="106"/>
  <c r="D3447" i="106" s="1"/>
  <c r="B7270" i="106"/>
  <c r="D7254" i="106" l="1"/>
  <c r="D274" i="5"/>
  <c r="D7255" i="106"/>
  <c r="D7250" i="106"/>
  <c r="B5906" i="106"/>
  <c r="D5906" i="106" s="1"/>
  <c r="H6" i="4"/>
  <c r="B2656" i="106" s="1"/>
  <c r="D2656" i="106" s="1"/>
  <c r="D7253" i="106"/>
  <c r="D7252" i="106"/>
  <c r="K342" i="29"/>
  <c r="F13" i="34" s="1"/>
  <c r="L114" i="29"/>
  <c r="B6216" i="106"/>
  <c r="D6216" i="106" s="1"/>
  <c r="F275" i="5"/>
  <c r="B5527" i="106"/>
  <c r="D5527" i="106" s="1"/>
  <c r="F41" i="108"/>
  <c r="G43" i="108" s="1"/>
  <c r="C114" i="29"/>
  <c r="B757" i="106" s="1"/>
  <c r="D757" i="106" s="1"/>
  <c r="C173" i="5"/>
  <c r="B5223" i="106" s="1"/>
  <c r="D5223" i="106" s="1"/>
  <c r="C4" i="4"/>
  <c r="B2551" i="106" s="1"/>
  <c r="D2551" i="106" s="1"/>
  <c r="H151" i="29"/>
  <c r="B1273" i="106" s="1"/>
  <c r="D1273" i="106" s="1"/>
  <c r="B1328" i="106"/>
  <c r="D1328" i="106" s="1"/>
  <c r="J16" i="4"/>
  <c r="B6226" i="106" s="1"/>
  <c r="D6226" i="106" s="1"/>
  <c r="L16" i="11"/>
  <c r="B2061" i="106" s="1"/>
  <c r="D2061" i="106" s="1"/>
  <c r="D44" i="36"/>
  <c r="H8" i="4"/>
  <c r="B5914" i="106"/>
  <c r="D5914" i="106" s="1"/>
  <c r="D19" i="7"/>
  <c r="B1775" i="106" s="1"/>
  <c r="D1775" i="106" s="1"/>
  <c r="H275" i="5"/>
  <c r="K365" i="29"/>
  <c r="K367" i="29" s="1"/>
  <c r="B3672" i="106"/>
  <c r="D3672" i="106" s="1"/>
  <c r="B7215" i="106"/>
  <c r="D7215" i="106" s="1"/>
  <c r="F6" i="4"/>
  <c r="B2593" i="106" s="1"/>
  <c r="D2593" i="106" s="1"/>
  <c r="B3621" i="106"/>
  <c r="D3621" i="106" s="1"/>
  <c r="C367" i="29"/>
  <c r="B3622" i="106" s="1"/>
  <c r="D3622" i="106" s="1"/>
  <c r="H367" i="29"/>
  <c r="B3660" i="106" s="1"/>
  <c r="D3660" i="106" s="1"/>
  <c r="B7242" i="106"/>
  <c r="D7242" i="106" s="1"/>
  <c r="B1365" i="106"/>
  <c r="D1365" i="106" s="1"/>
  <c r="F65" i="34"/>
  <c r="B5356" i="106"/>
  <c r="D5356" i="106" s="1"/>
  <c r="D4" i="4"/>
  <c r="B2564" i="106" s="1"/>
  <c r="D2564" i="106" s="1"/>
  <c r="B6024" i="106"/>
  <c r="D6024" i="106" s="1"/>
  <c r="G4" i="4"/>
  <c r="B2603" i="106" s="1"/>
  <c r="D2603" i="106" s="1"/>
  <c r="B3568" i="106"/>
  <c r="D3568" i="106" s="1"/>
  <c r="D52" i="36"/>
  <c r="F73" i="34"/>
  <c r="G15" i="4"/>
  <c r="B6032" i="106" s="1"/>
  <c r="D6032" i="106" s="1"/>
  <c r="B1996" i="106"/>
  <c r="D1996" i="106" s="1"/>
  <c r="I26" i="12"/>
  <c r="B7741" i="106" s="1"/>
  <c r="D7741" i="106"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B5507" i="106"/>
  <c r="D5507" i="106" s="1"/>
  <c r="B7298" i="106"/>
  <c r="B7299" i="106"/>
  <c r="J17" i="4" l="1"/>
  <c r="J19" i="4" s="1"/>
  <c r="B6229" i="106" s="1"/>
  <c r="D6229" i="106" s="1"/>
  <c r="G41" i="108"/>
  <c r="G44" i="108" s="1"/>
  <c r="G45" i="108" s="1"/>
  <c r="C6" i="4"/>
  <c r="B2553" i="106" s="1"/>
  <c r="D2553" i="106" s="1"/>
  <c r="J8" i="4"/>
  <c r="J10" i="4" s="1"/>
  <c r="B6225" i="106" s="1"/>
  <c r="D6225" i="106" s="1"/>
  <c r="F8" i="4"/>
  <c r="F10" i="4" s="1"/>
  <c r="B4125" i="106" s="1"/>
  <c r="D412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20" i="4" l="1"/>
  <c r="B6230" i="106" s="1"/>
  <c r="D6230" i="106" s="1"/>
  <c r="B6227" i="106"/>
  <c r="D6227" i="106" s="1"/>
  <c r="B2595" i="106"/>
  <c r="D2595" i="106" s="1"/>
  <c r="D8" i="4"/>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<sst xmlns="http://schemas.openxmlformats.org/spreadsheetml/2006/main" count="5052" uniqueCount="2111">
  <si>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</si>
  <si>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</si>
  <si>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</si>
  <si>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</si>
  <si>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</si>
  <si>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</si>
  <si>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</si>
  <si>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</si>
  <si>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</si>
  <si>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</si>
  <si>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</si>
  <si>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</si>
  <si>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</si>
  <si>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</si>
  <si>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</si>
  <si>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</si>
  <si>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</si>
  <si>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</si>
  <si>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</si>
  <si>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</si>
  <si>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</si>
  <si>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</si>
  <si>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</si>
  <si>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</si>
  <si>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</si>
  <si>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</si>
  <si>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</si>
  <si>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</si>
  <si>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</si>
  <si>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</si>
  <si>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</si>
  <si>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</si>
  <si>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</si>
  <si>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</si>
  <si>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</si>
  <si>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</si>
  <si>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</si>
  <si>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</si>
  <si>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</si>
  <si>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</si>
  <si>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</si>
  <si>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</si>
  <si>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</si>
  <si>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</si>
  <si>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</si>
  <si>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</si>
  <si>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</si>
  <si>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</si>
  <si>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</si>
  <si>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</si>
  <si>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</si>
  <si>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</si>
  <si>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</si>
  <si>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</si>
  <si>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</si>
  <si>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</si>
  <si>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</si>
  <si>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</si>
  <si>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</si>
  <si>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</si>
  <si>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</si>
  <si>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</si>
  <si>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</si>
  <si>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</si>
  <si>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</si>
  <si>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</si>
  <si>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</si>
  <si>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</si>
  <si>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</si>
  <si>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</si>
  <si>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</si>
  <si>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</si>
  <si>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</si>
  <si>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</si>
  <si>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</si>
  <si>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</si>
  <si>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</si>
  <si>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</si>
  <si>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</si>
  <si>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</si>
  <si>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</si>
  <si>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</si>
  <si>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</si>
  <si>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</si>
  <si>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</si>
  <si>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</si>
  <si>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</si>
  <si>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</si>
  <si>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</si>
  <si>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</si>
  <si>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</si>
  <si>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</si>
  <si>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</si>
  <si>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</si>
  <si>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</si>
  <si>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</si>
  <si>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</si>
  <si>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</si>
  <si>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</si>
  <si>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</si>
  <si>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</si>
  <si>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</si>
  <si>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</si>
  <si>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</si>
  <si>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</si>
  <si>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</si>
  <si>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</si>
  <si>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</si>
  <si>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</si>
  <si>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</si>
  <si>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</si>
  <si>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</si>
  <si>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</si>
  <si>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</si>
  <si>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</si>
  <si>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</si>
  <si>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</si>
  <si>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</si>
  <si>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</si>
  <si>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</si>
  <si>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</si>
  <si>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</si>
  <si>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</si>
  <si>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</si>
  <si>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</si>
  <si>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</si>
  <si>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</si>
  <si>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</si>
  <si>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</si>
  <si>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</si>
  <si>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</si>
  <si>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</si>
  <si>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</si>
  <si>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</si>
  <si>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</si>
  <si>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</si>
  <si>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</si>
  <si>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</si>
  <si>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</si>
  <si>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</si>
  <si>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</si>
  <si>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</si>
  <si>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</si>
  <si>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</si>
  <si>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</si>
  <si>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</si>
  <si>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</si>
  <si>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</si>
  <si>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</si>
  <si>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</si>
  <si>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</si>
  <si>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</si>
  <si>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</si>
  <si>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</si>
  <si>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</si>
  <si>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</si>
  <si>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</si>
  <si>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</si>
  <si>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</si>
  <si>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</si>
  <si>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</si>
  <si>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</si>
  <si>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</si>
  <si>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</si>
  <si>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</si>
  <si>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</si>
  <si>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</si>
  <si>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</si>
  <si>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</si>
  <si>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</si>
  <si>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</si>
  <si>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</si>
  <si>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</si>
  <si>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</si>
  <si>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</si>
  <si>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</si>
  <si>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</si>
  <si>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</si>
  <si>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</si>
  <si>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</si>
  <si>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</si>
  <si>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</si>
  <si>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</si>
  <si>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</si>
  <si>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</si>
  <si>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</si>
  <si>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</si>
  <si>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</si>
  <si>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</si>
  <si>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</si>
  <si>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</si>
  <si>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</si>
  <si>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</si>
  <si>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</si>
  <si>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</si>
  <si>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</si>
  <si>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</si>
  <si>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</si>
  <si>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</si>
  <si>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</si>
  <si>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</si>
  <si>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</si>
  <si>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</si>
  <si>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</si>
  <si>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</si>
  <si>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</si>
  <si>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</si>
  <si>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</si>
  <si>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</si>
  <si>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</si>
  <si>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</si>
  <si>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</si>
  <si>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</si>
  <si>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</si>
  <si>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</si>
  <si>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</si>
  <si>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</si>
  <si>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</si>
  <si>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</si>
  <si>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</si>
  <si>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</si>
  <si>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</si>
  <si>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</si>
  <si>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</si>
  <si>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</si>
  <si>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</si>
  <si>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</si>
  <si>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</si>
  <si>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</si>
  <si>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</si>
  <si>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</si>
  <si>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</si>
  <si>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</si>
  <si>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</si>
  <si>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</si>
  <si>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</si>
  <si>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</si>
  <si>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</si>
  <si>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</si>
  <si>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</si>
  <si>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</si>
  <si>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</si>
  <si>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</si>
  <si>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</si>
  <si>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</si>
  <si>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</si>
  <si>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</si>
  <si>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</si>
  <si>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</si>
  <si>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</si>
  <si>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</si>
  <si>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</si>
  <si>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</si>
  <si>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</si>
  <si>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</si>
  <si>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</si>
  <si>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</si>
  <si>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</si>
  <si>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</si>
  <si>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</si>
  <si>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</si>
  <si>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</si>
  <si>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</si>
  <si>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</si>
  <si>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</si>
  <si>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</si>
  <si>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</si>
  <si>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</si>
  <si>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</si>
  <si>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</si>
  <si>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</si>
  <si>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</si>
  <si>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</si>
  <si>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</si>
  <si>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</si>
  <si>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</si>
  <si>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</si>
  <si>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</si>
  <si>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</si>
  <si>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</si>
  <si>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</si>
  <si>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</si>
  <si>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</si>
  <si>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</si>
  <si>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</si>
  <si>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</si>
  <si>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</si>
  <si>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</si>
  <si>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</si>
  <si>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</si>
  <si>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</si>
  <si>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</si>
  <si>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</si>
  <si>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</si>
  <si>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</si>
  <si>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</si>
  <si>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</si>
  <si>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</si>
  <si>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</si>
  <si>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</si>
  <si>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</si>
  <si>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</si>
  <si>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</si>
  <si>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</si>
  <si>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</si>
  <si>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</si>
  <si>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</si>
  <si>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</si>
  <si>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</si>
  <si>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</si>
  <si>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</si>
  <si>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</si>
  <si>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</si>
  <si>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</si>
  <si>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</si>
  <si>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</si>
  <si>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</si>
  <si>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</si>
  <si>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</si>
  <si>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</si>
  <si>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</si>
  <si>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</si>
  <si>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</si>
  <si>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</si>
  <si>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</si>
  <si>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</si>
  <si>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</si>
  <si>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</si>
  <si>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</si>
  <si>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</si>
  <si>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</si>
  <si>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</si>
  <si>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</si>
  <si>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</si>
  <si>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</si>
  <si>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</si>
  <si>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</si>
  <si>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</si>
  <si>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</si>
  <si>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</si>
  <si>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</si>
  <si>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</si>
  <si>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</si>
  <si>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</si>
  <si>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</si>
  <si>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</si>
  <si>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</si>
  <si>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</si>
  <si>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</si>
  <si>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</si>
  <si>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</si>
  <si>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</si>
  <si>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</si>
  <si>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</si>
  <si>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</si>
  <si>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</si>
  <si>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</si>
  <si>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</si>
  <si>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</si>
  <si>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</si>
  <si>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</si>
  <si>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</si>
  <si>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</si>
  <si>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</si>
  <si>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</si>
  <si>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</si>
  <si>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</si>
  <si>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</si>
  <si>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</si>
  <si>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</si>
  <si>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</si>
  <si>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</si>
  <si>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</si>
  <si>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</si>
  <si>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</si>
  <si>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</si>
  <si>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</si>
  <si>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</si>
  <si>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</si>
  <si>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</si>
  <si>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</si>
  <si>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</si>
  <si>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</si>
  <si>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</si>
  <si>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</si>
  <si>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</si>
  <si>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</si>
  <si>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</si>
  <si>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</si>
  <si>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</si>
  <si>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</si>
  <si>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</si>
  <si>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</si>
  <si>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</si>
  <si>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</si>
  <si>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</si>
  <si>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</si>
  <si>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</si>
  <si>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</si>
  <si>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</si>
  <si>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</si>
  <si>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</si>
  <si>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</si>
  <si>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</si>
  <si>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</si>
  <si>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</si>
  <si>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</si>
  <si>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</si>
  <si>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</si>
  <si>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</si>
  <si>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</si>
  <si>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</si>
  <si>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</si>
  <si>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</si>
  <si>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</si>
  <si>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</si>
  <si>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</si>
  <si>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</si>
  <si>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</si>
  <si>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</si>
  <si>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</si>
  <si>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</si>
  <si>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</si>
  <si>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</si>
  <si>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</si>
  <si>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</si>
  <si>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</si>
  <si>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</si>
  <si>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</si>
  <si>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</si>
  <si>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</si>
  <si>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</si>
  <si>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</si>
  <si>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</si>
  <si>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</si>
  <si>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</si>
  <si>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</si>
  <si>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</si>
  <si>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</si>
  <si>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</si>
  <si>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</si>
  <si>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</si>
  <si>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</si>
  <si>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</si>
  <si>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</si>
  <si>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</si>
  <si>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</si>
  <si>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</si>
  <si>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</si>
  <si>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</si>
  <si>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</si>
  <si>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</si>
  <si>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</si>
  <si>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</si>
  <si>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</si>
  <si>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</si>
  <si>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</si>
  <si>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</si>
  <si>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</si>
  <si>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</si>
  <si>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</si>
  <si>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</si>
  <si>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</si>
  <si>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</si>
  <si>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</si>
  <si>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</si>
  <si>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</si>
  <si>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</si>
  <si>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</si>
  <si>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</si>
  <si>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</si>
  <si>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</si>
  <si>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</si>
  <si>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</si>
  <si>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</si>
  <si>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</si>
  <si>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</si>
  <si>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</si>
  <si>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</si>
  <si>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</si>
  <si>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</si>
  <si>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</si>
  <si>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</si>
  <si>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</si>
  <si>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</si>
  <si>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</si>
  <si>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</si>
  <si>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</si>
  <si>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</si>
  <si>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</si>
  <si>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</si>
  <si>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</si>
  <si>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</si>
  <si>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</si>
  <si>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</si>
  <si>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</si>
  <si>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</si>
  <si>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</si>
  <si>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</si>
  <si>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</si>
  <si>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</si>
  <si>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</si>
  <si>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</si>
  <si>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</si>
  <si>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</si>
  <si>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</si>
  <si>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</si>
  <si>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</si>
  <si>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</si>
  <si>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</si>
  <si>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</si>
  <si>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</si>
  <si>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</si>
  <si>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</si>
  <si>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</si>
  <si>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</si>
  <si>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</si>
  <si>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</si>
  <si>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</si>
  <si>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</si>
  <si>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</si>
  <si>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</si>
  <si>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</si>
  <si>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</si>
  <si>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</si>
  <si>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</si>
  <si>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</si>
  <si>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</si>
  <si>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</si>
  <si>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</si>
  <si>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</si>
  <si>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</si>
  <si>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</si>
  <si>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</si>
  <si>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</si>
  <si>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</si>
  <si>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</si>
  <si>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</si>
  <si>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</si>
  <si>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</si>
  <si>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</si>
  <si>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</si>
  <si>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</si>
  <si>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</si>
  <si>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</si>
  <si>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</si>
  <si>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</si>
  <si>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</si>
  <si>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</si>
  <si>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</si>
  <si>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</si>
  <si>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</si>
  <si>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</si>
  <si>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</si>
  <si>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</si>
  <si>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</si>
  <si>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</si>
  <si>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</si>
  <si>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</si>
  <si>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</si>
  <si>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</si>
  <si>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</si>
  <si>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</si>
  <si>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</si>
  <si>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</si>
  <si>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</si>
  <si>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</si>
  <si>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</si>
  <si>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</si>
  <si>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</si>
  <si>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</si>
  <si>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</si>
  <si>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</si>
  <si>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</si>
  <si>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</si>
  <si>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</si>
  <si>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</si>
  <si>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</si>
  <si>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</si>
  <si>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</si>
  <si>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</si>
  <si>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</si>
  <si>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</si>
  <si>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</si>
  <si>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</si>
  <si>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</si>
  <si>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</si>
  <si>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</si>
  <si>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</si>
  <si>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</si>
  <si>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</si>
  <si>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</si>
  <si>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</si>
  <si>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</si>
  <si>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</si>
  <si>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</si>
  <si>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</si>
  <si>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</si>
  <si>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</si>
  <si>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</si>
  <si>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</si>
  <si>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</si>
  <si>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</si>
  <si>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</si>
  <si>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</si>
  <si>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</si>
  <si>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</si>
  <si>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</si>
  <si>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</si>
  <si>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</si>
  <si>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</si>
  <si>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</si>
  <si>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</si>
  <si>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</si>
  <si>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</si>
  <si>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</si>
  <si>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</si>
  <si>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</si>
  <si>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</si>
  <si>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</si>
  <si>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</si>
  <si>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</si>
  <si>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</si>
  <si>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</si>
  <si>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</si>
  <si>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</si>
  <si>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</si>
  <si>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</si>
  <si>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</si>
  <si>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</si>
  <si>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</si>
  <si>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</si>
  <si>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</si>
  <si>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</si>
  <si>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</si>
  <si>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</si>
  <si>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</si>
  <si>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</si>
  <si>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</si>
  <si>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</si>
  <si>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</si>
  <si>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</si>
  <si>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</si>
  <si>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</si>
  <si>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</si>
  <si>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</si>
  <si>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</si>
  <si>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</si>
  <si>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</si>
  <si>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</si>
  <si>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</si>
  <si>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</si>
  <si>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</si>
  <si>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</si>
  <si>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</si>
  <si>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</si>
  <si>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</si>
  <si>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</si>
  <si>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</si>
  <si>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</si>
  <si>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</si>
  <si>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</si>
  <si>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</si>
  <si>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</si>
  <si>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</si>
  <si>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</si>
  <si>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</si>
  <si>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</si>
  <si>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</si>
  <si>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</si>
  <si>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</si>
  <si>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</si>
  <si>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</si>
  <si>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</si>
  <si>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</si>
  <si>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</si>
  <si>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</si>
  <si>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</si>
  <si>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</si>
  <si>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</si>
  <si>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</si>
  <si>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</si>
  <si>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</si>
  <si>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</si>
  <si>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</si>
  <si>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</si>
  <si>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</si>
  <si>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</si>
  <si>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</si>
  <si>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</si>
  <si>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</si>
  <si>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</si>
  <si>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</si>
  <si>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</si>
  <si>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</si>
  <si>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</si>
  <si>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</si>
  <si>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</si>
  <si>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</si>
  <si>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</si>
  <si>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</si>
  <si>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</si>
  <si>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</si>
  <si>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</si>
  <si>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</si>
  <si>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</si>
  <si>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</si>
  <si>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</si>
  <si>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</si>
  <si>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</si>
  <si>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</si>
  <si>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</si>
  <si>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</si>
  <si>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</si>
  <si>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</si>
  <si>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</si>
  <si>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</si>
  <si>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</si>
  <si>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</si>
  <si>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</si>
  <si>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</si>
  <si>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</si>
  <si>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</si>
  <si>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</si>
  <si>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</si>
  <si>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</si>
  <si>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</si>
  <si>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</si>
  <si>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</si>
  <si>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</si>
  <si>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</si>
  <si>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</si>
  <si>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</si>
  <si>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</si>
  <si>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</si>
  <si>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</si>
  <si>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</si>
  <si>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</si>
  <si>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</si>
  <si>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</si>
  <si>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</si>
  <si>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</si>
  <si>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</si>
  <si>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</si>
  <si>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</si>
  <si>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</si>
  <si>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</si>
  <si>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</si>
  <si>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</si>
  <si>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</si>
  <si>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</si>
  <si>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</si>
  <si>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</si>
  <si>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</si>
  <si>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</si>
  <si>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</si>
  <si>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</si>
  <si>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</si>
  <si>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</si>
  <si>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</si>
  <si>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</si>
  <si>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</si>
  <si>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</si>
  <si>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</si>
  <si>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</si>
  <si>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</si>
  <si>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</si>
  <si>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</si>
  <si>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</si>
  <si>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</si>
  <si>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</si>
  <si>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</si>
  <si>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</si>
  <si>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</si>
  <si>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</si>
  <si>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</si>
  <si>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</si>
  <si>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</si>
  <si>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</si>
  <si>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</si>
  <si>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</si>
  <si>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</si>
  <si>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</si>
  <si>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</si>
  <si>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</si>
  <si>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</si>
  <si>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</si>
  <si>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</si>
  <si>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</si>
  <si>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</si>
  <si>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</si>
  <si>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</si>
  <si>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</si>
  <si>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</si>
  <si>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</si>
  <si>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</si>
  <si>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</si>
  <si>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</si>
  <si>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</si>
  <si>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</si>
  <si>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</si>
  <si>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</si>
  <si>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</si>
  <si>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</si>
  <si>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</si>
  <si>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</si>
  <si>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</si>
  <si>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</si>
  <si>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</si>
  <si>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</si>
  <si>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</si>
  <si>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</si>
  <si>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</si>
  <si>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</si>
  <si>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</si>
  <si>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</si>
  <si>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</si>
  <si>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</si>
  <si>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</si>
  <si>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</si>
  <si>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</si>
  <si>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</si>
  <si>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</si>
  <si>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</si>
  <si>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</si>
  <si>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</si>
  <si>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</si>
  <si>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</si>
  <si>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</si>
  <si>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</si>
  <si>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</si>
  <si>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</si>
  <si>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</si>
  <si>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</si>
  <si>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</si>
  <si>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</si>
  <si>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</si>
  <si>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</si>
  <si>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</si>
  <si>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</si>
  <si>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</si>
  <si>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</si>
  <si>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</si>
  <si>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</si>
  <si>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</si>
  <si>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</si>
  <si>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</si>
  <si>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</si>
  <si>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</si>
  <si>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</si>
  <si>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</si>
  <si>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</si>
  <si>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</si>
  <si>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</si>
  <si>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</si>
  <si>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</si>
  <si>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</si>
  <si>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</si>
  <si>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</si>
  <si>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</si>
  <si>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</si>
  <si>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</si>
  <si>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</si>
  <si>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</si>
  <si>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</si>
  <si>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</si>
  <si>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</si>
  <si>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</si>
  <si>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</si>
  <si>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</si>
  <si>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</si>
  <si>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</si>
  <si>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</si>
  <si>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</si>
  <si>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</si>
  <si>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</si>
  <si>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</si>
  <si>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</si>
  <si>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</si>
  <si>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</si>
  <si>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</si>
  <si>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</si>
  <si>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</si>
  <si>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</si>
  <si>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</si>
  <si>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</si>
  <si>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</si>
  <si>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</si>
  <si>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</si>
  <si>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</si>
  <si>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</si>
  <si>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</si>
  <si>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</si>
  <si>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</si>
  <si>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</si>
  <si>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</si>
  <si>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</si>
  <si>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</si>
  <si>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</si>
  <si>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</si>
  <si>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</si>
  <si>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</si>
  <si>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</si>
  <si>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</si>
  <si>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</si>
  <si>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</si>
  <si>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</si>
  <si>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</si>
  <si>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</si>
  <si>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</si>
  <si>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</si>
  <si>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</si>
  <si>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</si>
  <si>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</si>
  <si>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</si>
  <si>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</si>
  <si>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</si>
  <si>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</si>
  <si>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</si>
  <si>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</si>
  <si>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</si>
  <si>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</si>
  <si>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</si>
  <si>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</si>
  <si>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</si>
  <si>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</si>
  <si>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</si>
  <si>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</si>
  <si>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</si>
  <si>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</si>
  <si>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</si>
  <si>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</si>
  <si>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</si>
  <si>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</si>
  <si>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</si>
  <si>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</si>
  <si>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</si>
  <si>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</si>
  <si>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</si>
  <si>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</si>
  <si>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</si>
  <si>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</si>
  <si>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</si>
  <si>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</si>
  <si>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</si>
  <si>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</si>
  <si>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</si>
  <si>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</si>
  <si>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</si>
  <si>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</si>
  <si>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</si>
  <si>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</si>
  <si>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</si>
  <si>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</si>
  <si>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</si>
  <si>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</si>
  <si>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</si>
  <si>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</si>
  <si>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</si>
  <si>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</si>
  <si>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</si>
  <si>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</si>
  <si>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</si>
  <si>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</si>
  <si>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</si>
  <si>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</si>
  <si>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</si>
  <si>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</si>
  <si>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</si>
  <si>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</si>
  <si>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</si>
  <si>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</si>
  <si>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</si>
  <si>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</si>
  <si>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</si>
  <si>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</si>
  <si>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</si>
  <si>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</si>
  <si>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</si>
  <si>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</si>
  <si>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</si>
  <si>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</si>
  <si>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</si>
  <si>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</si>
  <si>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</si>
  <si>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</si>
  <si>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</si>
  <si>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</si>
  <si>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</si>
  <si>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</si>
  <si>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</si>
  <si>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</si>
  <si>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</si>
  <si>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</si>
  <si>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</si>
  <si>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</si>
  <si>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</si>
  <si>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</si>
  <si>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</si>
  <si>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</si>
  <si>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</si>
  <si>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</si>
  <si>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</si>
  <si>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</si>
  <si>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</si>
  <si>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</si>
  <si>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</si>
  <si>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</si>
  <si>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</si>
  <si>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</si>
  <si>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</si>
  <si>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</si>
  <si>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</si>
  <si>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</si>
  <si>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</si>
  <si>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</si>
  <si>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</si>
  <si>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</si>
  <si>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</si>
  <si>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</si>
  <si>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</si>
  <si>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</si>
  <si>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</si>
  <si>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</si>
  <si>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</si>
  <si>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</si>
  <si>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</si>
  <si>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</si>
  <si>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</si>
  <si>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</si>
  <si>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</si>
  <si>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</si>
  <si>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</si>
  <si>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</si>
  <si>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</si>
  <si>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</si>
  <si>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</si>
  <si>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</si>
  <si>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</si>
  <si>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</si>
  <si>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</si>
  <si>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</si>
  <si>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</si>
  <si>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</si>
  <si>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</si>
  <si>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</si>
  <si>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</si>
  <si>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</si>
  <si>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</si>
  <si>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</si>
  <si>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</si>
  <si>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</si>
  <si>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</si>
  <si>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</si>
  <si>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</si>
  <si>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</si>
  <si>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</si>
  <si>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</si>
  <si>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</si>
  <si>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</si>
  <si>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</si>
  <si>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</si>
  <si>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</si>
  <si>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</si>
  <si>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</si>
  <si>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</si>
  <si>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</si>
  <si>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</si>
  <si>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</si>
  <si>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</si>
  <si>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</si>
  <si>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</si>
  <si>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</si>
  <si>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</si>
  <si>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</si>
  <si>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</si>
  <si>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</si>
  <si>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</si>
  <si>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</si>
  <si>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</si>
  <si>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</si>
  <si>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</si>
  <si>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</si>
  <si>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</si>
  <si>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</si>
  <si>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</si>
  <si>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</si>
  <si>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</si>
  <si>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</si>
  <si>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</si>
  <si>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</si>
  <si>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</si>
  <si>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</si>
  <si>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</si>
  <si>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</si>
  <si>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</si>
  <si>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</si>
  <si>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</si>
  <si>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</si>
  <si>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</si>
  <si>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</si>
  <si>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</si>
  <si>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</si>
  <si>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</si>
  <si>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</si>
  <si>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</si>
  <si>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</si>
  <si>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</si>
  <si>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</si>
  <si>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</si>
  <si>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</si>
  <si>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</si>
  <si>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</si>
  <si>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</si>
  <si>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</si>
  <si>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</si>
  <si>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</si>
  <si>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</si>
  <si>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</si>
  <si>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</si>
  <si>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</si>
  <si>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</si>
  <si>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</si>
  <si>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</si>
  <si>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</si>
  <si>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</si>
  <si>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</si>
  <si>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</si>
  <si>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</si>
  <si>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</si>
  <si>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</si>
  <si>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</si>
  <si>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</si>
  <si>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</si>
  <si>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</si>
  <si>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</si>
  <si>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</si>
  <si>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</si>
  <si>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</si>
  <si>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</si>
  <si>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</si>
  <si>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</si>
  <si>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</si>
  <si>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</si>
  <si>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</si>
  <si>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</si>
  <si>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</si>
  <si>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</si>
  <si>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</si>
  <si>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</si>
  <si>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</si>
  <si>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</si>
  <si>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</si>
  <si>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</si>
  <si>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</si>
  <si>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</si>
  <si>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</si>
  <si>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</si>
  <si>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</si>
  <si>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</si>
  <si>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</si>
  <si>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</si>
  <si>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</si>
  <si>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</si>
  <si>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</si>
  <si>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</si>
  <si>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</si>
  <si>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</si>
  <si>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</si>
  <si>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</si>
  <si>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</si>
  <si>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</si>
  <si>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</si>
  <si>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</si>
  <si>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</si>
  <si>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</si>
  <si>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</si>
  <si>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</si>
  <si>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</si>
  <si>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</si>
  <si>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</si>
  <si>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</si>
  <si>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</si>
  <si>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</si>
  <si>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</si>
  <si>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</si>
  <si>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</si>
  <si>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</si>
  <si>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</si>
  <si>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</si>
  <si>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</si>
  <si>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</si>
  <si>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</si>
  <si>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</si>
  <si>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</si>
  <si>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</si>
  <si>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</si>
  <si>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</si>
  <si>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</si>
  <si>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</si>
  <si>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</si>
  <si>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</si>
  <si>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</si>
  <si>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</si>
  <si>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</si>
  <si>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</si>
  <si>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</si>
  <si>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</si>
  <si>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</si>
  <si>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</si>
  <si>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</si>
  <si>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</si>
  <si>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</si>
  <si>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</si>
  <si>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</si>
  <si>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</si>
  <si>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</si>
  <si>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</si>
  <si>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</si>
  <si>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</si>
  <si>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</si>
  <si>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</si>
  <si>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</si>
  <si>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</si>
  <si>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</si>
  <si>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</si>
  <si>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</si>
  <si>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</si>
  <si>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</si>
  <si>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</si>
  <si>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</si>
  <si>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</si>
  <si>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</si>
  <si>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</si>
  <si>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</si>
  <si>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</si>
  <si>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</si>
  <si>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</si>
  <si>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</si>
  <si>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</si>
  <si>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</si>
  <si>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</si>
  <si>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</si>
  <si>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</si>
  <si>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</si>
  <si>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</si>
  <si>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</si>
  <si>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</si>
  <si>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</si>
  <si>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</si>
  <si>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</si>
  <si>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</si>
  <si>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</si>
  <si>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</si>
  <si>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</si>
  <si>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</si>
  <si>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</si>
  <si>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</si>
  <si>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</si>
  <si>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</si>
  <si>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</si>
  <si>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</si>
  <si>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</si>
  <si>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</si>
  <si>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</si>
  <si>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</si>
  <si>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</si>
  <si>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</si>
  <si>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</si>
  <si>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</si>
  <si>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</si>
  <si>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</si>
  <si>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</si>
  <si>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</si>
  <si>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</si>
  <si>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</si>
  <si>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</si>
  <si>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</si>
  <si>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</si>
  <si>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</si>
  <si>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</si>
  <si>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</si>
  <si>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</si>
  <si>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</si>
  <si>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</si>
  <si>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</si>
  <si>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</si>
  <si>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</si>
  <si>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</si>
  <si>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</si>
  <si>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</si>
  <si>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</si>
  <si>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</si>
  <si>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</si>
  <si>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</si>
  <si>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</si>
  <si>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</si>
  <si>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</si>
  <si>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</si>
  <si>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</si>
  <si>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</si>
  <si>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</si>
  <si>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</si>
  <si>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</si>
  <si>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</si>
  <si>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</si>
  <si>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</si>
  <si>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</si>
  <si>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</si>
  <si>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</si>
  <si>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</si>
  <si>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</si>
  <si>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</si>
  <si>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</si>
  <si>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</si>
  <si>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</si>
  <si>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</si>
  <si>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</si>
  <si>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</si>
  <si>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</si>
  <si>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</si>
  <si>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</si>
  <si>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</si>
  <si>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</si>
  <si>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</si>
  <si>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</si>
  <si>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</si>
  <si>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</si>
  <si>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</si>
  <si>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</si>
  <si>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</si>
  <si>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</si>
  <si>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</si>
  <si>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</si>
  <si>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</si>
  <si>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</si>
  <si>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</si>
  <si>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</si>
  <si>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</si>
  <si>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</si>
  <si>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</si>
  <si>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</si>
  <si>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</si>
  <si>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</si>
  <si>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</si>
  <si>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</si>
  <si>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</si>
  <si>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</si>
  <si>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</si>
  <si>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</si>
  <si>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</si>
  <si>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</si>
  <si>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</si>
  <si>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</si>
  <si>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</si>
  <si>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</si>
  <si>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</si>
  <si>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</si>
  <si>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</si>
  <si>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</si>
  <si>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</si>
  <si>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</si>
  <si>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</si>
  <si>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</si>
  <si>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</si>
  <si>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</si>
  <si>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</si>
  <si>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</si>
  <si>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</si>
  <si>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</si>
  <si>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</si>
  <si>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</si>
  <si>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</si>
  <si>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</si>
  <si>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</si>
  <si>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</si>
  <si>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</si>
  <si>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</si>
  <si>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</si>
  <si>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</si>
  <si>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</si>
  <si>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</si>
  <si>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</si>
  <si>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</si>
  <si>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</si>
  <si>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</si>
  <si>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</si>
  <si>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</si>
  <si>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</si>
  <si>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</si>
  <si>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</si>
  <si>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</si>
  <si>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</si>
  <si>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</si>
  <si>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</si>
  <si>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</si>
  <si>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</si>
  <si>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</si>
  <si>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</si>
  <si>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</si>
  <si>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</si>
  <si>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</si>
  <si>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</si>
  <si>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</si>
  <si>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</si>
  <si>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</si>
  <si>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</si>
  <si>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</si>
  <si>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</si>
  <si>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</si>
  <si>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</si>
  <si>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</si>
  <si>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</si>
  <si>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</si>
  <si>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</si>
  <si>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</si>
  <si>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</si>
  <si>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</si>
  <si>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</si>
  <si>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</si>
  <si>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</si>
  <si>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</si>
  <si>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</si>
  <si>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</si>
  <si>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</si>
  <si>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</si>
  <si>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</si>
  <si>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</si>
  <si>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</si>
  <si>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</si>
  <si>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</si>
  <si>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</si>
  <si>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</si>
  <si>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</si>
  <si>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</si>
  <si>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</si>
  <si>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</si>
  <si>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</si>
  <si>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</si>
  <si>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</si>
  <si>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</si>
  <si>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</si>
  <si>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</si>
  <si>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</si>
  <si>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</si>
  <si>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</si>
  <si>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</si>
  <si>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</si>
  <si>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</si>
  <si>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</si>
  <si>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</si>
  <si>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</si>
  <si>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</si>
  <si>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</si>
  <si>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</si>
  <si>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</si>
  <si>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</si>
  <si>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</si>
  <si>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</si>
  <si>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</si>
  <si>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</si>
  <si>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</si>
  <si>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</si>
  <si>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</si>
  <si>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</si>
  <si>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</si>
  <si>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</si>
  <si>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</si>
  <si>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</si>
  <si>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</si>
  <si>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</si>
  <si>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</si>
  <si>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</si>
  <si>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</si>
  <si>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</si>
  <si>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</si>
  <si>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</si>
  <si>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</si>
  <si>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</si>
  <si>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</si>
  <si>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</si>
  <si>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</si>
  <si>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</si>
  <si>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</si>
  <si>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</si>
  <si>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</si>
  <si>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</si>
  <si>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</si>
  <si>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</si>
  <si>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</si>
  <si>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</si>
  <si>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</si>
  <si>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</si>
  <si>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</si>
  <si>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</si>
  <si>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</si>
  <si>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</si>
  <si>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</si>
  <si>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</si>
  <si>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</si>
  <si>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</si>
  <si>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</si>
  <si>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</si>
  <si>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</si>
  <si>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</si>
  <si>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</si>
  <si>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</si>
  <si>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</si>
  <si>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</si>
  <si>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</si>
  <si>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</si>
  <si>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</si>
  <si>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</si>
  <si>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</si>
  <si>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</si>
  <si>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</si>
  <si>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</si>
  <si>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</si>
  <si>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</si>
  <si>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</si>
  <si>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</si>
  <si>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</si>
  <si>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</si>
  <si>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</si>
  <si>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</si>
  <si>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</si>
  <si>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</si>
  <si>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</si>
  <si>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</si>
  <si>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</si>
  <si>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</si>
  <si>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</si>
  <si>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</si>
  <si>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</si>
  <si>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</si>
  <si>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</si>
  <si>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</si>
  <si>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</si>
  <si>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</si>
  <si>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</si>
  <si>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</si>
  <si>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</si>
  <si>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</si>
  <si>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</si>
  <si>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</si>
  <si>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</si>
  <si>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</si>
  <si>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</si>
  <si>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</si>
  <si>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</si>
  <si>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</si>
  <si>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</si>
  <si>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</si>
  <si>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</si>
  <si>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</si>
  <si>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</si>
  <si>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</si>
  <si>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</si>
  <si>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</si>
  <si>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</si>
  <si>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</si>
  <si>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</si>
  <si>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</si>
  <si>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</si>
  <si>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</si>
  <si>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</si>
  <si>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</si>
  <si>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</si>
  <si>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</si>
  <si>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</si>
  <si>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</si>
  <si>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</si>
  <si>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</si>
  <si>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</si>
  <si>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</si>
  <si>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</si>
  <si>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</si>
  <si>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</si>
  <si>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</si>
  <si>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</si>
  <si>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</si>
  <si>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</si>
  <si>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</si>
  <si>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</si>
  <si>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</si>
  <si>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</si>
  <si>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</si>
  <si>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</si>
  <si>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</si>
  <si>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</si>
  <si>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</si>
  <si>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</si>
  <si>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</si>
  <si>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</si>
  <si>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</si>
  <si>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</si>
  <si>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</si>
  <si>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</si>
  <si>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</si>
  <si>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</si>
  <si>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</si>
  <si>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</si>
  <si>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</si>
  <si>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</si>
  <si>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</si>
  <si>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</si>
  <si>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</si>
  <si>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</si>
  <si>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</si>
  <si>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</si>
  <si>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</si>
  <si>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</si>
  <si>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</si>
  <si>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</si>
  <si>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</si>
  <si>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</si>
  <si>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</si>
  <si>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</si>
  <si>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</si>
  <si>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</si>
  <si>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</si>
  <si>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</si>
  <si>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</si>
  <si>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</si>
  <si>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</si>
  <si>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</si>
  <si>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</si>
  <si>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</si>
  <si>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</si>
  <si>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</si>
  <si>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</si>
  <si>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</si>
  <si>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</si>
  <si>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</si>
  <si>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</si>
  <si>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</si>
  <si>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</si>
  <si>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</si>
  <si>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</si>
  <si>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</si>
  <si>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</si>
  <si>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</si>
  <si>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</si>
  <si>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</si>
  <si>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</si>
  <si>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</si>
  <si>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</si>
  <si>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</si>
  <si>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</si>
  <si>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</si>
  <si>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</si>
  <si>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</si>
  <si>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</si>
  <si>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</si>
  <si>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</si>
  <si>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</si>
  <si>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</si>
  <si>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</si>
  <si>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</si>
  <si>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</si>
  <si>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</si>
  <si>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</si>
  <si>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</si>
  <si>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</si>
  <si>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</si>
  <si>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</si>
  <si>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</si>
  <si>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</si>
  <si>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</si>
  <si>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</si>
  <si>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</si>
  <si>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</si>
  <si>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</si>
  <si>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</si>
  <si>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</si>
  <si>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</si>
  <si>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</si>
  <si>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</si>
  <si>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</si>
  <si>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</si>
  <si>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</si>
  <si>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</si>
  <si>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</si>
  <si>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</si>
  <si>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</si>
  <si>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</si>
  <si>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</si>
  <si>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</si>
  <si>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</si>
  <si>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</si>
  <si>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</si>
  <si>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</si>
  <si>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</si>
  <si>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</si>
  <si>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</si>
  <si>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</si>
  <si>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</si>
  <si>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</si>
  <si>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</si>
  <si>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</si>
  <si>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</si>
  <si>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</si>
  <si>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</si>
  <si>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</si>
  <si>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</si>
  <si>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</si>
  <si>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</si>
  <si>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</si>
  <si>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</si>
  <si>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</si>
  <si>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</si>
  <si>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</si>
  <si>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</si>
  <si>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</si>
  <si>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</si>
  <si>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</si>
  <si>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</si>
  <si>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</si>
  <si>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</si>
  <si>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</si>
  <si>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</si>
  <si>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</si>
  <si>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</si>
  <si>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</si>
  <si>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</si>
  <si>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</si>
  <si>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</si>
  <si>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</si>
  <si>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</si>
  <si>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</si>
  <si>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</si>
  <si>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</si>
  <si>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</si>
  <si>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</si>
  <si>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</si>
  <si>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</si>
  <si>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</si>
  <si>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</si>
  <si>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</si>
  <si>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</si>
  <si>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</si>
  <si>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</si>
  <si>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</si>
  <si>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</si>
  <si>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</si>
  <si>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</si>
  <si>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</si>
  <si>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</si>
  <si>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</si>
  <si>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</si>
  <si>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</si>
  <si>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</si>
  <si>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</si>
  <si>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</si>
  <si>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</si>
  <si>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</si>
  <si>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</si>
  <si>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</si>
  <si>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</si>
  <si>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</si>
  <si>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</si>
  <si>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</si>
  <si>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</si>
  <si>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</si>
  <si>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</si>
  <si>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</si>
  <si>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</si>
  <si>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</si>
  <si>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</si>
  <si>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</si>
  <si>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</si>
  <si>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</si>
  <si>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</si>
  <si>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</si>
  <si>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</si>
  <si>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</si>
  <si>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</si>
  <si>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</si>
  <si>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</si>
  <si>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</si>
  <si>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</si>
  <si>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</si>
  <si>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</si>
  <si>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</si>
  <si>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</si>
  <si>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</si>
  <si>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</si>
  <si>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</si>
  <si>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</si>
  <si>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</si>
  <si>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</si>
  <si>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</si>
  <si>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</si>
  <si>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</si>
  <si>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</si>
  <si>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</si>
  <si>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</si>
  <si>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</si>
  <si>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</si>
  <si>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</si>
  <si>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</si>
  <si>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</si>
  <si>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</si>
  <si>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</si>
  <si>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</si>
  <si>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</si>
  <si>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</si>
  <si>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</si>
  <si>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</si>
  <si>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</si>
  <si>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</si>
  <si>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</si>
  <si>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</si>
  <si>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</si>
  <si>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</si>
  <si>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</si>
  <si>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</si>
  <si>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</si>
  <si>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</si>
  <si>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</si>
  <si>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</si>
  <si>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</si>
  <si>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</si>
  <si>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</si>
  <si>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</si>
  <si>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</si>
  <si>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</si>
  <si>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</si>
  <si>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</si>
  <si>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</si>
  <si>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</si>
  <si>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</si>
  <si>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</si>
  <si>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</si>
  <si>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</si>
  <si>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</si>
  <si>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</si>
  <si>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</si>
  <si>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</si>
  <si>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</si>
  <si>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</si>
  <si>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</si>
  <si>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</si>
  <si>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</si>
  <si>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</si>
  <si>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</si>
  <si>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</si>
  <si>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</si>
  <si>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</si>
  <si>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</si>
  <si>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</si>
  <si>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</si>
  <si>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</si>
  <si>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</si>
  <si>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</si>
  <si>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</si>
  <si>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</si>
  <si>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</si>
  <si>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</si>
  <si>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</si>
  <si>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</si>
  <si>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</si>
  <si>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</si>
  <si>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</si>
  <si>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</si>
  <si>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</si>
  <si>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</si>
  <si>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</si>
  <si>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</si>
  <si>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</si>
  <si>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</si>
  <si>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</si>
  <si>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</si>
  <si>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</si>
  <si>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</si>
  <si>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</si>
  <si>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</si>
  <si>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</si>
  <si>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</si>
  <si>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</si>
  <si>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</si>
  <si>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</si>
  <si>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</si>
  <si>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</si>
  <si>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</si>
  <si>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</si>
  <si>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</si>
  <si>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</si>
  <si>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</si>
  <si>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</si>
  <si>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</si>
  <si>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</si>
  <si>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</si>
  <si>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</si>
  <si>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</si>
  <si>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</si>
  <si>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</si>
  <si>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</si>
  <si>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</si>
  <si>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</si>
  <si>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</si>
  <si>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</si>
  <si>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</si>
  <si>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</si>
  <si>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</si>
  <si>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</si>
  <si>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</si>
  <si>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</si>
  <si>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</si>
  <si>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</si>
  <si>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</si>
  <si>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</si>
  <si>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</si>
  <si>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</si>
  <si>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</si>
  <si>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</si>
  <si>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</si>
  <si>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</si>
  <si>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</si>
  <si>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</si>
  <si>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</si>
  <si>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</si>
  <si>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</si>
  <si>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</si>
  <si>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</si>
  <si>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</si>
  <si>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</si>
  <si>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</si>
  <si>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</si>
  <si>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</si>
  <si>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</si>
  <si>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</si>
  <si>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</si>
  <si>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</si>
  <si>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</si>
  <si>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</si>
  <si>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</si>
  <si>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</si>
  <si>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</si>
  <si>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</si>
  <si>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</si>
  <si>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</si>
  <si>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</si>
  <si>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</si>
  <si>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</si>
  <si>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</si>
  <si>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</si>
  <si>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</si>
  <si>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</si>
  <si>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</si>
  <si>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</si>
  <si>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</si>
  <si>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</si>
  <si>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</si>
  <si>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</si>
  <si>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</si>
  <si>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</si>
  <si>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</si>
  <si>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</si>
  <si>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</si>
  <si>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</si>
  <si>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</si>
  <si>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</si>
  <si>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</si>
  <si>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</si>
  <si>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</si>
  <si>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</si>
  <si>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</si>
  <si>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</si>
  <si>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</si>
  <si>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</si>
  <si>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</si>
  <si>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</si>
  <si>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</si>
  <si>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</si>
  <si>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</si>
  <si>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</si>
  <si>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</si>
  <si>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</si>
  <si>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</si>
  <si>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</si>
  <si>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</si>
  <si>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</si>
  <si>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</si>
  <si>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</si>
  <si>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</si>
  <si>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</si>
  <si>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</si>
  <si>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</si>
  <si>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</si>
  <si>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</si>
  <si>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</si>
  <si>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</si>
  <si>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</si>
  <si>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</si>
  <si>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</si>
  <si>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</si>
  <si>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</si>
  <si>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</si>
  <si>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</si>
  <si>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</si>
  <si>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</si>
  <si>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</si>
  <si>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</si>
  <si>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</si>
  <si>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</si>
  <si>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</si>
  <si>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</si>
  <si>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</si>
  <si>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</si>
  <si>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</si>
  <si>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</si>
  <si>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</si>
  <si>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</si>
  <si>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</si>
  <si>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</si>
  <si>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</si>
  <si>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</si>
  <si>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</si>
  <si>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</si>
  <si>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</si>
  <si>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</si>
  <si>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</si>
  <si>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</si>
  <si>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</si>
  <si>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</si>
  <si>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</si>
  <si>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</si>
  <si>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</si>
  <si>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</si>
  <si>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</si>
  <si>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</si>
  <si>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</si>
  <si>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</si>
  <si>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</si>
  <si>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</si>
  <si>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</si>
  <si>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</si>
  <si>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</si>
  <si>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</si>
  <si>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</si>
  <si>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</si>
  <si>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</si>
  <si>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</si>
  <si>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</si>
  <si>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</si>
  <si>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</si>
  <si>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</si>
  <si>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</si>
  <si>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</si>
  <si>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</si>
  <si>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</si>
  <si>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</si>
  <si>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</si>
  <si>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</si>
  <si>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</si>
  <si>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</si>
  <si>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</si>
  <si>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</si>
  <si>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</si>
  <si>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</si>
  <si>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</si>
  <si>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</si>
  <si>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</si>
  <si>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</si>
  <si>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</si>
  <si>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</si>
  <si>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</si>
  <si>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</si>
  <si>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</si>
  <si>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</si>
  <si>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</si>
  <si>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</si>
  <si>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</si>
  <si>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</si>
  <si>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</si>
  <si>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</si>
  <si>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</si>
  <si>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LASALLE</t>
  </si>
  <si>
    <t>535 N. 1981 ROAD</t>
  </si>
  <si>
    <t>TONICA</t>
  </si>
  <si>
    <t>cschneider@tonicagradeschool.org</t>
  </si>
  <si>
    <t>CHUCK SCHNEIDER</t>
  </si>
  <si>
    <t>815-442-3420</t>
  </si>
  <si>
    <t>815-442-3111</t>
  </si>
  <si>
    <t>HOPKINS &amp; ASSOCIATES, CPAS, INC.</t>
  </si>
  <si>
    <t>JOEL HOPKINS</t>
  </si>
  <si>
    <t>314 S. MCCOY ST.</t>
  </si>
  <si>
    <t>GRANVILLE</t>
  </si>
  <si>
    <t>IL</t>
  </si>
  <si>
    <t>815-339-6630</t>
  </si>
  <si>
    <t>815-339-6643</t>
  </si>
  <si>
    <t>joel@hopkinsoffice.com</t>
  </si>
  <si>
    <t>HOPKINS &amp; ASSOCIATES, CPAS</t>
  </si>
  <si>
    <t>Fire Life Safety Bonds</t>
  </si>
  <si>
    <t>Music Teacher - Grand Ridge; Speech Services - Peru Elementary</t>
  </si>
  <si>
    <t>L.E.A.S.E.</t>
  </si>
  <si>
    <t>Special Ed - Oglesby Public Schools</t>
  </si>
  <si>
    <t>GASB 75 Omission</t>
  </si>
  <si>
    <t>O&amp;M-Oper. &amp; Maint. Of Plant Services - Purch. Svcs.</t>
  </si>
  <si>
    <t>20-2540-300</t>
  </si>
  <si>
    <t>Illinois Valley Waste (Garbage)</t>
  </si>
  <si>
    <t>Republic Services (Garbage)</t>
  </si>
  <si>
    <t>Turf Tamers (Mowing &amp; Lawn)</t>
  </si>
  <si>
    <t>Jeremy Hilyer (Snow Removal)</t>
  </si>
  <si>
    <t>Tru Green (Lawn Maint)</t>
  </si>
  <si>
    <t>Tonica Telephone Co. (Phone/Internet)</t>
  </si>
  <si>
    <t>Village of Tonica (Water/Sewer)</t>
  </si>
  <si>
    <t>Ed Fund - 10-1999 - $21,264 - Erate Reimbursement</t>
  </si>
  <si>
    <t>O&amp;M Fund - 20-1999 - $2,285 - Renting out garage on property</t>
  </si>
  <si>
    <t>Tonica CCSD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</si>
</sst>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DE07BEAF-2B0C-475F-8264-24C3759277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2077</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2077</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35050079004</v>
      </c>
      <c r="B13" s="2003"/>
      <c r="C13" s="2003"/>
      <c r="D13" s="2003"/>
      <c r="E13" s="2003"/>
      <c r="F13" s="2003"/>
      <c r="G13" s="2003"/>
      <c r="H13" s="2004"/>
      <c r="I13" s="31"/>
      <c r="J13" s="30"/>
      <c r="K13" s="28"/>
      <c r="L13" s="30"/>
      <c r="M13" s="30"/>
      <c r="N13" s="30"/>
      <c r="O13" s="30"/>
      <c r="P13" s="30"/>
      <c r="Q13" s="30"/>
      <c r="R13" s="30"/>
      <c r="S13" s="30"/>
      <c r="T13" s="2007" t="s">
        <v>2085</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2078</v>
      </c>
      <c r="B15" s="2005"/>
      <c r="C15" s="2005"/>
      <c r="D15" s="2005"/>
      <c r="E15" s="2005"/>
      <c r="F15" s="2005"/>
      <c r="G15" s="2005"/>
      <c r="H15" s="2006"/>
      <c r="T15" s="1968" t="s">
        <v>2086</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2110</v>
      </c>
      <c r="B17" s="2030"/>
      <c r="C17" s="2030"/>
      <c r="D17" s="2030"/>
      <c r="E17" s="2030"/>
      <c r="F17" s="2030"/>
      <c r="G17" s="2030"/>
      <c r="H17" s="2031"/>
      <c r="T17" s="2017" t="s">
        <v>2087</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2079</v>
      </c>
      <c r="B19" s="2001"/>
      <c r="C19" s="2001"/>
      <c r="D19" s="2001"/>
      <c r="E19" s="2001"/>
      <c r="F19" s="2001"/>
      <c r="G19" s="2001"/>
      <c r="H19" s="1999"/>
      <c r="I19" s="30"/>
      <c r="J19" s="99"/>
      <c r="K19" s="40"/>
      <c r="L19" s="38"/>
      <c r="M19" s="112" t="s">
        <v>333</v>
      </c>
      <c r="P19" s="27"/>
      <c r="Q19" s="27"/>
      <c r="R19" s="27"/>
      <c r="S19" s="31"/>
      <c r="T19" s="2000" t="s">
        <v>2088</v>
      </c>
      <c r="U19" s="1998"/>
      <c r="V19" s="1998"/>
      <c r="W19" s="1999"/>
      <c r="X19" s="2015" t="s">
        <v>2089</v>
      </c>
      <c r="Y19" s="2016"/>
      <c r="Z19" s="2013">
        <v>61326</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2080</v>
      </c>
      <c r="B21" s="1998"/>
      <c r="C21" s="1998"/>
      <c r="D21" s="1998"/>
      <c r="E21" s="1998"/>
      <c r="F21" s="1998"/>
      <c r="G21" s="1998"/>
      <c r="H21" s="1999"/>
      <c r="I21" s="2023" t="s">
        <v>699</v>
      </c>
      <c r="J21" s="1986"/>
      <c r="K21" s="1986"/>
      <c r="L21" s="1986"/>
      <c r="M21" s="1986"/>
      <c r="N21" s="1986"/>
      <c r="O21" s="1986"/>
      <c r="P21" s="1986"/>
      <c r="Q21" s="1986"/>
      <c r="R21" s="1986"/>
      <c r="S21" s="1987"/>
      <c r="T21" s="1965" t="s">
        <v>2090</v>
      </c>
      <c r="U21" s="1966"/>
      <c r="V21" s="1966"/>
      <c r="W21" s="1966"/>
      <c r="X21" s="1979" t="s">
        <v>2091</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2081</v>
      </c>
      <c r="B23" s="2021"/>
      <c r="C23" s="2021"/>
      <c r="D23" s="2021"/>
      <c r="E23" s="2021"/>
      <c r="F23" s="2021"/>
      <c r="G23" s="2021"/>
      <c r="H23" s="2022"/>
      <c r="T23" s="1960">
        <v>66.004501000000005</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61370</v>
      </c>
      <c r="B25" s="1998"/>
      <c r="C25" s="1998"/>
      <c r="D25" s="1998"/>
      <c r="E25" s="1998"/>
      <c r="F25" s="1998"/>
      <c r="G25" s="1998"/>
      <c r="H25" s="1999"/>
      <c r="I25" s="113"/>
      <c r="J25" s="2064"/>
      <c r="K25" s="2064"/>
      <c r="L25" s="2064"/>
      <c r="M25" s="2064"/>
      <c r="N25" s="2064"/>
      <c r="O25" s="2064"/>
      <c r="P25" s="2064"/>
      <c r="Q25" s="2064"/>
      <c r="R25" s="2064"/>
      <c r="S25" s="2065"/>
      <c r="T25" s="1957" t="s">
        <v>2092</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2082</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2081</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2083</v>
      </c>
      <c r="B42" s="2047"/>
      <c r="C42" s="2048"/>
      <c r="D42" s="2061" t="s">
        <v>2084</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D56" sqref="D5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2098</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2093</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D11" sqref="D11:J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37685195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2.0899999999999998E-2</v>
      </c>
      <c r="E10" s="356" t="s">
        <v>1062</v>
      </c>
      <c r="F10" s="355">
        <v>3.7415999999999999E-3</v>
      </c>
      <c r="G10" s="356" t="s">
        <v>1062</v>
      </c>
      <c r="H10" s="355">
        <v>9.2880000000000002E-4</v>
      </c>
      <c r="I10" s="356" t="s">
        <v>1063</v>
      </c>
      <c r="J10" s="1754">
        <f>ROUND(D10+F10+H10,5)</f>
        <v>2.5569999999999999E-2</v>
      </c>
      <c r="K10" s="222"/>
      <c r="L10" s="355">
        <v>4.9100000000000001E-4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2225418</v>
      </c>
      <c r="E16" s="356"/>
      <c r="F16" s="1755">
        <f>SUM('Acct Summary 7-8'!C17,'Acct Summary 7-8'!D17,'Acct Summary 7-8'!F17)</f>
        <v>1928648</v>
      </c>
      <c r="G16" s="356"/>
      <c r="H16" s="1755">
        <f>SUM(D16-F16)</f>
        <v>296770</v>
      </c>
      <c r="I16" s="222"/>
      <c r="J16" s="1755">
        <f>SUM('Acct Summary 7-8'!C81,'Acct Summary 7-8'!D81,'Acct Summary 7-8'!F81,'Acct Summary 7-8'!I81)</f>
        <v>1405315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2600278.4550000001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Tonica CCSD 79</v>
      </c>
      <c r="E7" s="391"/>
      <c r="G7" s="252"/>
      <c r="H7" s="387"/>
      <c r="I7" s="387"/>
      <c r="J7" s="387"/>
      <c r="K7" s="387"/>
      <c r="L7" s="329"/>
      <c r="M7" s="329"/>
      <c r="N7" s="329"/>
      <c r="O7" s="329"/>
      <c r="P7" s="329"/>
    </row>
    <row r="8" spans="1:18" ht="12.75" x14ac:dyDescent="0.2">
      <c r="A8" s="329"/>
      <c r="B8" s="329"/>
      <c r="C8" s="389" t="s">
        <v>1187</v>
      </c>
      <c r="D8" s="392">
        <f>COVER!A13</f>
        <v>35050079004</v>
      </c>
      <c r="E8" s="393"/>
      <c r="G8" s="329"/>
      <c r="H8" s="329"/>
      <c r="I8" s="329"/>
      <c r="J8" s="329"/>
      <c r="K8" s="329"/>
      <c r="L8" s="329"/>
      <c r="M8" s="329"/>
      <c r="N8" s="329"/>
      <c r="O8" s="329"/>
      <c r="P8" s="329"/>
    </row>
    <row r="9" spans="1:18" ht="12.75" x14ac:dyDescent="0.2">
      <c r="A9" s="329"/>
      <c r="B9" s="329"/>
      <c r="C9" s="389" t="s">
        <v>737</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1405315</v>
      </c>
      <c r="I12" s="404"/>
      <c r="J12" s="404"/>
      <c r="K12" s="405">
        <f>TRUNC((H12/H13*100000),5)/100000</f>
        <v>0.63148361340000003</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2225418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1928648</v>
      </c>
      <c r="I17" s="404"/>
      <c r="J17" s="416"/>
      <c r="K17" s="405">
        <f>TRUNC((H17/H18*100000),5)/100000</f>
        <v>0.86664527740000008</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2225418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1411904</v>
      </c>
      <c r="I24" s="422"/>
      <c r="J24" s="422"/>
      <c r="K24" s="423">
        <f>TRUNC(((H24/H25*100000)/100000),2)</f>
        <v>263.54000000000002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5357.35556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819068.87072999997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300000</v>
      </c>
      <c r="I32" s="420"/>
      <c r="J32" s="420"/>
      <c r="K32" s="423">
        <f>TRUNC(100-((((H32/H33*100))*100)/100),2)</f>
        <v>88.46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2600278.4550000001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J40" sqref="J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1041461</v>
      </c>
      <c r="D4" s="466"/>
      <c r="E4" s="466"/>
      <c r="F4" s="466">
        <v>111140</v>
      </c>
      <c r="G4" s="466">
        <v>99245</v>
      </c>
      <c r="H4" s="466"/>
      <c r="I4" s="466">
        <v>259303</v>
      </c>
      <c r="J4" s="467">
        <v>497</v>
      </c>
      <c r="K4" s="466">
        <v>339550</v>
      </c>
      <c r="L4" s="466">
        <v>20247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1041461</v>
      </c>
      <c r="D13" s="1759">
        <f t="shared" ref="D13:L13" si="0">SUM(D4:D12)</f>
        <v>0</v>
      </c>
      <c r="E13" s="1759">
        <f t="shared" si="0"/>
        <v>0</v>
      </c>
      <c r="F13" s="1759">
        <f t="shared" si="0"/>
        <v>111140</v>
      </c>
      <c r="G13" s="1759">
        <f t="shared" si="0"/>
        <v>99245</v>
      </c>
      <c r="H13" s="1759">
        <f t="shared" si="0"/>
        <v>0</v>
      </c>
      <c r="I13" s="1759">
        <f t="shared" si="0"/>
        <v>259303</v>
      </c>
      <c r="J13" s="1759">
        <f t="shared" si="0"/>
        <v>497</v>
      </c>
      <c r="K13" s="1759">
        <f t="shared" si="0"/>
        <v>339550</v>
      </c>
      <c r="L13" s="1759">
        <f t="shared" si="0"/>
        <v>20247</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100</v>
      </c>
      <c r="N16" s="484"/>
    </row>
    <row r="17" spans="1:14" s="485" customFormat="1" ht="12.75" customHeight="1" x14ac:dyDescent="0.2">
      <c r="A17" s="482" t="s">
        <v>1470</v>
      </c>
      <c r="B17" s="483">
        <v>230</v>
      </c>
      <c r="C17" s="477"/>
      <c r="D17" s="477"/>
      <c r="E17" s="477"/>
      <c r="F17" s="477"/>
      <c r="G17" s="477"/>
      <c r="H17" s="477"/>
      <c r="I17" s="477"/>
      <c r="J17" s="477"/>
      <c r="K17" s="477"/>
      <c r="L17" s="477"/>
      <c r="M17" s="467">
        <v>1345501</v>
      </c>
      <c r="N17" s="484"/>
    </row>
    <row r="18" spans="1:14" s="485" customFormat="1" ht="12.75" customHeight="1" x14ac:dyDescent="0.2">
      <c r="A18" s="482" t="s">
        <v>1471</v>
      </c>
      <c r="B18" s="483">
        <v>240</v>
      </c>
      <c r="C18" s="477"/>
      <c r="D18" s="477"/>
      <c r="E18" s="477"/>
      <c r="F18" s="477"/>
      <c r="G18" s="477"/>
      <c r="H18" s="477"/>
      <c r="I18" s="477"/>
      <c r="J18" s="477"/>
      <c r="K18" s="477"/>
      <c r="L18" s="477"/>
      <c r="M18" s="467">
        <v>110667</v>
      </c>
      <c r="N18" s="484"/>
    </row>
    <row r="19" spans="1:14" s="485" customFormat="1" ht="12.75" customHeight="1" x14ac:dyDescent="0.2">
      <c r="A19" s="482" t="s">
        <v>1472</v>
      </c>
      <c r="B19" s="483">
        <v>250</v>
      </c>
      <c r="C19" s="477"/>
      <c r="D19" s="477"/>
      <c r="E19" s="477"/>
      <c r="F19" s="477"/>
      <c r="G19" s="477"/>
      <c r="H19" s="477"/>
      <c r="I19" s="477"/>
      <c r="J19" s="477"/>
      <c r="K19" s="477"/>
      <c r="L19" s="477"/>
      <c r="M19" s="467">
        <v>836583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300000</v>
      </c>
    </row>
    <row r="23" spans="1:14" ht="13.5" customHeight="1" thickBot="1" x14ac:dyDescent="0.25">
      <c r="A23" s="1758" t="s">
        <v>664</v>
      </c>
      <c r="B23" s="1763"/>
      <c r="C23" s="468"/>
      <c r="D23" s="468"/>
      <c r="E23" s="468"/>
      <c r="F23" s="468"/>
      <c r="G23" s="468"/>
      <c r="H23" s="468"/>
      <c r="I23" s="468"/>
      <c r="J23" s="468"/>
      <c r="K23" s="468"/>
      <c r="L23" s="468"/>
      <c r="M23" s="1710">
        <f>SUM(M15:M22)</f>
        <v>2292851</v>
      </c>
      <c r="N23" s="1710">
        <f>SUM(N21:N22)</f>
        <v>300000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v>6589</v>
      </c>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20247</v>
      </c>
      <c r="M33" s="468"/>
      <c r="N33" s="469"/>
    </row>
    <row r="34" spans="1:14" ht="13.5" customHeight="1" thickBot="1" x14ac:dyDescent="0.25">
      <c r="A34" s="1760" t="s">
        <v>675</v>
      </c>
      <c r="B34" s="1761"/>
      <c r="C34" s="1762">
        <f>SUM(C25:C33)</f>
        <v>0</v>
      </c>
      <c r="D34" s="1762">
        <f t="shared" ref="D34:K34" si="1">SUM(D25:D33)</f>
        <v>6589</v>
      </c>
      <c r="E34" s="1762">
        <f t="shared" si="1"/>
        <v>0</v>
      </c>
      <c r="F34" s="1762">
        <f t="shared" si="1"/>
        <v>0</v>
      </c>
      <c r="G34" s="1762">
        <f t="shared" si="1"/>
        <v>0</v>
      </c>
      <c r="H34" s="1762">
        <f t="shared" si="1"/>
        <v>0</v>
      </c>
      <c r="I34" s="1762">
        <f t="shared" si="1"/>
        <v>0</v>
      </c>
      <c r="J34" s="1762">
        <f t="shared" si="1"/>
        <v>0</v>
      </c>
      <c r="K34" s="1762">
        <f t="shared" si="1"/>
        <v>0</v>
      </c>
      <c r="L34" s="1743">
        <f>SUM(L33)</f>
        <v>20247</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300000</v>
      </c>
    </row>
    <row r="37" spans="1:14" ht="13.5" thickBot="1" x14ac:dyDescent="0.25">
      <c r="A37" s="1758" t="s">
        <v>674</v>
      </c>
      <c r="B37" s="1763"/>
      <c r="C37" s="477"/>
      <c r="D37" s="477"/>
      <c r="E37" s="477"/>
      <c r="F37" s="477"/>
      <c r="G37" s="477"/>
      <c r="H37" s="477"/>
      <c r="I37" s="477"/>
      <c r="J37" s="477"/>
      <c r="K37" s="477"/>
      <c r="L37" s="480"/>
      <c r="M37" s="468"/>
      <c r="N37" s="1710">
        <f>SUM(N36:N36)</f>
        <v>300000</v>
      </c>
    </row>
    <row r="38" spans="1:14" s="329" customFormat="1" ht="13.5" customHeight="1" thickTop="1" x14ac:dyDescent="0.2">
      <c r="A38" s="496" t="s">
        <v>440</v>
      </c>
      <c r="B38" s="483">
        <v>714</v>
      </c>
      <c r="C38" s="466">
        <v>40550</v>
      </c>
      <c r="D38" s="466"/>
      <c r="E38" s="466"/>
      <c r="F38" s="466"/>
      <c r="G38" s="466">
        <v>26276</v>
      </c>
      <c r="H38" s="466"/>
      <c r="I38" s="466"/>
      <c r="J38" s="467"/>
      <c r="K38" s="466"/>
      <c r="L38" s="481"/>
      <c r="M38" s="497"/>
      <c r="N38" s="497"/>
    </row>
    <row r="39" spans="1:14" s="329" customFormat="1" ht="13.5" customHeight="1" x14ac:dyDescent="0.2">
      <c r="A39" s="496" t="s">
        <v>360</v>
      </c>
      <c r="B39" s="483">
        <v>730</v>
      </c>
      <c r="C39" s="466">
        <f>1041461-40550</f>
        <v>1000911</v>
      </c>
      <c r="D39" s="466">
        <v>-6589</v>
      </c>
      <c r="E39" s="466"/>
      <c r="F39" s="466">
        <v>111140</v>
      </c>
      <c r="G39" s="466">
        <f>99245-26276</f>
        <v>72969</v>
      </c>
      <c r="H39" s="466"/>
      <c r="I39" s="466">
        <v>259303</v>
      </c>
      <c r="J39" s="467">
        <v>497</v>
      </c>
      <c r="K39" s="466">
        <v>339550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2292851</v>
      </c>
      <c r="N40" s="497"/>
    </row>
    <row r="41" spans="1:14" ht="13.5" customHeight="1" thickBot="1" x14ac:dyDescent="0.25">
      <c r="A41" s="1758" t="s">
        <v>676</v>
      </c>
      <c r="B41" s="1728"/>
      <c r="C41" s="1710">
        <f>(SUM(C34,C37,C38,C39))</f>
        <v>1041461</v>
      </c>
      <c r="D41" s="1710">
        <f t="shared" ref="D41:L41" si="2">SUM(D34,D37,D38:D39)</f>
        <v>0</v>
      </c>
      <c r="E41" s="1710">
        <f t="shared" si="2"/>
        <v>0</v>
      </c>
      <c r="F41" s="1710">
        <f t="shared" si="2"/>
        <v>111140</v>
      </c>
      <c r="G41" s="1710">
        <f t="shared" si="2"/>
        <v>99245</v>
      </c>
      <c r="H41" s="1710">
        <f t="shared" si="2"/>
        <v>0</v>
      </c>
      <c r="I41" s="1710">
        <f t="shared" si="2"/>
        <v>259303</v>
      </c>
      <c r="J41" s="1710">
        <f t="shared" si="2"/>
        <v>497</v>
      </c>
      <c r="K41" s="1710">
        <f t="shared" si="2"/>
        <v>339550</v>
      </c>
      <c r="L41" s="1710">
        <f t="shared" si="2"/>
        <v>20247</v>
      </c>
      <c r="M41" s="1710">
        <f>SUM(M40)</f>
        <v>2292851</v>
      </c>
      <c r="N41" s="1710">
        <f>SUM(N37)</f>
        <v>300000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8" t="s">
        <v>1237</v>
      </c>
      <c r="B3" s="2149"/>
      <c r="C3" s="1595"/>
      <c r="D3" s="1596"/>
      <c r="E3" s="1596"/>
      <c r="F3" s="1596"/>
      <c r="G3" s="1596"/>
      <c r="H3" s="1596"/>
      <c r="I3" s="1596"/>
      <c r="J3" s="1596"/>
      <c r="K3" s="1597"/>
      <c r="L3" s="506"/>
    </row>
    <row r="4" spans="1:13" ht="15.75" customHeight="1" x14ac:dyDescent="0.2">
      <c r="A4" s="2150" t="s">
        <v>1579</v>
      </c>
      <c r="B4" s="2151"/>
      <c r="C4" s="1764">
        <f>'Revenues 9-14'!C109</f>
        <v>1112891</v>
      </c>
      <c r="D4" s="1764">
        <f>'Revenues 9-14'!D109</f>
        <v>174221</v>
      </c>
      <c r="E4" s="1764">
        <f>'Revenues 9-14'!E109</f>
        <v>30</v>
      </c>
      <c r="F4" s="1764">
        <f>'Revenues 9-14'!F109</f>
        <v>43405</v>
      </c>
      <c r="G4" s="1764">
        <f>'Revenues 9-14'!G109</f>
        <v>108243</v>
      </c>
      <c r="H4" s="1764">
        <f>'Revenues 9-14'!H109</f>
        <v>0</v>
      </c>
      <c r="I4" s="1764">
        <f>'Revenues 9-14'!I109</f>
        <v>19170</v>
      </c>
      <c r="J4" s="1764">
        <f>'Revenues 9-14'!J109</f>
        <v>65036</v>
      </c>
      <c r="K4" s="1764">
        <f>'Revenues 9-14'!K109</f>
        <v>19841</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560794</v>
      </c>
      <c r="D6" s="1765">
        <f>'Revenues 9-14'!D173</f>
        <v>80019</v>
      </c>
      <c r="E6" s="1765">
        <f>'Revenues 9-14'!E173</f>
        <v>0</v>
      </c>
      <c r="F6" s="1765">
        <f>'Revenues 9-14'!F173</f>
        <v>64885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170033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1843718</v>
      </c>
      <c r="D8" s="1710">
        <f t="shared" ref="D8:K8" si="0">SUM(D4:D7)</f>
        <v>254240</v>
      </c>
      <c r="E8" s="1710">
        <f t="shared" si="0"/>
        <v>30</v>
      </c>
      <c r="F8" s="1710">
        <f t="shared" si="0"/>
        <v>108290</v>
      </c>
      <c r="G8" s="1710">
        <f t="shared" si="0"/>
        <v>108243</v>
      </c>
      <c r="H8" s="1710">
        <f t="shared" si="0"/>
        <v>0</v>
      </c>
      <c r="I8" s="1710">
        <f t="shared" si="0"/>
        <v>19170</v>
      </c>
      <c r="J8" s="1710">
        <f t="shared" si="0"/>
        <v>65036</v>
      </c>
      <c r="K8" s="1710">
        <f t="shared" si="0"/>
        <v>19841</v>
      </c>
      <c r="L8" s="347"/>
    </row>
    <row r="9" spans="1:13" ht="15.75" thickTop="1" x14ac:dyDescent="0.2">
      <c r="A9" s="514" t="s">
        <v>1752</v>
      </c>
      <c r="B9" s="515">
        <v>3998</v>
      </c>
      <c r="C9" s="481">
        <v>681796</v>
      </c>
      <c r="D9" s="516"/>
      <c r="E9" s="481"/>
      <c r="F9" s="481"/>
      <c r="G9" s="517"/>
      <c r="H9" s="481"/>
      <c r="I9" s="509" t="s">
        <v>1231</v>
      </c>
      <c r="J9" s="478"/>
      <c r="K9" s="481"/>
      <c r="L9" s="347"/>
    </row>
    <row r="10" spans="1:13" s="519" customFormat="1" ht="13.5" thickBot="1" x14ac:dyDescent="0.25">
      <c r="A10" s="1758" t="s">
        <v>1235</v>
      </c>
      <c r="B10" s="1731"/>
      <c r="C10" s="1710">
        <f>SUM(C8:C9)</f>
        <v>2525514</v>
      </c>
      <c r="D10" s="1710">
        <f t="shared" ref="D10:K10" si="1">SUM(D8:D9)</f>
        <v>254240</v>
      </c>
      <c r="E10" s="1710">
        <f t="shared" si="1"/>
        <v>30</v>
      </c>
      <c r="F10" s="1710">
        <f t="shared" si="1"/>
        <v>108290</v>
      </c>
      <c r="G10" s="1710">
        <f t="shared" si="1"/>
        <v>108243</v>
      </c>
      <c r="H10" s="1710">
        <f t="shared" si="1"/>
        <v>0</v>
      </c>
      <c r="I10" s="1710">
        <f t="shared" si="1"/>
        <v>19170</v>
      </c>
      <c r="J10" s="1710">
        <f t="shared" si="1"/>
        <v>65036</v>
      </c>
      <c r="K10" s="1710">
        <f t="shared" si="1"/>
        <v>19841</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988186</v>
      </c>
      <c r="D12" s="520" t="s">
        <v>1231</v>
      </c>
      <c r="E12" s="468" t="s">
        <v>1231</v>
      </c>
      <c r="F12" s="468" t="s">
        <v>1231</v>
      </c>
      <c r="G12" s="1764">
        <f>'Expenditures 15-22'!K229</f>
        <v>25996</v>
      </c>
      <c r="H12" s="521"/>
      <c r="I12" s="468" t="s">
        <v>1231</v>
      </c>
      <c r="J12" s="468" t="s">
        <v>1231</v>
      </c>
      <c r="K12" s="521" t="s">
        <v>1231</v>
      </c>
      <c r="L12" s="347"/>
    </row>
    <row r="13" spans="1:13" ht="15.75" customHeight="1" x14ac:dyDescent="0.2">
      <c r="A13" s="1598" t="s">
        <v>477</v>
      </c>
      <c r="B13" s="1600">
        <v>2000</v>
      </c>
      <c r="C13" s="1765">
        <f>'Expenditures 15-22'!K74</f>
        <v>434795</v>
      </c>
      <c r="D13" s="1765">
        <f>'Expenditures 15-22'!K129</f>
        <v>285039</v>
      </c>
      <c r="E13" s="469" t="s">
        <v>1231</v>
      </c>
      <c r="F13" s="1765">
        <f>'Expenditures 15-22'!K184</f>
        <v>109709</v>
      </c>
      <c r="G13" s="1765">
        <f>'Expenditures 15-22'!K279</f>
        <v>37844</v>
      </c>
      <c r="H13" s="1765">
        <f>'Expenditures 15-22'!K303</f>
        <v>0</v>
      </c>
      <c r="I13" s="468" t="s">
        <v>1231</v>
      </c>
      <c r="J13" s="1765">
        <f>'Expenditures 15-22'!K330</f>
        <v>73674</v>
      </c>
      <c r="K13" s="1769">
        <f>'Expenditures 15-22'!K352</f>
        <v>72294</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110919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1533900</v>
      </c>
      <c r="D17" s="1710">
        <f t="shared" si="2"/>
        <v>285039</v>
      </c>
      <c r="E17" s="1710">
        <f t="shared" si="2"/>
        <v>0</v>
      </c>
      <c r="F17" s="1710">
        <f t="shared" si="2"/>
        <v>109709</v>
      </c>
      <c r="G17" s="1710">
        <f t="shared" si="2"/>
        <v>63840</v>
      </c>
      <c r="H17" s="1710">
        <f t="shared" si="2"/>
        <v>0</v>
      </c>
      <c r="I17" s="468"/>
      <c r="J17" s="1710">
        <f>SUM(J12:J16)</f>
        <v>73674</v>
      </c>
      <c r="K17" s="1710">
        <f>SUM(K12:K16)</f>
        <v>72294</v>
      </c>
      <c r="L17" s="347"/>
    </row>
    <row r="18" spans="1:12" ht="15" customHeight="1" thickTop="1" x14ac:dyDescent="0.2">
      <c r="A18" s="1766" t="s">
        <v>1753</v>
      </c>
      <c r="B18" s="1767">
        <v>4180</v>
      </c>
      <c r="C18" s="1764">
        <f t="shared" ref="C18:H18" si="3">C9</f>
        <v>681796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2215696</v>
      </c>
      <c r="D19" s="1710">
        <f t="shared" si="4"/>
        <v>285039</v>
      </c>
      <c r="E19" s="1710">
        <f t="shared" si="4"/>
        <v>0</v>
      </c>
      <c r="F19" s="1710">
        <f t="shared" si="4"/>
        <v>109709</v>
      </c>
      <c r="G19" s="1710">
        <f t="shared" si="4"/>
        <v>63840</v>
      </c>
      <c r="H19" s="1710">
        <f t="shared" si="4"/>
        <v>0</v>
      </c>
      <c r="I19" s="468"/>
      <c r="J19" s="1710">
        <f>SUM(J17:J18)</f>
        <v>73674</v>
      </c>
      <c r="K19" s="1710">
        <f>SUM(K17:K18)</f>
        <v>72294</v>
      </c>
      <c r="L19" s="347"/>
    </row>
    <row r="20" spans="1:12" ht="16.5" thickTop="1" thickBot="1" x14ac:dyDescent="0.25">
      <c r="A20" s="2138" t="s">
        <v>1754</v>
      </c>
      <c r="B20" s="2139"/>
      <c r="C20" s="1768">
        <f>C8-C17</f>
        <v>309818</v>
      </c>
      <c r="D20" s="1768">
        <f t="shared" ref="D20:K20" si="5">D8-D17</f>
        <v>-30799</v>
      </c>
      <c r="E20" s="1768">
        <f t="shared" si="5"/>
        <v>30</v>
      </c>
      <c r="F20" s="1768">
        <f t="shared" si="5"/>
        <v>-1419</v>
      </c>
      <c r="G20" s="1768">
        <f t="shared" si="5"/>
        <v>44403</v>
      </c>
      <c r="H20" s="1768">
        <f t="shared" si="5"/>
        <v>0</v>
      </c>
      <c r="I20" s="1768">
        <f t="shared" si="5"/>
        <v>19170</v>
      </c>
      <c r="J20" s="1768">
        <f t="shared" si="5"/>
        <v>-8638</v>
      </c>
      <c r="K20" s="1768">
        <f t="shared" si="5"/>
        <v>-52453</v>
      </c>
      <c r="L20" s="347"/>
    </row>
    <row r="21" spans="1:12" ht="16.7" customHeight="1" thickTop="1" x14ac:dyDescent="0.2">
      <c r="A21" s="2152" t="s">
        <v>616</v>
      </c>
      <c r="B21" s="2153"/>
      <c r="C21" s="1592"/>
      <c r="D21" s="1593"/>
      <c r="E21" s="1593"/>
      <c r="F21" s="1593"/>
      <c r="G21" s="1593"/>
      <c r="H21" s="1593"/>
      <c r="I21" s="1593"/>
      <c r="J21" s="1593"/>
      <c r="K21" s="1594"/>
      <c r="L21" s="524"/>
    </row>
    <row r="22" spans="1:12" ht="15.75" customHeight="1" collapsed="1" x14ac:dyDescent="0.2">
      <c r="A22" s="2146" t="s">
        <v>617</v>
      </c>
      <c r="B22" s="2147"/>
      <c r="C22" s="477"/>
      <c r="D22" s="477"/>
      <c r="E22" s="477"/>
      <c r="F22" s="477"/>
      <c r="G22" s="477"/>
      <c r="H22" s="477"/>
      <c r="I22" s="477"/>
      <c r="J22" s="477"/>
      <c r="K22" s="477"/>
      <c r="L22" s="347"/>
    </row>
    <row r="23" spans="1:12" s="485" customFormat="1" ht="15.75" customHeight="1" x14ac:dyDescent="0.2">
      <c r="A23" s="2142" t="s">
        <v>311</v>
      </c>
      <c r="B23" s="214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v>7793</v>
      </c>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4" t="s">
        <v>1038</v>
      </c>
      <c r="B32" s="2145"/>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v>300000</v>
      </c>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4" t="s">
        <v>392</v>
      </c>
      <c r="B44" s="2155"/>
      <c r="C44" s="1725">
        <f>SUM(C24:C43)</f>
        <v>0</v>
      </c>
      <c r="D44" s="1725">
        <f t="shared" ref="D44:K44" si="6">SUM(D24:D43)</f>
        <v>0</v>
      </c>
      <c r="E44" s="1725">
        <f t="shared" si="6"/>
        <v>0</v>
      </c>
      <c r="F44" s="1725">
        <f t="shared" si="6"/>
        <v>0</v>
      </c>
      <c r="G44" s="1725">
        <f t="shared" si="6"/>
        <v>0</v>
      </c>
      <c r="H44" s="1725">
        <f t="shared" si="6"/>
        <v>0</v>
      </c>
      <c r="I44" s="1725">
        <f t="shared" si="6"/>
        <v>0</v>
      </c>
      <c r="J44" s="1725">
        <f t="shared" si="6"/>
        <v>7793</v>
      </c>
      <c r="K44" s="1725">
        <f t="shared" si="6"/>
        <v>300000</v>
      </c>
      <c r="L44" s="524"/>
    </row>
    <row r="45" spans="1:12" ht="15.75" customHeight="1" thickTop="1" x14ac:dyDescent="0.2">
      <c r="A45" s="2146" t="s">
        <v>110</v>
      </c>
      <c r="B45" s="2147"/>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v>7793</v>
      </c>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8" t="s">
        <v>460</v>
      </c>
      <c r="B76" s="2159"/>
      <c r="C76" s="1725">
        <f t="shared" ref="C76:K76" si="7">SUM(C47:C75)</f>
        <v>0</v>
      </c>
      <c r="D76" s="1725">
        <f t="shared" si="7"/>
        <v>0</v>
      </c>
      <c r="E76" s="1725">
        <f t="shared" si="7"/>
        <v>7793</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60" t="s">
        <v>1239</v>
      </c>
      <c r="B77" s="2161"/>
      <c r="C77" s="1725">
        <f t="shared" ref="C77:K77" si="8">C44-C76</f>
        <v>0</v>
      </c>
      <c r="D77" s="1725">
        <f t="shared" si="8"/>
        <v>0</v>
      </c>
      <c r="E77" s="1725">
        <f t="shared" si="8"/>
        <v>-7793</v>
      </c>
      <c r="F77" s="1725">
        <f t="shared" si="8"/>
        <v>0</v>
      </c>
      <c r="G77" s="1725">
        <f t="shared" si="8"/>
        <v>0</v>
      </c>
      <c r="H77" s="1725">
        <f t="shared" si="8"/>
        <v>0</v>
      </c>
      <c r="I77" s="1725">
        <f t="shared" si="8"/>
        <v>0</v>
      </c>
      <c r="J77" s="1725">
        <f t="shared" si="8"/>
        <v>7793</v>
      </c>
      <c r="K77" s="1725">
        <f t="shared" si="8"/>
        <v>300000</v>
      </c>
      <c r="L77" s="347"/>
    </row>
    <row r="78" spans="1:12" ht="21.75" customHeight="1" thickTop="1" thickBot="1" x14ac:dyDescent="0.25">
      <c r="A78" s="2134" t="s">
        <v>618</v>
      </c>
      <c r="B78" s="2135"/>
      <c r="C78" s="1724">
        <f t="shared" ref="C78:K78" si="9">C20+C77</f>
        <v>309818</v>
      </c>
      <c r="D78" s="1724">
        <f t="shared" si="9"/>
        <v>-30799</v>
      </c>
      <c r="E78" s="1724">
        <f t="shared" si="9"/>
        <v>-7763</v>
      </c>
      <c r="F78" s="1724">
        <f t="shared" si="9"/>
        <v>-1419</v>
      </c>
      <c r="G78" s="1724">
        <f t="shared" si="9"/>
        <v>44403</v>
      </c>
      <c r="H78" s="1724">
        <f t="shared" si="9"/>
        <v>0</v>
      </c>
      <c r="I78" s="1724">
        <f t="shared" si="9"/>
        <v>19170</v>
      </c>
      <c r="J78" s="1724">
        <f t="shared" si="9"/>
        <v>-845</v>
      </c>
      <c r="K78" s="1724">
        <f t="shared" si="9"/>
        <v>247547</v>
      </c>
      <c r="L78" s="533"/>
    </row>
    <row r="79" spans="1:12" ht="13.5" thickTop="1" x14ac:dyDescent="0.2">
      <c r="A79" s="1516" t="s">
        <v>2073</v>
      </c>
      <c r="B79" s="534"/>
      <c r="C79" s="478">
        <v>731643</v>
      </c>
      <c r="D79" s="535">
        <v>24210</v>
      </c>
      <c r="E79" s="535">
        <v>7763</v>
      </c>
      <c r="F79" s="535">
        <v>112559</v>
      </c>
      <c r="G79" s="535">
        <v>54842</v>
      </c>
      <c r="H79" s="535"/>
      <c r="I79" s="535">
        <v>240133</v>
      </c>
      <c r="J79" s="535">
        <v>1342</v>
      </c>
      <c r="K79" s="535">
        <v>92003</v>
      </c>
      <c r="L79" s="347"/>
    </row>
    <row r="80" spans="1:12" x14ac:dyDescent="0.2">
      <c r="A80" s="2140" t="s">
        <v>1898</v>
      </c>
      <c r="B80" s="2141"/>
      <c r="C80" s="467"/>
      <c r="D80" s="467"/>
      <c r="E80" s="467"/>
      <c r="F80" s="467"/>
      <c r="G80" s="467"/>
      <c r="H80" s="467"/>
      <c r="I80" s="467"/>
      <c r="J80" s="467"/>
      <c r="K80" s="467"/>
      <c r="L80" s="347"/>
    </row>
    <row r="81" spans="1:12" ht="13.5" thickBot="1" x14ac:dyDescent="0.25">
      <c r="A81" s="2132" t="s">
        <v>2074</v>
      </c>
      <c r="B81" s="2133"/>
      <c r="C81" s="1710">
        <f>(SUM(C78:C80))</f>
        <v>1041461</v>
      </c>
      <c r="D81" s="1710">
        <f>SUM(D78:D80)</f>
        <v>-6589</v>
      </c>
      <c r="E81" s="1710">
        <f t="shared" ref="E81:K81" si="10">SUM(E78:E80)</f>
        <v>0</v>
      </c>
      <c r="F81" s="1710">
        <f t="shared" si="10"/>
        <v>111140</v>
      </c>
      <c r="G81" s="1710">
        <f t="shared" si="10"/>
        <v>99245</v>
      </c>
      <c r="H81" s="1710">
        <f t="shared" si="10"/>
        <v>0</v>
      </c>
      <c r="I81" s="1710">
        <f t="shared" si="10"/>
        <v>259303</v>
      </c>
      <c r="J81" s="1710">
        <f t="shared" si="10"/>
        <v>497</v>
      </c>
      <c r="K81" s="1710">
        <f t="shared" si="10"/>
        <v>339550</v>
      </c>
      <c r="L81" s="347"/>
    </row>
    <row r="82" spans="1:12" ht="0.75" customHeight="1" thickTop="1" thickBot="1" x14ac:dyDescent="0.25">
      <c r="A82" s="536" t="s">
        <v>361</v>
      </c>
      <c r="B82" s="537"/>
      <c r="C82" s="538">
        <f>(C81-C79)</f>
        <v>309818</v>
      </c>
      <c r="D82" s="538">
        <f t="shared" ref="D82:K82" si="11">(D81-D79)</f>
        <v>-30799</v>
      </c>
      <c r="E82" s="538">
        <f t="shared" si="11"/>
        <v>-7763</v>
      </c>
      <c r="F82" s="538">
        <f t="shared" si="11"/>
        <v>-1419</v>
      </c>
      <c r="G82" s="538">
        <f t="shared" si="11"/>
        <v>44403</v>
      </c>
      <c r="H82" s="538">
        <f t="shared" si="11"/>
        <v>0</v>
      </c>
      <c r="I82" s="538">
        <f t="shared" si="11"/>
        <v>19170</v>
      </c>
      <c r="J82" s="538">
        <f t="shared" si="11"/>
        <v>-845</v>
      </c>
      <c r="K82" s="538">
        <f t="shared" si="11"/>
        <v>247547</v>
      </c>
    </row>
    <row r="83" spans="1:12" ht="14.25" hidden="1" thickTop="1" thickBot="1" x14ac:dyDescent="0.25">
      <c r="A83" s="539" t="s">
        <v>362</v>
      </c>
      <c r="B83" s="464"/>
      <c r="C83" s="540">
        <f>C82/C81</f>
        <v>0.29748401524396978</v>
      </c>
      <c r="D83" s="540">
        <f t="shared" ref="D83:K83" si="12">D82/D81</f>
        <v>4.6743056609500684</v>
      </c>
      <c r="E83" s="540" t="e">
        <f t="shared" si="12"/>
        <v>#DIV/0!</v>
      </c>
      <c r="F83" s="540">
        <f t="shared" si="12"/>
        <v>-1.2767680403095196E-2</v>
      </c>
      <c r="G83" s="540">
        <f t="shared" si="12"/>
        <v>0.44740792987052247</v>
      </c>
      <c r="H83" s="540" t="e">
        <f t="shared" si="12"/>
        <v>#DIV/0!</v>
      </c>
      <c r="I83" s="540">
        <f t="shared" si="12"/>
        <v>7.3928955700473961E-2</v>
      </c>
      <c r="J83" s="540">
        <f t="shared" si="12"/>
        <v>-1.7002012072434607</v>
      </c>
      <c r="K83" s="540">
        <f t="shared" si="12"/>
        <v>0.72904432336916503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78" activePane="bottomLeft" state="frozen"/>
      <selection activeCell="A47" sqref="A47"/>
      <selection pane="bottomLeft" activeCell="C107" sqref="C10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6" t="s">
        <v>1905</v>
      </c>
      <c r="B1" s="452"/>
      <c r="C1" s="453" t="s">
        <v>445</v>
      </c>
      <c r="D1" s="453" t="s">
        <v>446</v>
      </c>
      <c r="E1" s="453" t="s">
        <v>447</v>
      </c>
      <c r="F1" s="453" t="s">
        <v>448</v>
      </c>
      <c r="G1" s="453" t="s">
        <v>449</v>
      </c>
      <c r="H1" s="453" t="s">
        <v>450</v>
      </c>
      <c r="I1" s="453" t="s">
        <v>451</v>
      </c>
      <c r="J1" s="453" t="s">
        <v>452</v>
      </c>
      <c r="K1" s="453" t="s">
        <v>780</v>
      </c>
    </row>
    <row r="2" spans="1:12" ht="36" x14ac:dyDescent="0.2">
      <c r="A2" s="213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744517</v>
      </c>
      <c r="D5" s="481">
        <v>133585</v>
      </c>
      <c r="E5" s="466"/>
      <c r="F5" s="548">
        <v>42747</v>
      </c>
      <c r="G5" s="466">
        <v>54442</v>
      </c>
      <c r="H5" s="466"/>
      <c r="I5" s="466">
        <v>17812</v>
      </c>
      <c r="J5" s="467">
        <v>64930</v>
      </c>
      <c r="K5" s="466">
        <v>17812</v>
      </c>
    </row>
    <row r="6" spans="1:12" ht="15" x14ac:dyDescent="0.2">
      <c r="A6" s="463" t="s">
        <v>1761</v>
      </c>
      <c r="B6" s="470">
        <v>1130</v>
      </c>
      <c r="C6" s="466">
        <v>17812</v>
      </c>
      <c r="D6" s="466"/>
      <c r="E6" s="475"/>
      <c r="F6" s="475"/>
      <c r="G6" s="468"/>
      <c r="H6" s="468"/>
      <c r="I6" s="468"/>
      <c r="J6" s="468"/>
      <c r="K6" s="468"/>
    </row>
    <row r="7" spans="1:12" x14ac:dyDescent="0.2">
      <c r="A7" s="463" t="s">
        <v>112</v>
      </c>
      <c r="B7" s="549">
        <v>1140</v>
      </c>
      <c r="C7" s="466">
        <v>7124</v>
      </c>
      <c r="D7" s="466"/>
      <c r="E7" s="468"/>
      <c r="F7" s="467"/>
      <c r="G7" s="467"/>
      <c r="H7" s="467"/>
      <c r="I7" s="468"/>
      <c r="J7" s="468"/>
      <c r="K7" s="468"/>
    </row>
    <row r="8" spans="1:12" x14ac:dyDescent="0.2">
      <c r="A8" s="463" t="s">
        <v>433</v>
      </c>
      <c r="B8" s="470">
        <v>1150</v>
      </c>
      <c r="C8" s="475"/>
      <c r="D8" s="475"/>
      <c r="E8" s="477"/>
      <c r="F8" s="477"/>
      <c r="G8" s="481">
        <v>53192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769453</v>
      </c>
      <c r="D12" s="1729">
        <f t="shared" si="0"/>
        <v>133585</v>
      </c>
      <c r="E12" s="1729">
        <f t="shared" si="0"/>
        <v>0</v>
      </c>
      <c r="F12" s="1729">
        <f t="shared" si="0"/>
        <v>42747</v>
      </c>
      <c r="G12" s="1729">
        <f t="shared" si="0"/>
        <v>107634</v>
      </c>
      <c r="H12" s="1729">
        <f t="shared" si="0"/>
        <v>0</v>
      </c>
      <c r="I12" s="1729">
        <f t="shared" si="0"/>
        <v>17812</v>
      </c>
      <c r="J12" s="1729">
        <f t="shared" si="0"/>
        <v>64930</v>
      </c>
      <c r="K12" s="1710">
        <f t="shared" si="0"/>
        <v>17812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38138</v>
      </c>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38138</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203470</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203470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8135</v>
      </c>
      <c r="D65" s="466">
        <v>213</v>
      </c>
      <c r="E65" s="466">
        <v>30</v>
      </c>
      <c r="F65" s="467">
        <v>658</v>
      </c>
      <c r="G65" s="466">
        <v>609</v>
      </c>
      <c r="H65" s="466"/>
      <c r="I65" s="466">
        <v>1358</v>
      </c>
      <c r="J65" s="467">
        <v>106</v>
      </c>
      <c r="K65" s="466">
        <v>2029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8135</v>
      </c>
      <c r="D67" s="1710">
        <f t="shared" ref="D67:K67" si="2">SUM(D65:D66)</f>
        <v>213</v>
      </c>
      <c r="E67" s="1710">
        <f t="shared" si="2"/>
        <v>30</v>
      </c>
      <c r="F67" s="1710">
        <f t="shared" si="2"/>
        <v>658</v>
      </c>
      <c r="G67" s="1710">
        <f t="shared" si="2"/>
        <v>609</v>
      </c>
      <c r="H67" s="1710">
        <f t="shared" si="2"/>
        <v>0</v>
      </c>
      <c r="I67" s="1710">
        <f t="shared" si="2"/>
        <v>1358</v>
      </c>
      <c r="J67" s="1710">
        <f t="shared" si="2"/>
        <v>106</v>
      </c>
      <c r="K67" s="1710">
        <f t="shared" si="2"/>
        <v>2029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33539</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2288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35827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3590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3086</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6676</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12608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12608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36826</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18632</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21264</v>
      </c>
      <c r="D107" s="466">
        <v>2285</v>
      </c>
      <c r="E107" s="466"/>
      <c r="F107" s="466"/>
      <c r="G107" s="466"/>
      <c r="H107" s="466"/>
      <c r="I107" s="466"/>
      <c r="J107" s="467"/>
      <c r="K107" s="466"/>
    </row>
    <row r="108" spans="1:12" ht="12.75" customHeight="1" thickBot="1" x14ac:dyDescent="0.25">
      <c r="A108" s="1730" t="s">
        <v>508</v>
      </c>
      <c r="B108" s="1734"/>
      <c r="C108" s="1729">
        <f>SUM(C95:C107)</f>
        <v>76722</v>
      </c>
      <c r="D108" s="1729">
        <f t="shared" ref="D108:K108" si="3">SUM(D95:D107)</f>
        <v>2285</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1112891</v>
      </c>
      <c r="D109" s="1737">
        <f t="shared" si="4"/>
        <v>174221</v>
      </c>
      <c r="E109" s="1737">
        <f t="shared" si="4"/>
        <v>30</v>
      </c>
      <c r="F109" s="1737">
        <f t="shared" si="4"/>
        <v>43405</v>
      </c>
      <c r="G109" s="1737">
        <f t="shared" si="4"/>
        <v>108243</v>
      </c>
      <c r="H109" s="1737">
        <f t="shared" si="4"/>
        <v>0</v>
      </c>
      <c r="I109" s="1737">
        <f t="shared" si="4"/>
        <v>19170</v>
      </c>
      <c r="J109" s="1737">
        <f t="shared" si="4"/>
        <v>65036</v>
      </c>
      <c r="K109" s="1724">
        <f t="shared" si="4"/>
        <v>19841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513921</v>
      </c>
      <c r="D117" s="481">
        <v>80019</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513921</v>
      </c>
      <c r="D121" s="1729">
        <f t="shared" si="5"/>
        <v>80019</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12997</v>
      </c>
      <c r="D125" s="561"/>
      <c r="E125" s="468"/>
      <c r="F125" s="466"/>
      <c r="G125" s="468"/>
      <c r="H125" s="468"/>
      <c r="I125" s="468"/>
      <c r="J125" s="468"/>
      <c r="K125" s="468"/>
    </row>
    <row r="126" spans="1:11" ht="12.75" customHeight="1" x14ac:dyDescent="0.2">
      <c r="A126" s="463" t="s">
        <v>922</v>
      </c>
      <c r="B126" s="562">
        <v>3110</v>
      </c>
      <c r="C126" s="551">
        <v>33235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46232</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v>641</v>
      </c>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41166</v>
      </c>
      <c r="G151" s="467"/>
      <c r="H151" s="468"/>
      <c r="I151" s="468"/>
      <c r="J151" s="468"/>
      <c r="K151" s="468"/>
    </row>
    <row r="152" spans="1:11" ht="12.75" customHeight="1" x14ac:dyDescent="0.2">
      <c r="A152" s="463" t="s">
        <v>1117</v>
      </c>
      <c r="B152" s="562">
        <v>3510</v>
      </c>
      <c r="C152" s="551"/>
      <c r="D152" s="466"/>
      <c r="E152" s="561"/>
      <c r="F152" s="466">
        <v>23719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64885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46873</v>
      </c>
      <c r="D172" s="1744">
        <f t="shared" si="6"/>
        <v>0</v>
      </c>
      <c r="E172" s="1744">
        <f t="shared" si="6"/>
        <v>0</v>
      </c>
      <c r="F172" s="1744">
        <f t="shared" si="6"/>
        <v>64885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560794</v>
      </c>
      <c r="D173" s="1737">
        <f>SUM(D121,D172)</f>
        <v>80019</v>
      </c>
      <c r="E173" s="1737">
        <f>SUM(E121,E172)</f>
        <v>0</v>
      </c>
      <c r="F173" s="1737">
        <f t="shared" ref="F173:K173" si="7">SUM(F121,F172)</f>
        <v>64885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30815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10168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40983</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11505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11505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93709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93709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7057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5749</v>
      </c>
      <c r="D270" s="576"/>
      <c r="E270" s="468"/>
      <c r="F270" s="576"/>
      <c r="G270" s="576"/>
      <c r="H270" s="468"/>
      <c r="I270" s="468"/>
      <c r="J270" s="468"/>
      <c r="K270" s="468"/>
    </row>
    <row r="271" spans="1:11" ht="12.75" customHeight="1" thickTop="1" thickBot="1" x14ac:dyDescent="0.25">
      <c r="A271" s="463" t="s">
        <v>395</v>
      </c>
      <c r="B271" s="470">
        <v>4992</v>
      </c>
      <c r="C271" s="575">
        <v>1030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170033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170033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1843718</v>
      </c>
      <c r="D275" s="1737">
        <f t="shared" si="12"/>
        <v>254240</v>
      </c>
      <c r="E275" s="1737">
        <f t="shared" si="12"/>
        <v>30</v>
      </c>
      <c r="F275" s="1737">
        <f t="shared" si="12"/>
        <v>108290</v>
      </c>
      <c r="G275" s="1737">
        <f t="shared" si="12"/>
        <v>108243</v>
      </c>
      <c r="H275" s="1737">
        <f t="shared" si="12"/>
        <v>0</v>
      </c>
      <c r="I275" s="1737">
        <f t="shared" si="12"/>
        <v>19170</v>
      </c>
      <c r="J275" s="1737">
        <f t="shared" si="12"/>
        <v>65036</v>
      </c>
      <c r="K275" s="1724">
        <f t="shared" si="12"/>
        <v>19841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85" workbookViewId="0">
      <pane ySplit="2" topLeftCell="A315" activePane="bottomLeft" state="frozen"/>
      <selection activeCell="A47" sqref="A47"/>
      <selection pane="bottomLeft" activeCell="D265" sqref="D26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575997</v>
      </c>
      <c r="D5" s="466">
        <v>173949</v>
      </c>
      <c r="E5" s="466">
        <v>7887</v>
      </c>
      <c r="F5" s="466">
        <v>28607</v>
      </c>
      <c r="G5" s="466"/>
      <c r="H5" s="466">
        <v>66</v>
      </c>
      <c r="I5" s="467"/>
      <c r="J5" s="467"/>
      <c r="K5" s="1693">
        <f>SUM(C5:J5)</f>
        <v>786506</v>
      </c>
      <c r="L5" s="466">
        <v>783835</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c r="D7" s="467"/>
      <c r="E7" s="467"/>
      <c r="F7" s="467"/>
      <c r="G7" s="467"/>
      <c r="H7" s="467"/>
      <c r="I7" s="467"/>
      <c r="J7" s="467"/>
      <c r="K7" s="1693">
        <f t="shared" ref="K7:K32" si="0">SUM(C7:J7)</f>
        <v>0</v>
      </c>
      <c r="L7" s="466">
        <v>0</v>
      </c>
    </row>
    <row r="8" spans="1:14" x14ac:dyDescent="0.2">
      <c r="A8" s="1526" t="s">
        <v>166</v>
      </c>
      <c r="B8" s="615">
        <v>1200</v>
      </c>
      <c r="C8" s="466">
        <v>90353</v>
      </c>
      <c r="D8" s="466">
        <v>26698</v>
      </c>
      <c r="E8" s="466">
        <v>9760</v>
      </c>
      <c r="F8" s="466">
        <v>418</v>
      </c>
      <c r="G8" s="466"/>
      <c r="H8" s="466"/>
      <c r="I8" s="467"/>
      <c r="J8" s="467"/>
      <c r="K8" s="1693">
        <f t="shared" si="0"/>
        <v>127229</v>
      </c>
      <c r="L8" s="466">
        <v>163625</v>
      </c>
    </row>
    <row r="9" spans="1:14" x14ac:dyDescent="0.2">
      <c r="A9" s="1526" t="s">
        <v>745</v>
      </c>
      <c r="B9" s="615" t="s">
        <v>1025</v>
      </c>
      <c r="C9" s="467"/>
      <c r="D9" s="467"/>
      <c r="E9" s="467"/>
      <c r="F9" s="467"/>
      <c r="G9" s="467"/>
      <c r="H9" s="467"/>
      <c r="I9" s="467"/>
      <c r="J9" s="467"/>
      <c r="K9" s="1693">
        <f t="shared" si="0"/>
        <v>0</v>
      </c>
      <c r="L9" s="466">
        <v>0</v>
      </c>
    </row>
    <row r="10" spans="1:14" x14ac:dyDescent="0.2">
      <c r="A10" s="1526" t="s">
        <v>746</v>
      </c>
      <c r="B10" s="615">
        <v>1250</v>
      </c>
      <c r="C10" s="466">
        <v>37573</v>
      </c>
      <c r="D10" s="466">
        <v>10570</v>
      </c>
      <c r="E10" s="466"/>
      <c r="F10" s="466">
        <v>82</v>
      </c>
      <c r="G10" s="466"/>
      <c r="H10" s="466"/>
      <c r="I10" s="467"/>
      <c r="J10" s="467"/>
      <c r="K10" s="1693">
        <f t="shared" si="0"/>
        <v>48225</v>
      </c>
      <c r="L10" s="466">
        <v>50800</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c r="D13" s="466"/>
      <c r="E13" s="466"/>
      <c r="F13" s="466"/>
      <c r="G13" s="466"/>
      <c r="H13" s="466"/>
      <c r="I13" s="467"/>
      <c r="J13" s="467"/>
      <c r="K13" s="1693">
        <f t="shared" si="0"/>
        <v>0</v>
      </c>
      <c r="L13" s="466">
        <v>0</v>
      </c>
    </row>
    <row r="14" spans="1:14" x14ac:dyDescent="0.2">
      <c r="A14" s="1526" t="s">
        <v>1020</v>
      </c>
      <c r="B14" s="615">
        <v>1500</v>
      </c>
      <c r="C14" s="466">
        <v>14223</v>
      </c>
      <c r="D14" s="466">
        <v>890</v>
      </c>
      <c r="E14" s="466">
        <v>5427</v>
      </c>
      <c r="F14" s="466">
        <v>2819</v>
      </c>
      <c r="G14" s="466"/>
      <c r="H14" s="466">
        <v>2867</v>
      </c>
      <c r="I14" s="467"/>
      <c r="J14" s="467"/>
      <c r="K14" s="1693">
        <f t="shared" si="0"/>
        <v>26226</v>
      </c>
      <c r="L14" s="466">
        <v>26646</v>
      </c>
    </row>
    <row r="15" spans="1:14" x14ac:dyDescent="0.2">
      <c r="A15" s="1526" t="s">
        <v>1021</v>
      </c>
      <c r="B15" s="615">
        <v>1600</v>
      </c>
      <c r="C15" s="466"/>
      <c r="D15" s="466"/>
      <c r="E15" s="466"/>
      <c r="F15" s="466"/>
      <c r="G15" s="466"/>
      <c r="H15" s="466"/>
      <c r="I15" s="467"/>
      <c r="J15" s="467"/>
      <c r="K15" s="1693">
        <f t="shared" si="0"/>
        <v>0</v>
      </c>
      <c r="L15" s="466">
        <v>0</v>
      </c>
    </row>
    <row r="16" spans="1:14" x14ac:dyDescent="0.2">
      <c r="A16" s="1526" t="s">
        <v>1044</v>
      </c>
      <c r="B16" s="615" t="s">
        <v>444</v>
      </c>
      <c r="C16" s="466"/>
      <c r="D16" s="466"/>
      <c r="E16" s="466"/>
      <c r="F16" s="466"/>
      <c r="G16" s="466"/>
      <c r="H16" s="466"/>
      <c r="I16" s="467"/>
      <c r="J16" s="467"/>
      <c r="K16" s="1693">
        <f t="shared" si="0"/>
        <v>0</v>
      </c>
      <c r="L16" s="466">
        <v>0</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c r="I22" s="617"/>
      <c r="J22" s="477"/>
      <c r="K22" s="1693">
        <f t="shared" si="0"/>
        <v>0</v>
      </c>
      <c r="L22" s="471">
        <v>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718146</v>
      </c>
      <c r="D33" s="1692">
        <f t="shared" ref="D33:L33" si="1">SUM(D5:D32)</f>
        <v>212107</v>
      </c>
      <c r="E33" s="1692">
        <f t="shared" si="1"/>
        <v>23074</v>
      </c>
      <c r="F33" s="1692">
        <f t="shared" si="1"/>
        <v>31926</v>
      </c>
      <c r="G33" s="1692">
        <f t="shared" si="1"/>
        <v>0</v>
      </c>
      <c r="H33" s="1692">
        <f t="shared" si="1"/>
        <v>2933</v>
      </c>
      <c r="I33" s="1692">
        <f t="shared" si="1"/>
        <v>0</v>
      </c>
      <c r="J33" s="1692">
        <f t="shared" si="1"/>
        <v>0</v>
      </c>
      <c r="K33" s="1692">
        <f t="shared" si="1"/>
        <v>988186</v>
      </c>
      <c r="L33" s="1692">
        <f t="shared" si="1"/>
        <v>1024906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v>0</v>
      </c>
    </row>
    <row r="37" spans="1:14" x14ac:dyDescent="0.2">
      <c r="A37" s="1526" t="s">
        <v>1151</v>
      </c>
      <c r="B37" s="615">
        <v>2120</v>
      </c>
      <c r="C37" s="466"/>
      <c r="D37" s="466"/>
      <c r="E37" s="466"/>
      <c r="F37" s="466"/>
      <c r="G37" s="466"/>
      <c r="H37" s="466"/>
      <c r="I37" s="467"/>
      <c r="J37" s="467"/>
      <c r="K37" s="1693">
        <f t="shared" si="2"/>
        <v>0</v>
      </c>
      <c r="L37" s="466">
        <v>0</v>
      </c>
    </row>
    <row r="38" spans="1:14" x14ac:dyDescent="0.2">
      <c r="A38" s="1526" t="s">
        <v>207</v>
      </c>
      <c r="B38" s="615">
        <v>2130</v>
      </c>
      <c r="C38" s="466"/>
      <c r="D38" s="466"/>
      <c r="E38" s="466"/>
      <c r="F38" s="466"/>
      <c r="G38" s="466"/>
      <c r="H38" s="466"/>
      <c r="I38" s="467"/>
      <c r="J38" s="467"/>
      <c r="K38" s="1693">
        <f t="shared" si="2"/>
        <v>0</v>
      </c>
      <c r="L38" s="466">
        <v>0</v>
      </c>
    </row>
    <row r="39" spans="1:14" x14ac:dyDescent="0.2">
      <c r="A39" s="1526" t="s">
        <v>208</v>
      </c>
      <c r="B39" s="615">
        <v>2140</v>
      </c>
      <c r="C39" s="466"/>
      <c r="D39" s="466"/>
      <c r="E39" s="466"/>
      <c r="F39" s="466"/>
      <c r="G39" s="466"/>
      <c r="H39" s="466"/>
      <c r="I39" s="467"/>
      <c r="J39" s="467"/>
      <c r="K39" s="1693">
        <f t="shared" si="2"/>
        <v>0</v>
      </c>
      <c r="L39" s="466">
        <v>0</v>
      </c>
    </row>
    <row r="40" spans="1:14" x14ac:dyDescent="0.2">
      <c r="A40" s="1526" t="s">
        <v>209</v>
      </c>
      <c r="B40" s="615">
        <v>2150</v>
      </c>
      <c r="C40" s="466"/>
      <c r="D40" s="466"/>
      <c r="E40" s="466"/>
      <c r="F40" s="466"/>
      <c r="G40" s="466"/>
      <c r="H40" s="466"/>
      <c r="I40" s="467"/>
      <c r="J40" s="467"/>
      <c r="K40" s="1693">
        <f t="shared" si="2"/>
        <v>0</v>
      </c>
      <c r="L40" s="466">
        <v>0</v>
      </c>
    </row>
    <row r="41" spans="1:14" x14ac:dyDescent="0.2">
      <c r="A41" s="1526" t="s">
        <v>1768</v>
      </c>
      <c r="B41" s="615">
        <v>2190</v>
      </c>
      <c r="C41" s="466"/>
      <c r="D41" s="466"/>
      <c r="E41" s="466"/>
      <c r="F41" s="466"/>
      <c r="G41" s="466"/>
      <c r="H41" s="466"/>
      <c r="I41" s="467"/>
      <c r="J41" s="467"/>
      <c r="K41" s="1693">
        <f t="shared" si="2"/>
        <v>0</v>
      </c>
      <c r="L41" s="466">
        <v>0</v>
      </c>
    </row>
    <row r="42" spans="1:14" ht="12.75" customHeight="1" thickBot="1" x14ac:dyDescent="0.25">
      <c r="A42" s="1690" t="s">
        <v>581</v>
      </c>
      <c r="B42" s="1691" t="s">
        <v>740</v>
      </c>
      <c r="C42" s="1692">
        <f>SUM(C36:C41)</f>
        <v>0</v>
      </c>
      <c r="D42" s="1692">
        <f t="shared" ref="D42:L42" si="3">SUM(D36:D41)</f>
        <v>0</v>
      </c>
      <c r="E42" s="1692">
        <f t="shared" si="3"/>
        <v>0</v>
      </c>
      <c r="F42" s="1692">
        <f t="shared" si="3"/>
        <v>0</v>
      </c>
      <c r="G42" s="1692">
        <f t="shared" si="3"/>
        <v>0</v>
      </c>
      <c r="H42" s="1692">
        <f t="shared" si="3"/>
        <v>0</v>
      </c>
      <c r="I42" s="1692">
        <f t="shared" si="3"/>
        <v>0</v>
      </c>
      <c r="J42" s="1692">
        <f t="shared" si="3"/>
        <v>0</v>
      </c>
      <c r="K42" s="1692">
        <f t="shared" si="3"/>
        <v>0</v>
      </c>
      <c r="L42" s="1692">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2163</v>
      </c>
      <c r="D44" s="481"/>
      <c r="E44" s="481">
        <v>6952</v>
      </c>
      <c r="F44" s="481">
        <v>1500</v>
      </c>
      <c r="G44" s="481"/>
      <c r="H44" s="481"/>
      <c r="I44" s="467"/>
      <c r="J44" s="467"/>
      <c r="K44" s="1694">
        <f>SUM(C44:J44)</f>
        <v>10615</v>
      </c>
      <c r="L44" s="481">
        <v>13576</v>
      </c>
    </row>
    <row r="45" spans="1:14" x14ac:dyDescent="0.2">
      <c r="A45" s="1526" t="s">
        <v>869</v>
      </c>
      <c r="B45" s="615">
        <v>2220</v>
      </c>
      <c r="C45" s="466"/>
      <c r="D45" s="466"/>
      <c r="E45" s="466"/>
      <c r="F45" s="466"/>
      <c r="G45" s="466"/>
      <c r="H45" s="466"/>
      <c r="I45" s="467"/>
      <c r="J45" s="467"/>
      <c r="K45" s="1694">
        <f>SUM(C45:J45)</f>
        <v>0</v>
      </c>
      <c r="L45" s="466">
        <v>0</v>
      </c>
    </row>
    <row r="46" spans="1:14" x14ac:dyDescent="0.2">
      <c r="A46" s="1526" t="s">
        <v>870</v>
      </c>
      <c r="B46" s="615">
        <v>2230</v>
      </c>
      <c r="C46" s="466"/>
      <c r="D46" s="466"/>
      <c r="E46" s="466"/>
      <c r="F46" s="466"/>
      <c r="G46" s="466"/>
      <c r="H46" s="466"/>
      <c r="I46" s="467"/>
      <c r="J46" s="467"/>
      <c r="K46" s="1694">
        <f>SUM(C46:J46)</f>
        <v>0</v>
      </c>
      <c r="L46" s="466">
        <v>0</v>
      </c>
    </row>
    <row r="47" spans="1:14" ht="12.75" customHeight="1" thickBot="1" x14ac:dyDescent="0.25">
      <c r="A47" s="1690" t="s">
        <v>582</v>
      </c>
      <c r="B47" s="1691" t="s">
        <v>32</v>
      </c>
      <c r="C47" s="1692">
        <f>SUM(C44:C46)</f>
        <v>2163</v>
      </c>
      <c r="D47" s="1692">
        <f t="shared" ref="D47:K47" si="4">SUM(D44:D46)</f>
        <v>0</v>
      </c>
      <c r="E47" s="1692">
        <f t="shared" si="4"/>
        <v>6952</v>
      </c>
      <c r="F47" s="1692">
        <f t="shared" si="4"/>
        <v>1500</v>
      </c>
      <c r="G47" s="1692">
        <f t="shared" si="4"/>
        <v>0</v>
      </c>
      <c r="H47" s="1692">
        <f t="shared" si="4"/>
        <v>0</v>
      </c>
      <c r="I47" s="1692">
        <f t="shared" si="4"/>
        <v>0</v>
      </c>
      <c r="J47" s="1692">
        <f t="shared" si="4"/>
        <v>0</v>
      </c>
      <c r="K47" s="1692">
        <f t="shared" si="4"/>
        <v>10615</v>
      </c>
      <c r="L47" s="1692">
        <f>SUM(L44:L46)</f>
        <v>13576</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600</v>
      </c>
      <c r="D49" s="481"/>
      <c r="E49" s="481">
        <v>18712</v>
      </c>
      <c r="F49" s="481"/>
      <c r="G49" s="481"/>
      <c r="H49" s="481">
        <v>3764</v>
      </c>
      <c r="I49" s="467"/>
      <c r="J49" s="467"/>
      <c r="K49" s="1694">
        <f>SUM(C49:J49)</f>
        <v>23076</v>
      </c>
      <c r="L49" s="481">
        <v>24200</v>
      </c>
    </row>
    <row r="50" spans="1:14" x14ac:dyDescent="0.2">
      <c r="A50" s="1526" t="s">
        <v>872</v>
      </c>
      <c r="B50" s="615">
        <v>2320</v>
      </c>
      <c r="C50" s="466">
        <v>38500</v>
      </c>
      <c r="D50" s="466">
        <v>5623</v>
      </c>
      <c r="E50" s="466">
        <v>791</v>
      </c>
      <c r="F50" s="466">
        <v>32</v>
      </c>
      <c r="G50" s="466"/>
      <c r="H50" s="466">
        <v>356</v>
      </c>
      <c r="I50" s="467"/>
      <c r="J50" s="467"/>
      <c r="K50" s="1694">
        <f>SUM(C50:J50)</f>
        <v>45302</v>
      </c>
      <c r="L50" s="466">
        <v>45685</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316</v>
      </c>
      <c r="B52" s="628" t="s">
        <v>384</v>
      </c>
      <c r="C52" s="474"/>
      <c r="D52" s="474"/>
      <c r="E52" s="474"/>
      <c r="F52" s="474"/>
      <c r="G52" s="474"/>
      <c r="H52" s="474"/>
      <c r="I52" s="474"/>
      <c r="J52" s="474"/>
      <c r="K52" s="1694">
        <f>SUM(C52:J52)</f>
        <v>0</v>
      </c>
      <c r="L52" s="474">
        <v>0</v>
      </c>
    </row>
    <row r="53" spans="1:14" ht="12.75" customHeight="1" thickBot="1" x14ac:dyDescent="0.25">
      <c r="A53" s="1690" t="s">
        <v>741</v>
      </c>
      <c r="B53" s="1691" t="s">
        <v>33</v>
      </c>
      <c r="C53" s="1692">
        <f>SUM(C49:C52)</f>
        <v>39100</v>
      </c>
      <c r="D53" s="1692">
        <f t="shared" ref="D53:L53" si="5">SUM(D49:D52)</f>
        <v>5623</v>
      </c>
      <c r="E53" s="1692">
        <f t="shared" si="5"/>
        <v>19503</v>
      </c>
      <c r="F53" s="1692">
        <f t="shared" si="5"/>
        <v>32</v>
      </c>
      <c r="G53" s="1692">
        <f t="shared" si="5"/>
        <v>0</v>
      </c>
      <c r="H53" s="1692">
        <f t="shared" si="5"/>
        <v>4120</v>
      </c>
      <c r="I53" s="1692">
        <f t="shared" si="5"/>
        <v>0</v>
      </c>
      <c r="J53" s="1692">
        <f t="shared" si="5"/>
        <v>0</v>
      </c>
      <c r="K53" s="1692">
        <f t="shared" si="5"/>
        <v>68378</v>
      </c>
      <c r="L53" s="1692">
        <f t="shared" si="5"/>
        <v>69885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96442</v>
      </c>
      <c r="D55" s="481">
        <v>40004</v>
      </c>
      <c r="E55" s="481">
        <v>1889</v>
      </c>
      <c r="F55" s="481">
        <v>25</v>
      </c>
      <c r="G55" s="481"/>
      <c r="H55" s="481"/>
      <c r="I55" s="467"/>
      <c r="J55" s="467"/>
      <c r="K55" s="1694">
        <f>SUM(C55:J55)</f>
        <v>138360</v>
      </c>
      <c r="L55" s="481">
        <v>140698</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96442</v>
      </c>
      <c r="D57" s="1696">
        <f t="shared" ref="D57:K57" si="6">SUM(D55:D56)</f>
        <v>40004</v>
      </c>
      <c r="E57" s="1696">
        <f t="shared" si="6"/>
        <v>1889</v>
      </c>
      <c r="F57" s="1696">
        <f t="shared" si="6"/>
        <v>25</v>
      </c>
      <c r="G57" s="1696">
        <f t="shared" si="6"/>
        <v>0</v>
      </c>
      <c r="H57" s="1696">
        <f t="shared" si="6"/>
        <v>0</v>
      </c>
      <c r="I57" s="1696">
        <f t="shared" si="6"/>
        <v>0</v>
      </c>
      <c r="J57" s="1696">
        <f t="shared" si="6"/>
        <v>0</v>
      </c>
      <c r="K57" s="1696">
        <f t="shared" si="6"/>
        <v>138360</v>
      </c>
      <c r="L57" s="1692">
        <f>SUM(L55:L56)</f>
        <v>140698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483</v>
      </c>
      <c r="B60" s="615">
        <v>2520</v>
      </c>
      <c r="C60" s="466">
        <v>52779</v>
      </c>
      <c r="D60" s="466">
        <v>7614</v>
      </c>
      <c r="E60" s="466">
        <v>2599</v>
      </c>
      <c r="F60" s="466">
        <v>651</v>
      </c>
      <c r="G60" s="466"/>
      <c r="H60" s="466"/>
      <c r="I60" s="467"/>
      <c r="J60" s="467"/>
      <c r="K60" s="1694">
        <f t="shared" si="7"/>
        <v>63643</v>
      </c>
      <c r="L60" s="466">
        <v>66060</v>
      </c>
      <c r="M60" s="610"/>
      <c r="N60" s="610"/>
    </row>
    <row r="61" spans="1:14" s="343" customFormat="1" x14ac:dyDescent="0.2">
      <c r="A61" s="1526" t="s">
        <v>206</v>
      </c>
      <c r="B61" s="615">
        <v>2540</v>
      </c>
      <c r="C61" s="466"/>
      <c r="D61" s="466"/>
      <c r="E61" s="466"/>
      <c r="F61" s="466"/>
      <c r="G61" s="466"/>
      <c r="H61" s="466"/>
      <c r="I61" s="467"/>
      <c r="J61" s="467"/>
      <c r="K61" s="1694">
        <f t="shared" si="7"/>
        <v>0</v>
      </c>
      <c r="L61" s="466">
        <v>0</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45069</v>
      </c>
      <c r="D63" s="466">
        <v>15893</v>
      </c>
      <c r="E63" s="466">
        <v>1689</v>
      </c>
      <c r="F63" s="466">
        <v>37764</v>
      </c>
      <c r="G63" s="466"/>
      <c r="H63" s="466">
        <v>187</v>
      </c>
      <c r="I63" s="467"/>
      <c r="J63" s="467"/>
      <c r="K63" s="1694">
        <f t="shared" si="7"/>
        <v>100602</v>
      </c>
      <c r="L63" s="466">
        <v>107070</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743</v>
      </c>
      <c r="B65" s="1691" t="s">
        <v>35</v>
      </c>
      <c r="C65" s="1692">
        <f>SUM(C59:C64)</f>
        <v>97848</v>
      </c>
      <c r="D65" s="1692">
        <f t="shared" ref="D65:L65" si="8">SUM(D59:D64)</f>
        <v>23507</v>
      </c>
      <c r="E65" s="1692">
        <f t="shared" si="8"/>
        <v>4288</v>
      </c>
      <c r="F65" s="1692">
        <f t="shared" si="8"/>
        <v>38415</v>
      </c>
      <c r="G65" s="1692">
        <f t="shared" si="8"/>
        <v>0</v>
      </c>
      <c r="H65" s="1692">
        <f t="shared" si="8"/>
        <v>187</v>
      </c>
      <c r="I65" s="1692">
        <f t="shared" si="8"/>
        <v>0</v>
      </c>
      <c r="J65" s="1692">
        <f t="shared" si="8"/>
        <v>0</v>
      </c>
      <c r="K65" s="1692">
        <f t="shared" si="8"/>
        <v>164245</v>
      </c>
      <c r="L65" s="1692">
        <f t="shared" si="8"/>
        <v>173130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c r="D68" s="466"/>
      <c r="E68" s="466"/>
      <c r="F68" s="466"/>
      <c r="G68" s="466"/>
      <c r="H68" s="466"/>
      <c r="I68" s="467"/>
      <c r="J68" s="467"/>
      <c r="K68" s="1694">
        <f>SUM(C68:J68)</f>
        <v>0</v>
      </c>
      <c r="L68" s="466">
        <v>0</v>
      </c>
      <c r="M68" s="610"/>
      <c r="N68" s="610"/>
    </row>
    <row r="69" spans="1:14" s="343" customFormat="1" x14ac:dyDescent="0.2">
      <c r="A69" s="1526" t="s">
        <v>1121</v>
      </c>
      <c r="B69" s="615">
        <v>2630</v>
      </c>
      <c r="C69" s="466"/>
      <c r="D69" s="466"/>
      <c r="E69" s="466">
        <v>31848</v>
      </c>
      <c r="F69" s="466">
        <v>9125</v>
      </c>
      <c r="G69" s="466">
        <v>12224</v>
      </c>
      <c r="H69" s="466"/>
      <c r="I69" s="467"/>
      <c r="J69" s="467"/>
      <c r="K69" s="1694">
        <f>SUM(C69:J69)</f>
        <v>53197</v>
      </c>
      <c r="L69" s="466">
        <v>41600</v>
      </c>
      <c r="M69" s="610"/>
      <c r="N69" s="610"/>
    </row>
    <row r="70" spans="1:14" s="343" customFormat="1" x14ac:dyDescent="0.2">
      <c r="A70" s="1526" t="s">
        <v>423</v>
      </c>
      <c r="B70" s="615">
        <v>2640</v>
      </c>
      <c r="C70" s="466"/>
      <c r="D70" s="466"/>
      <c r="E70" s="466"/>
      <c r="F70" s="466"/>
      <c r="G70" s="466"/>
      <c r="H70" s="466"/>
      <c r="I70" s="467"/>
      <c r="J70" s="467"/>
      <c r="K70" s="1694">
        <f>SUM(C70:J70)</f>
        <v>0</v>
      </c>
      <c r="L70" s="466">
        <v>0</v>
      </c>
      <c r="M70" s="610"/>
      <c r="N70" s="610"/>
    </row>
    <row r="71" spans="1:14" s="343" customFormat="1" x14ac:dyDescent="0.2">
      <c r="A71" s="1526" t="s">
        <v>424</v>
      </c>
      <c r="B71" s="615">
        <v>2660</v>
      </c>
      <c r="C71" s="466"/>
      <c r="D71" s="466"/>
      <c r="E71" s="466"/>
      <c r="F71" s="466"/>
      <c r="G71" s="466"/>
      <c r="H71" s="466"/>
      <c r="I71" s="467"/>
      <c r="J71" s="467"/>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31848</v>
      </c>
      <c r="F72" s="1692">
        <f t="shared" si="9"/>
        <v>9125</v>
      </c>
      <c r="G72" s="1692">
        <f t="shared" si="9"/>
        <v>12224</v>
      </c>
      <c r="H72" s="1692">
        <f t="shared" si="9"/>
        <v>0</v>
      </c>
      <c r="I72" s="1692">
        <f t="shared" si="9"/>
        <v>0</v>
      </c>
      <c r="J72" s="1692">
        <f t="shared" si="9"/>
        <v>0</v>
      </c>
      <c r="K72" s="1692">
        <f t="shared" si="9"/>
        <v>53197</v>
      </c>
      <c r="L72" s="1692">
        <f>SUM(L67:L71)</f>
        <v>41600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0</v>
      </c>
      <c r="M73" s="610"/>
      <c r="N73" s="610"/>
    </row>
    <row r="74" spans="1:14" ht="12.75" customHeight="1" thickTop="1" thickBot="1" x14ac:dyDescent="0.25">
      <c r="A74" s="1690" t="s">
        <v>865</v>
      </c>
      <c r="B74" s="1698">
        <v>2000</v>
      </c>
      <c r="C74" s="1699">
        <f>SUM(C42,C47,C53,C57,C65,C72,C73)</f>
        <v>235553</v>
      </c>
      <c r="D74" s="1699">
        <f t="shared" ref="D74:K74" si="10">SUM(D42,D47,D53,D57,D65,D72,D73)</f>
        <v>69134</v>
      </c>
      <c r="E74" s="1699">
        <f t="shared" si="10"/>
        <v>64480</v>
      </c>
      <c r="F74" s="1699">
        <f t="shared" si="10"/>
        <v>49097</v>
      </c>
      <c r="G74" s="1699">
        <f t="shared" si="10"/>
        <v>12224</v>
      </c>
      <c r="H74" s="1699">
        <f t="shared" si="10"/>
        <v>4307</v>
      </c>
      <c r="I74" s="1699">
        <f t="shared" si="10"/>
        <v>0</v>
      </c>
      <c r="J74" s="1699">
        <f t="shared" si="10"/>
        <v>0</v>
      </c>
      <c r="K74" s="1699">
        <f t="shared" si="10"/>
        <v>434795</v>
      </c>
      <c r="L74" s="1699">
        <f>SUM(L42,L47,L53,L57,L65,L72,L73)</f>
        <v>438889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1000</v>
      </c>
      <c r="F78" s="617"/>
      <c r="G78" s="617"/>
      <c r="H78" s="635"/>
      <c r="I78" s="477"/>
      <c r="J78" s="477"/>
      <c r="K78" s="1693">
        <f t="shared" ref="K78:K83" si="11">SUM(C78:J78)</f>
        <v>1000</v>
      </c>
      <c r="L78" s="481">
        <v>1000</v>
      </c>
    </row>
    <row r="79" spans="1:14" x14ac:dyDescent="0.2">
      <c r="A79" s="1526" t="s">
        <v>322</v>
      </c>
      <c r="B79" s="615">
        <v>4120</v>
      </c>
      <c r="C79" s="617"/>
      <c r="D79" s="617"/>
      <c r="E79" s="466">
        <v>66192</v>
      </c>
      <c r="F79" s="617"/>
      <c r="G79" s="617"/>
      <c r="H79" s="466">
        <v>11962</v>
      </c>
      <c r="I79" s="477"/>
      <c r="J79" s="477"/>
      <c r="K79" s="1693">
        <f t="shared" si="11"/>
        <v>78154</v>
      </c>
      <c r="L79" s="466">
        <v>86800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c r="F83" s="617"/>
      <c r="G83" s="617"/>
      <c r="H83" s="466"/>
      <c r="I83" s="477"/>
      <c r="J83" s="477"/>
      <c r="K83" s="1693">
        <f t="shared" si="11"/>
        <v>0</v>
      </c>
      <c r="L83" s="466">
        <v>0</v>
      </c>
    </row>
    <row r="84" spans="1:12" ht="13.5" thickBot="1" x14ac:dyDescent="0.25">
      <c r="A84" s="1690" t="s">
        <v>1565</v>
      </c>
      <c r="B84" s="1700">
        <v>4100</v>
      </c>
      <c r="C84" s="617"/>
      <c r="D84" s="617"/>
      <c r="E84" s="1692">
        <f>SUM(E78:E83)</f>
        <v>67192</v>
      </c>
      <c r="F84" s="617"/>
      <c r="G84" s="617"/>
      <c r="H84" s="1692">
        <f>SUM(H78:H83)</f>
        <v>11962</v>
      </c>
      <c r="I84" s="477"/>
      <c r="J84" s="477"/>
      <c r="K84" s="1692">
        <f>SUM(K78:K83)</f>
        <v>79154</v>
      </c>
      <c r="L84" s="1692">
        <f>SUM(L78:L83)</f>
        <v>87800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v>31765</v>
      </c>
      <c r="I86" s="477"/>
      <c r="J86" s="477"/>
      <c r="K86" s="1699">
        <f t="shared" ref="K86:K98" si="12">H86</f>
        <v>31765</v>
      </c>
      <c r="L86" s="530">
        <v>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0</v>
      </c>
    </row>
    <row r="89" spans="1:12" ht="12.75" customHeight="1" thickTop="1" thickBot="1" x14ac:dyDescent="0.25">
      <c r="A89" s="1535" t="s">
        <v>725</v>
      </c>
      <c r="B89" s="640">
        <v>4270</v>
      </c>
      <c r="C89" s="617"/>
      <c r="D89" s="617"/>
      <c r="E89" s="639"/>
      <c r="F89" s="617"/>
      <c r="G89" s="617"/>
      <c r="H89" s="467"/>
      <c r="I89" s="477"/>
      <c r="J89" s="477"/>
      <c r="K89" s="1699">
        <f t="shared" si="12"/>
        <v>0</v>
      </c>
      <c r="L89" s="530">
        <v>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31765</v>
      </c>
      <c r="I92" s="477"/>
      <c r="J92" s="477"/>
      <c r="K92" s="1699">
        <f t="shared" si="12"/>
        <v>31765</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67192</v>
      </c>
      <c r="F102" s="617"/>
      <c r="G102" s="617"/>
      <c r="H102" s="1699">
        <f>SUM(H84,H92,H100,H101)</f>
        <v>43727</v>
      </c>
      <c r="I102" s="477"/>
      <c r="J102" s="477"/>
      <c r="K102" s="1699">
        <f>SUM(K84,K92,K100,K101)</f>
        <v>110919</v>
      </c>
      <c r="L102" s="1699">
        <f>SUM(L84,L92,L100,L101)</f>
        <v>87800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953699</v>
      </c>
      <c r="D114" s="1692">
        <f t="shared" ref="D114:K114" si="13">SUM(D33,D74,D75,D102,D112,D113)</f>
        <v>281241</v>
      </c>
      <c r="E114" s="1692">
        <f t="shared" si="13"/>
        <v>154746</v>
      </c>
      <c r="F114" s="1692">
        <f t="shared" si="13"/>
        <v>81023</v>
      </c>
      <c r="G114" s="1692">
        <f t="shared" si="13"/>
        <v>12224</v>
      </c>
      <c r="H114" s="1692">
        <f>SUM(H33,H74,H75,H102,H112,H113)</f>
        <v>50967</v>
      </c>
      <c r="I114" s="1692">
        <f t="shared" si="13"/>
        <v>0</v>
      </c>
      <c r="J114" s="1692">
        <f t="shared" si="13"/>
        <v>0</v>
      </c>
      <c r="K114" s="1692">
        <f t="shared" si="13"/>
        <v>1533900</v>
      </c>
      <c r="L114" s="1692">
        <f>SUM(L33,L74,L75,L102,L112,L113)</f>
        <v>1551595</v>
      </c>
    </row>
    <row r="115" spans="1:14" ht="13.5" thickTop="1" x14ac:dyDescent="0.2">
      <c r="A115" s="2199" t="s">
        <v>1053</v>
      </c>
      <c r="B115" s="2200"/>
      <c r="C115" s="619"/>
      <c r="D115" s="619"/>
      <c r="E115" s="619"/>
      <c r="F115" s="619"/>
      <c r="G115" s="619"/>
      <c r="H115" s="619"/>
      <c r="I115" s="619"/>
      <c r="J115" s="619"/>
      <c r="K115" s="1706">
        <f>'Revenues 9-14'!C275-'Expenditures 15-22'!K114</f>
        <v>309818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v>123410</v>
      </c>
      <c r="D124" s="466">
        <v>15893</v>
      </c>
      <c r="E124" s="466">
        <f>27648+32936+94+4620+1931+735+1784-2</f>
        <v>69746</v>
      </c>
      <c r="F124" s="466">
        <f>13833+30239+13418</f>
        <v>57490</v>
      </c>
      <c r="G124" s="466">
        <v>18500</v>
      </c>
      <c r="H124" s="466"/>
      <c r="I124" s="467"/>
      <c r="J124" s="467"/>
      <c r="K124" s="1692">
        <f>SUM(C124:J124)</f>
        <v>285039</v>
      </c>
      <c r="L124" s="466">
        <v>290120</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123410</v>
      </c>
      <c r="D127" s="1692">
        <f t="shared" ref="D127:L127" si="14">SUM(D122:D126)</f>
        <v>15893</v>
      </c>
      <c r="E127" s="1692">
        <f t="shared" si="14"/>
        <v>69746</v>
      </c>
      <c r="F127" s="1692">
        <f t="shared" si="14"/>
        <v>57490</v>
      </c>
      <c r="G127" s="1692">
        <f t="shared" si="14"/>
        <v>18500</v>
      </c>
      <c r="H127" s="1692">
        <f t="shared" si="14"/>
        <v>0</v>
      </c>
      <c r="I127" s="1692">
        <f t="shared" si="14"/>
        <v>0</v>
      </c>
      <c r="J127" s="1692">
        <f t="shared" si="14"/>
        <v>0</v>
      </c>
      <c r="K127" s="1692">
        <f t="shared" si="14"/>
        <v>285039</v>
      </c>
      <c r="L127" s="1692">
        <f t="shared" si="14"/>
        <v>290120</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123410</v>
      </c>
      <c r="D129" s="1699">
        <f t="shared" ref="D129:L129" si="15">SUM(D120,D127,D128)</f>
        <v>15893</v>
      </c>
      <c r="E129" s="1699">
        <f t="shared" si="15"/>
        <v>69746</v>
      </c>
      <c r="F129" s="1699">
        <f t="shared" si="15"/>
        <v>57490</v>
      </c>
      <c r="G129" s="1699">
        <f t="shared" si="15"/>
        <v>18500</v>
      </c>
      <c r="H129" s="1699">
        <f t="shared" si="15"/>
        <v>0</v>
      </c>
      <c r="I129" s="1699">
        <f t="shared" si="15"/>
        <v>0</v>
      </c>
      <c r="J129" s="1699">
        <f t="shared" si="15"/>
        <v>0</v>
      </c>
      <c r="K129" s="1699">
        <f t="shared" si="15"/>
        <v>285039</v>
      </c>
      <c r="L129" s="1699">
        <f t="shared" si="15"/>
        <v>290120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c r="F136" s="617"/>
      <c r="G136" s="617"/>
      <c r="H136" s="466"/>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9" t="s">
        <v>641</v>
      </c>
      <c r="B151" s="2171"/>
      <c r="C151" s="1692">
        <f>SUM(C129,C130,C139,C149,C150)</f>
        <v>123410</v>
      </c>
      <c r="D151" s="1692">
        <f t="shared" ref="D151:K151" si="16">SUM(D129,D130,D139,D149,D150)</f>
        <v>15893</v>
      </c>
      <c r="E151" s="1692">
        <f t="shared" si="16"/>
        <v>69746</v>
      </c>
      <c r="F151" s="1692">
        <f t="shared" si="16"/>
        <v>57490</v>
      </c>
      <c r="G151" s="1692">
        <f t="shared" si="16"/>
        <v>18500</v>
      </c>
      <c r="H151" s="1692">
        <f t="shared" si="16"/>
        <v>0</v>
      </c>
      <c r="I151" s="1692">
        <f t="shared" si="16"/>
        <v>0</v>
      </c>
      <c r="J151" s="1692">
        <f t="shared" si="16"/>
        <v>0</v>
      </c>
      <c r="K151" s="1692">
        <f t="shared" si="16"/>
        <v>285039</v>
      </c>
      <c r="L151" s="1692">
        <f>SUM(L129,L130,L139,L149,L150)</f>
        <v>290120</v>
      </c>
    </row>
    <row r="152" spans="1:14" ht="12.75" customHeight="1" thickTop="1" x14ac:dyDescent="0.2">
      <c r="A152" s="2192" t="s">
        <v>1240</v>
      </c>
      <c r="B152" s="2193"/>
      <c r="C152" s="619"/>
      <c r="D152" s="619"/>
      <c r="E152" s="619"/>
      <c r="F152" s="619"/>
      <c r="G152" s="619"/>
      <c r="H152" s="619"/>
      <c r="I152" s="619"/>
      <c r="J152" s="617"/>
      <c r="K152" s="1706">
        <f>'Revenues 9-14'!D275-'Expenditures 15-22'!K151</f>
        <v>-30799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c r="I166" s="617"/>
      <c r="J166" s="617"/>
      <c r="K166" s="1693">
        <f>SUM(C166:J166)</f>
        <v>0</v>
      </c>
      <c r="L166" s="466">
        <v>0</v>
      </c>
    </row>
    <row r="167" spans="1:14" ht="12.75" customHeight="1" x14ac:dyDescent="0.2">
      <c r="A167" s="1526" t="s">
        <v>640</v>
      </c>
      <c r="B167" s="615" t="s">
        <v>639</v>
      </c>
      <c r="C167" s="617"/>
      <c r="D167" s="617"/>
      <c r="E167" s="617"/>
      <c r="F167" s="617"/>
      <c r="G167" s="617"/>
      <c r="H167" s="466"/>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v>0</v>
      </c>
    </row>
    <row r="170" spans="1:14" ht="33.75" customHeight="1" x14ac:dyDescent="0.2">
      <c r="A170" s="670" t="s">
        <v>1769</v>
      </c>
      <c r="B170" s="672" t="s">
        <v>31</v>
      </c>
      <c r="C170" s="617"/>
      <c r="D170" s="617"/>
      <c r="E170" s="617"/>
      <c r="F170" s="617"/>
      <c r="G170" s="617"/>
      <c r="H170" s="569"/>
      <c r="I170" s="617"/>
      <c r="J170" s="617"/>
      <c r="K170" s="1693">
        <f>SUM(C170:J170)</f>
        <v>0</v>
      </c>
      <c r="L170" s="569">
        <v>0</v>
      </c>
    </row>
    <row r="171" spans="1:14" ht="15.75" customHeight="1" x14ac:dyDescent="0.2">
      <c r="A171" s="622" t="s">
        <v>790</v>
      </c>
      <c r="B171" s="673" t="s">
        <v>86</v>
      </c>
      <c r="C171" s="617"/>
      <c r="D171" s="617"/>
      <c r="E171" s="466"/>
      <c r="F171" s="617"/>
      <c r="G171" s="617"/>
      <c r="H171" s="569"/>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99" t="s">
        <v>1053</v>
      </c>
      <c r="B175" s="2200"/>
      <c r="C175" s="617"/>
      <c r="D175" s="617"/>
      <c r="E175" s="617"/>
      <c r="F175" s="617"/>
      <c r="G175" s="617"/>
      <c r="H175" s="619"/>
      <c r="I175" s="617"/>
      <c r="J175" s="617"/>
      <c r="K175" s="1706">
        <f>'Revenues 9-14'!E275-'Expenditures 15-22'!K174</f>
        <v>30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97348</v>
      </c>
      <c r="F182" s="466"/>
      <c r="G182" s="466"/>
      <c r="H182" s="466">
        <v>12361</v>
      </c>
      <c r="I182" s="467"/>
      <c r="J182" s="467"/>
      <c r="K182" s="1693">
        <f>SUM(C182:J182)</f>
        <v>109709</v>
      </c>
      <c r="L182" s="466">
        <v>110020</v>
      </c>
    </row>
    <row r="183" spans="1:14" ht="12.75" customHeight="1" thickBot="1" x14ac:dyDescent="0.25">
      <c r="A183" s="1531" t="s">
        <v>1037</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865</v>
      </c>
      <c r="B184" s="1691" t="s">
        <v>590</v>
      </c>
      <c r="C184" s="1699">
        <f>SUM(C180,C182,C183)</f>
        <v>0</v>
      </c>
      <c r="D184" s="1699">
        <f t="shared" ref="D184:J184" si="17">SUM(D180,D182,D183)</f>
        <v>0</v>
      </c>
      <c r="E184" s="1699">
        <f t="shared" si="17"/>
        <v>97348</v>
      </c>
      <c r="F184" s="1699">
        <f t="shared" si="17"/>
        <v>0</v>
      </c>
      <c r="G184" s="1699">
        <f t="shared" si="17"/>
        <v>0</v>
      </c>
      <c r="H184" s="1699">
        <f t="shared" si="17"/>
        <v>12361</v>
      </c>
      <c r="I184" s="1699">
        <f t="shared" si="17"/>
        <v>0</v>
      </c>
      <c r="J184" s="1699">
        <f t="shared" si="17"/>
        <v>0</v>
      </c>
      <c r="K184" s="1699">
        <f>SUM(K180,K182,K183)</f>
        <v>109709</v>
      </c>
      <c r="L184" s="1699">
        <f>SUM(L180, L182:L183)</f>
        <v>110020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0</v>
      </c>
      <c r="D210" s="1692">
        <f>SUM(D184,D185)</f>
        <v>0</v>
      </c>
      <c r="E210" s="1692">
        <f>SUM(E184,E185,E196)</f>
        <v>97348</v>
      </c>
      <c r="F210" s="1692">
        <f>SUM(F184,F185)</f>
        <v>0</v>
      </c>
      <c r="G210" s="1692">
        <f>SUM(G184,G185)</f>
        <v>0</v>
      </c>
      <c r="H210" s="1692">
        <f>SUM(H184,H185,H196,H208,H209)</f>
        <v>12361</v>
      </c>
      <c r="I210" s="1692">
        <f>SUM(I184,I185)</f>
        <v>0</v>
      </c>
      <c r="J210" s="1692">
        <f>SUM(J184,J185)</f>
        <v>0</v>
      </c>
      <c r="K210" s="1693">
        <f>SUM(K184,K185,K196,K208,K209)</f>
        <v>109709</v>
      </c>
      <c r="L210" s="1692">
        <f>SUM(L184,L185,L196,L208,L209)</f>
        <v>110020</v>
      </c>
    </row>
    <row r="211" spans="1:14" ht="13.5" thickTop="1" x14ac:dyDescent="0.2">
      <c r="A211" s="2199" t="s">
        <v>1053</v>
      </c>
      <c r="B211" s="2200"/>
      <c r="C211" s="619"/>
      <c r="D211" s="619"/>
      <c r="E211" s="619"/>
      <c r="F211" s="619"/>
      <c r="G211" s="619"/>
      <c r="H211" s="619"/>
      <c r="I211" s="617"/>
      <c r="J211" s="617"/>
      <c r="K211" s="1706">
        <f>'Revenues 9-14'!F275-'Expenditures 15-22'!K210</f>
        <v>-1419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21866</v>
      </c>
      <c r="E215" s="617"/>
      <c r="F215" s="617"/>
      <c r="G215" s="617"/>
      <c r="H215" s="617"/>
      <c r="I215" s="617"/>
      <c r="J215" s="617"/>
      <c r="K215" s="1693">
        <f>D215</f>
        <v>21866</v>
      </c>
      <c r="L215" s="466">
        <v>23960</v>
      </c>
    </row>
    <row r="216" spans="1:14" x14ac:dyDescent="0.2">
      <c r="A216" s="1526" t="s">
        <v>165</v>
      </c>
      <c r="B216" s="615" t="s">
        <v>1024</v>
      </c>
      <c r="C216" s="617"/>
      <c r="D216" s="467"/>
      <c r="E216" s="617"/>
      <c r="F216" s="617"/>
      <c r="G216" s="617"/>
      <c r="H216" s="617"/>
      <c r="I216" s="617"/>
      <c r="J216" s="617"/>
      <c r="K216" s="1693">
        <f t="shared" ref="K216:K228" si="19">D216</f>
        <v>0</v>
      </c>
      <c r="L216" s="466">
        <v>0</v>
      </c>
    </row>
    <row r="217" spans="1:14" x14ac:dyDescent="0.2">
      <c r="A217" s="1526" t="s">
        <v>166</v>
      </c>
      <c r="B217" s="615">
        <v>1200</v>
      </c>
      <c r="C217" s="617"/>
      <c r="D217" s="466">
        <v>1438</v>
      </c>
      <c r="E217" s="617"/>
      <c r="F217" s="617"/>
      <c r="G217" s="617"/>
      <c r="H217" s="617"/>
      <c r="I217" s="617"/>
      <c r="J217" s="617"/>
      <c r="K217" s="1693">
        <f t="shared" si="19"/>
        <v>1438</v>
      </c>
      <c r="L217" s="466">
        <v>1500</v>
      </c>
    </row>
    <row r="218" spans="1:14" x14ac:dyDescent="0.2">
      <c r="A218" s="1526" t="s">
        <v>296</v>
      </c>
      <c r="B218" s="615" t="s">
        <v>1025</v>
      </c>
      <c r="C218" s="617"/>
      <c r="D218" s="467"/>
      <c r="E218" s="617"/>
      <c r="F218" s="617"/>
      <c r="G218" s="617"/>
      <c r="H218" s="617"/>
      <c r="I218" s="617"/>
      <c r="J218" s="617"/>
      <c r="K218" s="1693">
        <f t="shared" si="19"/>
        <v>0</v>
      </c>
      <c r="L218" s="466">
        <v>0</v>
      </c>
    </row>
    <row r="219" spans="1:14" x14ac:dyDescent="0.2">
      <c r="A219" s="1526" t="s">
        <v>297</v>
      </c>
      <c r="B219" s="615">
        <v>1250</v>
      </c>
      <c r="C219" s="617"/>
      <c r="D219" s="466">
        <v>2079</v>
      </c>
      <c r="E219" s="617"/>
      <c r="F219" s="617"/>
      <c r="G219" s="617"/>
      <c r="H219" s="617"/>
      <c r="I219" s="617"/>
      <c r="J219" s="617"/>
      <c r="K219" s="1693">
        <f t="shared" si="19"/>
        <v>2079</v>
      </c>
      <c r="L219" s="466">
        <v>2128</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c r="E222" s="617"/>
      <c r="F222" s="617"/>
      <c r="G222" s="617"/>
      <c r="H222" s="617"/>
      <c r="I222" s="617"/>
      <c r="J222" s="617"/>
      <c r="K222" s="1693">
        <f t="shared" si="19"/>
        <v>0</v>
      </c>
      <c r="L222" s="466">
        <v>0</v>
      </c>
    </row>
    <row r="223" spans="1:14" x14ac:dyDescent="0.2">
      <c r="A223" s="1526" t="s">
        <v>1020</v>
      </c>
      <c r="B223" s="615">
        <v>1500</v>
      </c>
      <c r="C223" s="617"/>
      <c r="D223" s="466">
        <v>613</v>
      </c>
      <c r="E223" s="617"/>
      <c r="F223" s="617"/>
      <c r="G223" s="617"/>
      <c r="H223" s="617"/>
      <c r="I223" s="617"/>
      <c r="J223" s="617"/>
      <c r="K223" s="1693">
        <f t="shared" si="19"/>
        <v>613</v>
      </c>
      <c r="L223" s="466">
        <v>625</v>
      </c>
    </row>
    <row r="224" spans="1:14" x14ac:dyDescent="0.2">
      <c r="A224" s="1526" t="s">
        <v>1021</v>
      </c>
      <c r="B224" s="615">
        <v>1600</v>
      </c>
      <c r="C224" s="617"/>
      <c r="D224" s="466"/>
      <c r="E224" s="617"/>
      <c r="F224" s="617"/>
      <c r="G224" s="617"/>
      <c r="H224" s="617"/>
      <c r="I224" s="617"/>
      <c r="J224" s="617"/>
      <c r="K224" s="1693">
        <f t="shared" si="19"/>
        <v>0</v>
      </c>
      <c r="L224" s="466">
        <v>0</v>
      </c>
    </row>
    <row r="225" spans="1:12" x14ac:dyDescent="0.2">
      <c r="A225" s="1526" t="s">
        <v>1044</v>
      </c>
      <c r="B225" s="615">
        <v>1650</v>
      </c>
      <c r="C225" s="617"/>
      <c r="D225" s="466"/>
      <c r="E225" s="617"/>
      <c r="F225" s="617"/>
      <c r="G225" s="617"/>
      <c r="H225" s="617"/>
      <c r="I225" s="617"/>
      <c r="J225" s="617"/>
      <c r="K225" s="1693">
        <f t="shared" si="19"/>
        <v>0</v>
      </c>
      <c r="L225" s="466">
        <v>0</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c r="E227" s="617"/>
      <c r="F227" s="617"/>
      <c r="G227" s="617"/>
      <c r="H227" s="617"/>
      <c r="I227" s="617"/>
      <c r="J227" s="617"/>
      <c r="K227" s="1693">
        <f t="shared" si="19"/>
        <v>0</v>
      </c>
      <c r="L227" s="466">
        <v>0</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25996</v>
      </c>
      <c r="E229" s="617"/>
      <c r="F229" s="617"/>
      <c r="G229" s="617"/>
      <c r="H229" s="617"/>
      <c r="I229" s="617"/>
      <c r="J229" s="617"/>
      <c r="K229" s="1692">
        <f>SUM(K215:K228)</f>
        <v>25996</v>
      </c>
      <c r="L229" s="1692">
        <f>SUM(L215:L228)</f>
        <v>28213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v>0</v>
      </c>
    </row>
    <row r="233" spans="1:12" x14ac:dyDescent="0.2">
      <c r="A233" s="1526" t="s">
        <v>1151</v>
      </c>
      <c r="B233" s="615">
        <v>2120</v>
      </c>
      <c r="C233" s="617"/>
      <c r="D233" s="466"/>
      <c r="E233" s="617"/>
      <c r="F233" s="617"/>
      <c r="G233" s="617"/>
      <c r="H233" s="617"/>
      <c r="I233" s="617"/>
      <c r="J233" s="617"/>
      <c r="K233" s="1693">
        <f t="shared" si="20"/>
        <v>0</v>
      </c>
      <c r="L233" s="466">
        <v>0</v>
      </c>
    </row>
    <row r="234" spans="1:12" x14ac:dyDescent="0.2">
      <c r="A234" s="1526" t="s">
        <v>207</v>
      </c>
      <c r="B234" s="615">
        <v>2130</v>
      </c>
      <c r="C234" s="617"/>
      <c r="D234" s="466"/>
      <c r="E234" s="617"/>
      <c r="F234" s="617"/>
      <c r="G234" s="617"/>
      <c r="H234" s="617"/>
      <c r="I234" s="617"/>
      <c r="J234" s="617"/>
      <c r="K234" s="1693">
        <f t="shared" si="20"/>
        <v>0</v>
      </c>
      <c r="L234" s="466">
        <v>0</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c r="E236" s="617"/>
      <c r="F236" s="617"/>
      <c r="G236" s="617"/>
      <c r="H236" s="617"/>
      <c r="I236" s="617"/>
      <c r="J236" s="617"/>
      <c r="K236" s="1693">
        <f t="shared" si="20"/>
        <v>0</v>
      </c>
      <c r="L236" s="466">
        <v>0</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41</v>
      </c>
      <c r="E240" s="617"/>
      <c r="F240" s="617"/>
      <c r="G240" s="617"/>
      <c r="H240" s="617"/>
      <c r="I240" s="617"/>
      <c r="J240" s="617"/>
      <c r="K240" s="1694">
        <f>D240</f>
        <v>41</v>
      </c>
      <c r="L240" s="481">
        <v>237</v>
      </c>
    </row>
    <row r="241" spans="1:12" x14ac:dyDescent="0.2">
      <c r="A241" s="1526" t="s">
        <v>869</v>
      </c>
      <c r="B241" s="615">
        <v>2220</v>
      </c>
      <c r="C241" s="617"/>
      <c r="D241" s="466"/>
      <c r="E241" s="617"/>
      <c r="F241" s="617"/>
      <c r="G241" s="617"/>
      <c r="H241" s="617"/>
      <c r="I241" s="617"/>
      <c r="J241" s="617"/>
      <c r="K241" s="1694">
        <f>D241</f>
        <v>0</v>
      </c>
      <c r="L241" s="466">
        <v>0</v>
      </c>
    </row>
    <row r="242" spans="1:12" x14ac:dyDescent="0.2">
      <c r="A242" s="1526" t="s">
        <v>870</v>
      </c>
      <c r="B242" s="615">
        <v>2230</v>
      </c>
      <c r="C242" s="617"/>
      <c r="D242" s="466"/>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41</v>
      </c>
      <c r="E243" s="617"/>
      <c r="F243" s="617"/>
      <c r="G243" s="617"/>
      <c r="H243" s="617"/>
      <c r="I243" s="617"/>
      <c r="J243" s="617"/>
      <c r="K243" s="1692">
        <f>SUM(K240:K242)</f>
        <v>41</v>
      </c>
      <c r="L243" s="1692">
        <f>SUM(L240:L242)</f>
        <v>237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44</v>
      </c>
      <c r="E245" s="617"/>
      <c r="F245" s="617"/>
      <c r="G245" s="617"/>
      <c r="H245" s="617"/>
      <c r="I245" s="617"/>
      <c r="J245" s="617"/>
      <c r="K245" s="1694">
        <f>D245</f>
        <v>44</v>
      </c>
      <c r="L245" s="481">
        <v>55</v>
      </c>
    </row>
    <row r="246" spans="1:12" x14ac:dyDescent="0.2">
      <c r="A246" s="1526" t="s">
        <v>872</v>
      </c>
      <c r="B246" s="615">
        <v>2320</v>
      </c>
      <c r="C246" s="617"/>
      <c r="D246" s="466">
        <v>279</v>
      </c>
      <c r="E246" s="617"/>
      <c r="F246" s="617"/>
      <c r="G246" s="617"/>
      <c r="H246" s="617"/>
      <c r="I246" s="617"/>
      <c r="J246" s="617"/>
      <c r="K246" s="1694">
        <f t="shared" ref="K246:K256" si="21">D246</f>
        <v>279</v>
      </c>
      <c r="L246" s="466">
        <v>300</v>
      </c>
    </row>
    <row r="247" spans="1:12" x14ac:dyDescent="0.2">
      <c r="A247" s="1526" t="s">
        <v>873</v>
      </c>
      <c r="B247" s="615">
        <v>2330</v>
      </c>
      <c r="C247" s="617"/>
      <c r="D247" s="466"/>
      <c r="E247" s="617"/>
      <c r="F247" s="617"/>
      <c r="G247" s="617"/>
      <c r="H247" s="617"/>
      <c r="I247" s="617"/>
      <c r="J247" s="617"/>
      <c r="K247" s="1694">
        <f t="shared" si="21"/>
        <v>0</v>
      </c>
      <c r="L247" s="466">
        <v>0</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1908</v>
      </c>
      <c r="B249" s="684" t="s">
        <v>300</v>
      </c>
      <c r="C249" s="617"/>
      <c r="D249" s="474"/>
      <c r="E249" s="617"/>
      <c r="F249" s="617"/>
      <c r="G249" s="617"/>
      <c r="H249" s="617"/>
      <c r="I249" s="617"/>
      <c r="J249" s="617"/>
      <c r="K249" s="1694">
        <f t="shared" si="21"/>
        <v>0</v>
      </c>
      <c r="L249" s="466">
        <v>0</v>
      </c>
    </row>
    <row r="250" spans="1:12" x14ac:dyDescent="0.2">
      <c r="A250" s="1527" t="s">
        <v>1909</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c r="E252" s="617"/>
      <c r="F252" s="617"/>
      <c r="G252" s="617"/>
      <c r="H252" s="617"/>
      <c r="I252" s="617"/>
      <c r="J252" s="617"/>
      <c r="K252" s="1694">
        <f t="shared" si="21"/>
        <v>0</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c r="E254" s="617"/>
      <c r="F254" s="617"/>
      <c r="G254" s="617"/>
      <c r="H254" s="617"/>
      <c r="I254" s="617"/>
      <c r="J254" s="617"/>
      <c r="K254" s="1694">
        <f t="shared" si="21"/>
        <v>0</v>
      </c>
      <c r="L254" s="466">
        <v>0</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323</v>
      </c>
      <c r="E257" s="617"/>
      <c r="F257" s="617"/>
      <c r="G257" s="617"/>
      <c r="H257" s="617"/>
      <c r="I257" s="617"/>
      <c r="J257" s="617"/>
      <c r="K257" s="1692">
        <f>SUM(K245:K256)</f>
        <v>323</v>
      </c>
      <c r="L257" s="1692">
        <f>SUM(L245:L256)</f>
        <v>355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f>1723+4337</f>
        <v>6060</v>
      </c>
      <c r="E259" s="617"/>
      <c r="F259" s="617"/>
      <c r="G259" s="617"/>
      <c r="H259" s="617"/>
      <c r="I259" s="617"/>
      <c r="J259" s="617"/>
      <c r="K259" s="1694">
        <f>D259</f>
        <v>6060</v>
      </c>
      <c r="L259" s="481">
        <v>7130</v>
      </c>
    </row>
    <row r="260" spans="1:14" s="598" customFormat="1" x14ac:dyDescent="0.2">
      <c r="A260" s="1544" t="s">
        <v>1907</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6060</v>
      </c>
      <c r="E261" s="617"/>
      <c r="F261" s="617"/>
      <c r="G261" s="617"/>
      <c r="H261" s="617"/>
      <c r="I261" s="617"/>
      <c r="J261" s="617"/>
      <c r="K261" s="1692">
        <f>SUM(K259:K260)</f>
        <v>6060</v>
      </c>
      <c r="L261" s="1692">
        <f>SUM(L259:L260)</f>
        <v>7130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v>0</v>
      </c>
    </row>
    <row r="264" spans="1:14" x14ac:dyDescent="0.2">
      <c r="A264" s="1526" t="s">
        <v>483</v>
      </c>
      <c r="B264" s="686">
        <v>2520</v>
      </c>
      <c r="C264" s="617"/>
      <c r="D264" s="466">
        <v>5188</v>
      </c>
      <c r="E264" s="617"/>
      <c r="F264" s="617"/>
      <c r="G264" s="617"/>
      <c r="H264" s="617"/>
      <c r="I264" s="617"/>
      <c r="J264" s="617"/>
      <c r="K264" s="1694">
        <f t="shared" ref="K264:K269" si="22">D264</f>
        <v>5188</v>
      </c>
      <c r="L264" s="466">
        <v>6275</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v>19482</v>
      </c>
      <c r="E266" s="617"/>
      <c r="F266" s="617"/>
      <c r="G266" s="617"/>
      <c r="H266" s="617"/>
      <c r="I266" s="617"/>
      <c r="J266" s="617"/>
      <c r="K266" s="1694">
        <f t="shared" si="22"/>
        <v>19482</v>
      </c>
      <c r="L266" s="466">
        <v>19900</v>
      </c>
    </row>
    <row r="267" spans="1:14" x14ac:dyDescent="0.2">
      <c r="A267" s="1526" t="s">
        <v>1010</v>
      </c>
      <c r="B267" s="615">
        <v>2550</v>
      </c>
      <c r="C267" s="617"/>
      <c r="D267" s="466"/>
      <c r="E267" s="617"/>
      <c r="F267" s="617"/>
      <c r="G267" s="617"/>
      <c r="H267" s="617"/>
      <c r="I267" s="617"/>
      <c r="J267" s="617"/>
      <c r="K267" s="1694">
        <f t="shared" si="22"/>
        <v>0</v>
      </c>
      <c r="L267" s="466">
        <v>0</v>
      </c>
    </row>
    <row r="268" spans="1:14" x14ac:dyDescent="0.2">
      <c r="A268" s="1526" t="s">
        <v>102</v>
      </c>
      <c r="B268" s="615">
        <v>2560</v>
      </c>
      <c r="C268" s="617"/>
      <c r="D268" s="466">
        <v>6750</v>
      </c>
      <c r="E268" s="617"/>
      <c r="F268" s="617"/>
      <c r="G268" s="617"/>
      <c r="H268" s="617"/>
      <c r="I268" s="617"/>
      <c r="J268" s="617"/>
      <c r="K268" s="1694">
        <f t="shared" si="22"/>
        <v>6750</v>
      </c>
      <c r="L268" s="466">
        <v>7020</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31420</v>
      </c>
      <c r="E270" s="617"/>
      <c r="F270" s="617"/>
      <c r="G270" s="617"/>
      <c r="H270" s="617"/>
      <c r="I270" s="617"/>
      <c r="J270" s="617"/>
      <c r="K270" s="1692">
        <f>SUM(K263:K269)</f>
        <v>31420</v>
      </c>
      <c r="L270" s="1692">
        <f>SUM(L263:L269)</f>
        <v>33195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c r="E275" s="617"/>
      <c r="F275" s="617"/>
      <c r="G275" s="617"/>
      <c r="H275" s="617"/>
      <c r="I275" s="617"/>
      <c r="J275" s="617"/>
      <c r="K275" s="1694">
        <f>D275</f>
        <v>0</v>
      </c>
      <c r="L275" s="466">
        <v>0</v>
      </c>
    </row>
    <row r="276" spans="1:12" x14ac:dyDescent="0.2">
      <c r="A276" s="1526" t="s">
        <v>424</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37844</v>
      </c>
      <c r="E279" s="617"/>
      <c r="F279" s="617"/>
      <c r="G279" s="617"/>
      <c r="H279" s="617"/>
      <c r="I279" s="617"/>
      <c r="J279" s="617"/>
      <c r="K279" s="1699">
        <f>SUM(K238,K243,K257,K261,K270,K277,K278)</f>
        <v>37844</v>
      </c>
      <c r="L279" s="1699">
        <f>SUM(L238,L243,L257,L261,L270,L277,L278)</f>
        <v>40917</v>
      </c>
    </row>
    <row r="280" spans="1:12" ht="15.75" customHeight="1" thickTop="1" thickBot="1" x14ac:dyDescent="0.25">
      <c r="A280" s="1646" t="s">
        <v>930</v>
      </c>
      <c r="B280" s="1635">
        <v>3000</v>
      </c>
      <c r="C280" s="617"/>
      <c r="D280" s="576"/>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2">
        <f>SUM(D229,D279,D280,D285)</f>
        <v>63840</v>
      </c>
      <c r="E295" s="617"/>
      <c r="F295" s="617"/>
      <c r="G295" s="617"/>
      <c r="H295" s="1692">
        <f>H293</f>
        <v>0</v>
      </c>
      <c r="I295" s="617"/>
      <c r="J295" s="617"/>
      <c r="K295" s="1692">
        <f>SUM(K229,K279,K280,K285,K293,K294)</f>
        <v>63840</v>
      </c>
      <c r="L295" s="1692">
        <f>SUM(L229,L279,L280,L285,L293,L294)</f>
        <v>69130</v>
      </c>
    </row>
    <row r="296" spans="1:14" ht="13.5" thickTop="1" x14ac:dyDescent="0.2">
      <c r="A296" s="2199" t="s">
        <v>1053</v>
      </c>
      <c r="B296" s="2200"/>
      <c r="C296" s="617"/>
      <c r="D296" s="619"/>
      <c r="E296" s="617"/>
      <c r="F296" s="617"/>
      <c r="G296" s="617"/>
      <c r="H296" s="688"/>
      <c r="I296" s="617"/>
      <c r="J296" s="617"/>
      <c r="K296" s="1706">
        <f>'Revenues 9-14'!G275-'Expenditures 15-22'!K295</f>
        <v>44403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0</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1908</v>
      </c>
      <c r="B320" s="699" t="s">
        <v>300</v>
      </c>
      <c r="C320" s="467"/>
      <c r="D320" s="467"/>
      <c r="E320" s="467">
        <v>548</v>
      </c>
      <c r="F320" s="467"/>
      <c r="G320" s="467"/>
      <c r="H320" s="467"/>
      <c r="I320" s="467"/>
      <c r="J320" s="467"/>
      <c r="K320" s="1693">
        <f t="shared" ref="K320:K327" si="24">SUM(C320:J320)</f>
        <v>548</v>
      </c>
      <c r="L320" s="467">
        <v>600</v>
      </c>
      <c r="M320" s="666"/>
      <c r="N320" s="666"/>
    </row>
    <row r="321" spans="1:14" s="675" customFormat="1" x14ac:dyDescent="0.2">
      <c r="A321" s="1541" t="s">
        <v>318</v>
      </c>
      <c r="B321" s="698" t="s">
        <v>301</v>
      </c>
      <c r="C321" s="467"/>
      <c r="D321" s="467"/>
      <c r="E321" s="467">
        <v>16412</v>
      </c>
      <c r="F321" s="467"/>
      <c r="G321" s="467"/>
      <c r="H321" s="467"/>
      <c r="I321" s="467"/>
      <c r="J321" s="467"/>
      <c r="K321" s="1693">
        <f t="shared" si="24"/>
        <v>16412</v>
      </c>
      <c r="L321" s="467">
        <v>16500</v>
      </c>
      <c r="M321" s="666"/>
      <c r="N321" s="666"/>
    </row>
    <row r="322" spans="1:14" s="675" customFormat="1" x14ac:dyDescent="0.2">
      <c r="A322" s="1541" t="s">
        <v>256</v>
      </c>
      <c r="B322" s="698" t="s">
        <v>302</v>
      </c>
      <c r="C322" s="467"/>
      <c r="D322" s="467"/>
      <c r="E322" s="467">
        <v>18287</v>
      </c>
      <c r="F322" s="467"/>
      <c r="G322" s="467"/>
      <c r="H322" s="467"/>
      <c r="I322" s="467"/>
      <c r="J322" s="467"/>
      <c r="K322" s="1693">
        <f t="shared" si="24"/>
        <v>18287</v>
      </c>
      <c r="L322" s="467">
        <v>18300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750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c r="D325" s="467"/>
      <c r="E325" s="467">
        <v>5623</v>
      </c>
      <c r="F325" s="467"/>
      <c r="G325" s="467"/>
      <c r="H325" s="467"/>
      <c r="I325" s="467"/>
      <c r="J325" s="467"/>
      <c r="K325" s="1693">
        <f t="shared" si="24"/>
        <v>5623</v>
      </c>
      <c r="L325" s="467">
        <v>5700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v>0</v>
      </c>
      <c r="M326" s="666"/>
      <c r="N326" s="666"/>
    </row>
    <row r="327" spans="1:14" s="675" customFormat="1" x14ac:dyDescent="0.2">
      <c r="A327" s="1541" t="s">
        <v>1028</v>
      </c>
      <c r="B327" s="698" t="s">
        <v>307</v>
      </c>
      <c r="C327" s="467"/>
      <c r="D327" s="467"/>
      <c r="E327" s="467">
        <v>32804</v>
      </c>
      <c r="F327" s="467"/>
      <c r="G327" s="467"/>
      <c r="H327" s="467"/>
      <c r="I327" s="467"/>
      <c r="J327" s="467"/>
      <c r="K327" s="1693">
        <f t="shared" si="24"/>
        <v>32804</v>
      </c>
      <c r="L327" s="467">
        <v>33000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73674</v>
      </c>
      <c r="F330" s="1692">
        <f t="shared" si="25"/>
        <v>0</v>
      </c>
      <c r="G330" s="1692">
        <f t="shared" si="25"/>
        <v>0</v>
      </c>
      <c r="H330" s="1692">
        <f t="shared" si="25"/>
        <v>0</v>
      </c>
      <c r="I330" s="1692">
        <f t="shared" si="25"/>
        <v>0</v>
      </c>
      <c r="J330" s="1692">
        <f t="shared" si="25"/>
        <v>0</v>
      </c>
      <c r="K330" s="1692">
        <f>SUM(K319:K329)</f>
        <v>73674</v>
      </c>
      <c r="L330" s="1692">
        <f>SUM(L319:L329)</f>
        <v>74850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73674</v>
      </c>
      <c r="F342" s="1692">
        <f>SUM(F330)</f>
        <v>0</v>
      </c>
      <c r="G342" s="1692">
        <f>SUM(G330)</f>
        <v>0</v>
      </c>
      <c r="H342" s="1692">
        <f>SUM(H330,H334,H340)</f>
        <v>0</v>
      </c>
      <c r="I342" s="1692">
        <f>SUM(I330)</f>
        <v>0</v>
      </c>
      <c r="J342" s="1692">
        <f>SUM(J330)</f>
        <v>0</v>
      </c>
      <c r="K342" s="1692">
        <f>SUM(K330,K334,K340)</f>
        <v>73674</v>
      </c>
      <c r="L342" s="1699">
        <f>SUM(L330,L340,L341)</f>
        <v>74850</v>
      </c>
    </row>
    <row r="343" spans="1:14" ht="12.75" customHeight="1" thickTop="1" x14ac:dyDescent="0.2">
      <c r="A343" s="2185" t="s">
        <v>1053</v>
      </c>
      <c r="B343" s="2186"/>
      <c r="C343" s="617"/>
      <c r="D343" s="617"/>
      <c r="E343" s="617"/>
      <c r="F343" s="617"/>
      <c r="G343" s="617"/>
      <c r="H343" s="617"/>
      <c r="I343" s="617"/>
      <c r="J343" s="617"/>
      <c r="K343" s="1706">
        <f>'Revenues 9-14'!J275-'Expenditures 15-22'!K342</f>
        <v>-8638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v>67016</v>
      </c>
      <c r="H348" s="466">
        <v>5278</v>
      </c>
      <c r="I348" s="467"/>
      <c r="J348" s="467"/>
      <c r="K348" s="1693">
        <f>SUM(C348:J348)</f>
        <v>72294</v>
      </c>
      <c r="L348" s="466">
        <v>42800</v>
      </c>
    </row>
    <row r="349" spans="1:14" x14ac:dyDescent="0.2">
      <c r="A349" s="1526" t="s">
        <v>206</v>
      </c>
      <c r="B349" s="615">
        <v>2540</v>
      </c>
      <c r="C349" s="466"/>
      <c r="D349" s="466"/>
      <c r="E349" s="466"/>
      <c r="F349" s="466"/>
      <c r="G349" s="466"/>
      <c r="H349" s="466"/>
      <c r="I349" s="467"/>
      <c r="J349" s="467"/>
      <c r="K349" s="1693">
        <f>SUM(C349:J349)</f>
        <v>0</v>
      </c>
      <c r="L349" s="466">
        <v>24500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67016</v>
      </c>
      <c r="H350" s="1692">
        <f t="shared" si="26"/>
        <v>5278</v>
      </c>
      <c r="I350" s="1692">
        <f t="shared" si="26"/>
        <v>0</v>
      </c>
      <c r="J350" s="1692">
        <f t="shared" si="26"/>
        <v>0</v>
      </c>
      <c r="K350" s="1692">
        <f t="shared" si="26"/>
        <v>72294</v>
      </c>
      <c r="L350" s="1692">
        <f t="shared" si="26"/>
        <v>67300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67016</v>
      </c>
      <c r="H352" s="1692">
        <f t="shared" si="27"/>
        <v>5278</v>
      </c>
      <c r="I352" s="1692">
        <f t="shared" si="27"/>
        <v>0</v>
      </c>
      <c r="J352" s="1692">
        <f t="shared" si="27"/>
        <v>0</v>
      </c>
      <c r="K352" s="1692">
        <f t="shared" si="27"/>
        <v>72294</v>
      </c>
      <c r="L352" s="1692">
        <f t="shared" si="27"/>
        <v>67300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v>0</v>
      </c>
    </row>
    <row r="355" spans="1:14" ht="12.75" customHeight="1" x14ac:dyDescent="0.2">
      <c r="A355" s="1535" t="s">
        <v>1966</v>
      </c>
      <c r="B355" s="691" t="s">
        <v>1959</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67016</v>
      </c>
      <c r="H367" s="1692">
        <f t="shared" si="28"/>
        <v>5278</v>
      </c>
      <c r="I367" s="1692">
        <f t="shared" si="28"/>
        <v>0</v>
      </c>
      <c r="J367" s="1692">
        <f t="shared" si="28"/>
        <v>0</v>
      </c>
      <c r="K367" s="1692">
        <f t="shared" si="28"/>
        <v>72294</v>
      </c>
      <c r="L367" s="1692">
        <f t="shared" si="28"/>
        <v>67300</v>
      </c>
    </row>
    <row r="368" spans="1:14" ht="13.5" thickTop="1" x14ac:dyDescent="0.2">
      <c r="A368" s="2199" t="s">
        <v>1053</v>
      </c>
      <c r="B368" s="2200"/>
      <c r="C368" s="655"/>
      <c r="D368" s="655"/>
      <c r="E368" s="627"/>
      <c r="F368" s="627"/>
      <c r="G368" s="627"/>
      <c r="H368" s="627"/>
      <c r="I368" s="627"/>
      <c r="J368" s="624"/>
      <c r="K368" s="1693">
        <f>'Revenues 9-14'!K275-'Expenditures 15-22'!K367</f>
        <v>-52453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57"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7" manualBreakCount="7">
    <brk id="53" max="16383" man="1"/>
    <brk id="116" max="16383" man="1"/>
    <brk id="153" max="16383" man="1"/>
    <brk id="212"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744517</v>
      </c>
      <c r="C4" s="1546"/>
      <c r="D4" s="1774">
        <f>B4-C4</f>
        <v>744517</v>
      </c>
      <c r="E4" s="1546">
        <v>787621</v>
      </c>
      <c r="F4" s="1774">
        <f>E4-C4</f>
        <v>787621</v>
      </c>
    </row>
    <row r="5" spans="1:6" ht="13.7" customHeight="1" x14ac:dyDescent="0.2">
      <c r="A5" s="716" t="s">
        <v>925</v>
      </c>
      <c r="B5" s="1772">
        <f>'Revenues 9-14'!D5</f>
        <v>133585</v>
      </c>
      <c r="C5" s="585"/>
      <c r="D5" s="1775">
        <f t="shared" ref="D5:D18" si="0">B5-C5</f>
        <v>133585</v>
      </c>
      <c r="E5" s="585">
        <v>141003</v>
      </c>
      <c r="F5" s="1775">
        <f>E5-C5</f>
        <v>141003</v>
      </c>
    </row>
    <row r="6" spans="1:6" ht="13.7" customHeight="1" x14ac:dyDescent="0.2">
      <c r="A6" s="716" t="s">
        <v>431</v>
      </c>
      <c r="B6" s="1772">
        <f>'Revenues 9-14'!E5</f>
        <v>0</v>
      </c>
      <c r="C6" s="585"/>
      <c r="D6" s="1775">
        <f t="shared" si="0"/>
        <v>0</v>
      </c>
      <c r="E6" s="585">
        <v>68919</v>
      </c>
      <c r="F6" s="1775">
        <f t="shared" ref="F6:F18" si="1">E6-C6</f>
        <v>68919</v>
      </c>
    </row>
    <row r="7" spans="1:6" ht="13.7" customHeight="1" x14ac:dyDescent="0.2">
      <c r="A7" s="716" t="s">
        <v>157</v>
      </c>
      <c r="B7" s="1772">
        <f>'Revenues 9-14'!F5</f>
        <v>42747</v>
      </c>
      <c r="C7" s="585"/>
      <c r="D7" s="1775">
        <f t="shared" si="0"/>
        <v>42747</v>
      </c>
      <c r="E7" s="585">
        <v>35002</v>
      </c>
      <c r="F7" s="1775">
        <f t="shared" si="1"/>
        <v>35002</v>
      </c>
    </row>
    <row r="8" spans="1:6" ht="13.7" customHeight="1" x14ac:dyDescent="0.2">
      <c r="A8" s="716" t="s">
        <v>1241</v>
      </c>
      <c r="B8" s="1772">
        <f>'Revenues 9-14'!G5</f>
        <v>54442</v>
      </c>
      <c r="C8" s="585"/>
      <c r="D8" s="1775">
        <f t="shared" si="0"/>
        <v>54442</v>
      </c>
      <c r="E8" s="585">
        <v>40003</v>
      </c>
      <c r="F8" s="1775">
        <f t="shared" si="1"/>
        <v>40003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17812</v>
      </c>
      <c r="C10" s="585"/>
      <c r="D10" s="1775">
        <f t="shared" si="0"/>
        <v>17812</v>
      </c>
      <c r="E10" s="585">
        <v>18503</v>
      </c>
      <c r="F10" s="1775">
        <f t="shared" si="1"/>
        <v>18503</v>
      </c>
    </row>
    <row r="11" spans="1:6" x14ac:dyDescent="0.2">
      <c r="A11" s="716" t="s">
        <v>429</v>
      </c>
      <c r="B11" s="1772">
        <f>'Revenues 9-14'!J5</f>
        <v>64930</v>
      </c>
      <c r="C11" s="585"/>
      <c r="D11" s="1775">
        <f t="shared" si="0"/>
        <v>64930</v>
      </c>
      <c r="E11" s="585">
        <v>103503</v>
      </c>
      <c r="F11" s="1775">
        <f t="shared" si="1"/>
        <v>103503</v>
      </c>
    </row>
    <row r="12" spans="1:6" ht="13.7" customHeight="1" x14ac:dyDescent="0.2">
      <c r="A12" s="716" t="s">
        <v>159</v>
      </c>
      <c r="B12" s="1772">
        <f>'Revenues 9-14'!K5</f>
        <v>17812</v>
      </c>
      <c r="C12" s="585"/>
      <c r="D12" s="1775">
        <f t="shared" si="0"/>
        <v>17812</v>
      </c>
      <c r="E12" s="585">
        <v>18503</v>
      </c>
      <c r="F12" s="1775">
        <f t="shared" si="1"/>
        <v>18503</v>
      </c>
    </row>
    <row r="13" spans="1:6" ht="13.7" customHeight="1" x14ac:dyDescent="0.2">
      <c r="A13" s="716" t="s">
        <v>993</v>
      </c>
      <c r="B13" s="1772">
        <f>SUM('Revenues 9-14'!C6:D6)</f>
        <v>17812</v>
      </c>
      <c r="C13" s="585"/>
      <c r="D13" s="1775">
        <f t="shared" si="0"/>
        <v>17812</v>
      </c>
      <c r="E13" s="585">
        <v>18503</v>
      </c>
      <c r="F13" s="1775">
        <f t="shared" si="1"/>
        <v>18503</v>
      </c>
    </row>
    <row r="14" spans="1:6" ht="13.7" customHeight="1" x14ac:dyDescent="0.2">
      <c r="A14" s="716" t="s">
        <v>430</v>
      </c>
      <c r="B14" s="1772">
        <f>SUM('Revenues 9-14'!C7:D7,'Revenues 9-14'!F7:H7)</f>
        <v>7124</v>
      </c>
      <c r="C14" s="585"/>
      <c r="D14" s="1775">
        <f t="shared" si="0"/>
        <v>7124</v>
      </c>
      <c r="E14" s="585">
        <v>7503</v>
      </c>
      <c r="F14" s="1775">
        <f t="shared" si="1"/>
        <v>7503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53192</v>
      </c>
      <c r="C16" s="585"/>
      <c r="D16" s="1775">
        <f t="shared" si="0"/>
        <v>53192</v>
      </c>
      <c r="E16" s="585">
        <v>40003</v>
      </c>
      <c r="F16" s="1775">
        <f t="shared" si="1"/>
        <v>40003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1153973</v>
      </c>
      <c r="C19" s="1773">
        <f>SUM(C4:C18)</f>
        <v>0</v>
      </c>
      <c r="D19" s="1773">
        <f>SUM(D4:D18)</f>
        <v>1153973</v>
      </c>
      <c r="E19" s="1773">
        <f>SUM(E4:E18)</f>
        <v>1279066</v>
      </c>
      <c r="F19" s="1773">
        <f>SUM(F4:F18)</f>
        <v>1279066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7" colorId="8" zoomScale="110" zoomScaleNormal="110" workbookViewId="0">
      <selection activeCell="A32" sqref="A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2038</v>
      </c>
      <c r="D2" s="724" t="s">
        <v>2045</v>
      </c>
      <c r="E2" s="724" t="s">
        <v>2046</v>
      </c>
      <c r="F2" s="1909" t="s">
        <v>2039</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42927</v>
      </c>
      <c r="C31" s="735">
        <v>300000</v>
      </c>
      <c r="D31" s="736">
        <v>4</v>
      </c>
      <c r="E31" s="735"/>
      <c r="F31" s="735">
        <v>300000</v>
      </c>
      <c r="G31" s="735"/>
      <c r="H31" s="735"/>
      <c r="I31" s="1778">
        <f>((E31+F31)-H31)+G31</f>
        <v>300000</v>
      </c>
      <c r="J31" s="735">
        <v>300000</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300000</v>
      </c>
      <c r="D49" s="746"/>
      <c r="E49" s="1778">
        <f t="shared" ref="E49:J49" si="2">SUM(E31:E48)</f>
        <v>0</v>
      </c>
      <c r="F49" s="1778">
        <f t="shared" si="2"/>
        <v>300000</v>
      </c>
      <c r="G49" s="1778">
        <f t="shared" si="2"/>
        <v>0</v>
      </c>
      <c r="H49" s="1778">
        <f t="shared" si="2"/>
        <v>0</v>
      </c>
      <c r="I49" s="1778">
        <f t="shared" si="2"/>
        <v>300000</v>
      </c>
      <c r="J49" s="1778">
        <f t="shared" si="2"/>
        <v>300000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view="pageBreakPreview" colorId="8" zoomScale="60" zoomScaleNormal="110" workbookViewId="0">
      <selection activeCell="E42" sqref="E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7124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7124</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7124</v>
      </c>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7124</v>
      </c>
      <c r="I23" s="1780">
        <f>SUM(I14:I16,I21,I22)</f>
        <v>0</v>
      </c>
      <c r="J23" s="1780">
        <f>SUM(J14:J16,J21,J22)</f>
        <v>0</v>
      </c>
      <c r="K23" s="1780">
        <f>SUM(K14:K16,K21,K22)</f>
        <v>0</v>
      </c>
    </row>
    <row r="24" spans="1:11" ht="14.25" thickTop="1" thickBot="1" x14ac:dyDescent="0.25">
      <c r="A24" s="2253" t="s">
        <v>2026</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100</v>
      </c>
      <c r="D5" s="842"/>
      <c r="E5" s="842"/>
      <c r="F5" s="1782">
        <f>(C5+D5)-E5</f>
        <v>100</v>
      </c>
      <c r="G5" s="838"/>
      <c r="H5" s="843"/>
      <c r="I5" s="843"/>
      <c r="J5" s="843"/>
      <c r="K5" s="794"/>
      <c r="L5" s="1791">
        <f>F5-K5</f>
        <v>100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1278485</v>
      </c>
      <c r="D8" s="845">
        <v>67016</v>
      </c>
      <c r="E8" s="845"/>
      <c r="F8" s="1782">
        <f>(C8+D8)-E8</f>
        <v>1345501</v>
      </c>
      <c r="G8" s="844">
        <v>50</v>
      </c>
      <c r="H8" s="766">
        <v>904398</v>
      </c>
      <c r="I8" s="766">
        <v>16075</v>
      </c>
      <c r="J8" s="766"/>
      <c r="K8" s="1791">
        <f>(H8+I8)-J8</f>
        <v>920473</v>
      </c>
      <c r="L8" s="1791">
        <f>F8-K8</f>
        <v>425028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110667</v>
      </c>
      <c r="D10" s="847"/>
      <c r="E10" s="847"/>
      <c r="F10" s="1786">
        <f>(C10+D10)-E10</f>
        <v>110667</v>
      </c>
      <c r="G10" s="844">
        <v>20</v>
      </c>
      <c r="H10" s="848">
        <v>58360</v>
      </c>
      <c r="I10" s="848">
        <v>5480</v>
      </c>
      <c r="J10" s="848"/>
      <c r="K10" s="1791">
        <f>(H10+I10)-J10</f>
        <v>63840</v>
      </c>
      <c r="L10" s="1791">
        <f>F10-K10</f>
        <v>46827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317891</v>
      </c>
      <c r="D12" s="845">
        <v>18500</v>
      </c>
      <c r="E12" s="845"/>
      <c r="F12" s="1782">
        <f>(C12+D12)-E12</f>
        <v>336391</v>
      </c>
      <c r="G12" s="844">
        <v>10</v>
      </c>
      <c r="H12" s="766">
        <v>245664</v>
      </c>
      <c r="I12" s="766">
        <f>513+61+346+899+164+261+54+98+276+70+3983+543+633+970+925+189</f>
        <v>9985</v>
      </c>
      <c r="J12" s="766"/>
      <c r="K12" s="1791">
        <f>(H12+I12)-J12</f>
        <v>255649</v>
      </c>
      <c r="L12" s="1791">
        <f>F12-K12</f>
        <v>80742</v>
      </c>
    </row>
    <row r="13" spans="1:14" ht="14.25" thickTop="1" thickBot="1" x14ac:dyDescent="0.25">
      <c r="A13" s="849" t="s">
        <v>1184</v>
      </c>
      <c r="B13" s="841">
        <v>252</v>
      </c>
      <c r="C13" s="845">
        <v>487968</v>
      </c>
      <c r="D13" s="845">
        <v>12224</v>
      </c>
      <c r="E13" s="845"/>
      <c r="F13" s="1782">
        <f>(C13+D13)-E13</f>
        <v>500192</v>
      </c>
      <c r="G13" s="844">
        <v>5</v>
      </c>
      <c r="H13" s="766">
        <v>459786</v>
      </c>
      <c r="I13" s="766">
        <f>21300-9985+189</f>
        <v>11504</v>
      </c>
      <c r="J13" s="766"/>
      <c r="K13" s="1791">
        <f>(H13+I13)-J13</f>
        <v>471290</v>
      </c>
      <c r="L13" s="1791">
        <f>F13-K13</f>
        <v>28902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2195111</v>
      </c>
      <c r="D16" s="1782">
        <f>SUM(D3,D5:D6,D8:D10,D12:D15)</f>
        <v>97740</v>
      </c>
      <c r="E16" s="1782">
        <f>SUM(E3,E5:E6,E8:E10,E12:E15)</f>
        <v>0</v>
      </c>
      <c r="F16" s="1782">
        <f>SUM(F3,F5:F6,F8:F10,F12:F15)</f>
        <v>2292851</v>
      </c>
      <c r="G16" s="844"/>
      <c r="H16" s="1782">
        <f>SUM(H3,H6,H8:H10,H12:H14,)</f>
        <v>1668208</v>
      </c>
      <c r="I16" s="1782">
        <f>SUM(I3,I6,I8:I10,I12:I14,)</f>
        <v>43044</v>
      </c>
      <c r="J16" s="1782">
        <f>SUM(J3,J6,J8:J10,J12:J14,)</f>
        <v>0</v>
      </c>
      <c r="K16" s="1782">
        <f>(H16+I16)-J16</f>
        <v>1711252</v>
      </c>
      <c r="L16" s="1782">
        <f>F16-K16</f>
        <v>581599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43044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42"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1533900</v>
      </c>
      <c r="G8" s="866"/>
    </row>
    <row r="9" spans="1:7" x14ac:dyDescent="0.2">
      <c r="A9" s="870" t="s">
        <v>480</v>
      </c>
      <c r="B9" s="871" t="s">
        <v>1989</v>
      </c>
      <c r="C9" s="872"/>
      <c r="D9" s="870" t="s">
        <v>522</v>
      </c>
      <c r="E9" s="869"/>
      <c r="F9" s="1935">
        <f>'Expenditures 15-22'!K151</f>
        <v>285039</v>
      </c>
      <c r="G9" s="873"/>
    </row>
    <row r="10" spans="1:7" x14ac:dyDescent="0.2">
      <c r="A10" s="870" t="s">
        <v>520</v>
      </c>
      <c r="B10" s="871" t="s">
        <v>1990</v>
      </c>
      <c r="C10" s="872"/>
      <c r="D10" s="870" t="s">
        <v>522</v>
      </c>
      <c r="E10" s="869"/>
      <c r="F10" s="1935">
        <f>'Expenditures 15-22'!K174</f>
        <v>0</v>
      </c>
      <c r="G10" s="873"/>
    </row>
    <row r="11" spans="1:7" x14ac:dyDescent="0.2">
      <c r="A11" s="870" t="s">
        <v>481</v>
      </c>
      <c r="B11" s="871" t="s">
        <v>1991</v>
      </c>
      <c r="C11" s="872"/>
      <c r="D11" s="870" t="s">
        <v>522</v>
      </c>
      <c r="E11" s="869"/>
      <c r="F11" s="1935">
        <f>'Expenditures 15-22'!K210</f>
        <v>109709</v>
      </c>
      <c r="G11" s="873"/>
    </row>
    <row r="12" spans="1:7" x14ac:dyDescent="0.2">
      <c r="A12" s="870" t="s">
        <v>482</v>
      </c>
      <c r="B12" s="871" t="s">
        <v>1992</v>
      </c>
      <c r="C12" s="872"/>
      <c r="D12" s="870" t="s">
        <v>522</v>
      </c>
      <c r="E12" s="869"/>
      <c r="F12" s="1935">
        <f>'Expenditures 15-22'!K295</f>
        <v>63840</v>
      </c>
      <c r="G12" s="873"/>
    </row>
    <row r="13" spans="1:7" x14ac:dyDescent="0.2">
      <c r="A13" s="870" t="s">
        <v>108</v>
      </c>
      <c r="B13" s="871" t="s">
        <v>1993</v>
      </c>
      <c r="C13" s="872"/>
      <c r="D13" s="870" t="s">
        <v>522</v>
      </c>
      <c r="E13" s="869"/>
      <c r="F13" s="1935">
        <f>'Expenditures 15-22'!K342</f>
        <v>73674</v>
      </c>
      <c r="G13" s="874"/>
    </row>
    <row r="14" spans="1:7" ht="12" customHeight="1" thickBot="1" x14ac:dyDescent="0.25">
      <c r="A14" s="1792"/>
      <c r="B14" s="1793"/>
      <c r="C14" s="1794"/>
      <c r="D14" s="1795" t="s">
        <v>522</v>
      </c>
      <c r="E14" s="1796" t="s">
        <v>1015</v>
      </c>
      <c r="F14" s="1797">
        <f>SUM(F8:F13)</f>
        <v>2066162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110919</v>
      </c>
      <c r="G53" s="866"/>
    </row>
    <row r="54" spans="1:7" x14ac:dyDescent="0.2">
      <c r="A54" s="870" t="s">
        <v>479</v>
      </c>
      <c r="B54" s="870" t="s">
        <v>1552</v>
      </c>
      <c r="C54" s="890" t="s">
        <v>1039</v>
      </c>
      <c r="D54" s="886" t="s">
        <v>1157</v>
      </c>
      <c r="E54" s="869"/>
      <c r="F54" s="1939">
        <f>'Expenditures 15-22'!G114</f>
        <v>12224</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18500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141643</v>
      </c>
      <c r="G76" s="866"/>
    </row>
    <row r="77" spans="1:8" s="894" customFormat="1" ht="12" customHeight="1" thickTop="1" thickBot="1" x14ac:dyDescent="0.25">
      <c r="A77" s="1801"/>
      <c r="B77" s="1798"/>
      <c r="C77" s="1794"/>
      <c r="D77" s="1799" t="s">
        <v>2012</v>
      </c>
      <c r="E77" s="1796"/>
      <c r="F77" s="1802">
        <f>(F14-F76)</f>
        <v>1924519</v>
      </c>
      <c r="G77" s="870"/>
    </row>
    <row r="78" spans="1:8" s="894" customFormat="1" ht="12" customHeight="1" thickTop="1" x14ac:dyDescent="0.2">
      <c r="A78" s="1803"/>
      <c r="B78" s="1798"/>
      <c r="C78" s="1794"/>
      <c r="D78" s="1799" t="s">
        <v>2059</v>
      </c>
      <c r="E78" s="1796"/>
      <c r="F78" s="899">
        <v>151.43</v>
      </c>
      <c r="G78" s="900"/>
      <c r="H78" s="870"/>
    </row>
    <row r="79" spans="1:8" s="894" customFormat="1" ht="12" customHeight="1" thickBot="1" x14ac:dyDescent="0.25">
      <c r="A79" s="1804"/>
      <c r="B79" s="1798"/>
      <c r="C79" s="1794"/>
      <c r="D79" s="1799" t="s">
        <v>2013</v>
      </c>
      <c r="E79" s="1796" t="s">
        <v>1015</v>
      </c>
      <c r="F79" s="1805">
        <f>IF(F78&gt;0,F77/F78," Complete Line 78")</f>
        <v>12708.967839926037</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35827</v>
      </c>
      <c r="G94" s="913"/>
    </row>
    <row r="95" spans="1:7" x14ac:dyDescent="0.2">
      <c r="A95" s="909" t="s">
        <v>142</v>
      </c>
      <c r="B95" s="909" t="s">
        <v>177</v>
      </c>
      <c r="C95" s="911">
        <v>1700</v>
      </c>
      <c r="D95" s="919" t="str">
        <f>'Revenues 9-14'!A82</f>
        <v>Total District/School Activity Income</v>
      </c>
      <c r="E95" s="907"/>
      <c r="F95" s="1811">
        <f>SUM('Revenues 9-14'!C82,'Revenues 9-14'!D82)</f>
        <v>6676</v>
      </c>
      <c r="G95" s="913"/>
    </row>
    <row r="96" spans="1:7" x14ac:dyDescent="0.2">
      <c r="A96" s="909" t="s">
        <v>479</v>
      </c>
      <c r="B96" s="909" t="s">
        <v>178</v>
      </c>
      <c r="C96" s="911">
        <f>'Revenues 9-14'!B84</f>
        <v>1811</v>
      </c>
      <c r="D96" s="912" t="str">
        <f>'Revenues 9-14'!A84</f>
        <v>Rentals - Regular Textbooks</v>
      </c>
      <c r="E96" s="907"/>
      <c r="F96" s="1811">
        <f>'Revenues 9-14'!C84</f>
        <v>12608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18632</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46232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641</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64885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40983</v>
      </c>
      <c r="G129" s="931"/>
    </row>
    <row r="130" spans="1:7" x14ac:dyDescent="0.2">
      <c r="A130" s="928" t="s">
        <v>689</v>
      </c>
      <c r="B130" s="928" t="s">
        <v>804</v>
      </c>
      <c r="C130" s="933">
        <v>4300</v>
      </c>
      <c r="D130" s="934" t="str">
        <f>'Revenues 9-14'!A211</f>
        <v>Total Title I</v>
      </c>
      <c r="E130" s="907"/>
      <c r="F130" s="1811">
        <f>SUM('Revenues 9-14'!C211,'Revenues 9-14'!D211,'Revenues 9-14'!F211,'Revenues 9-14'!G211)</f>
        <v>11505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93709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7057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5749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1030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355534</v>
      </c>
    </row>
    <row r="179" spans="1:7" ht="12" customHeight="1" x14ac:dyDescent="0.2">
      <c r="A179" s="1792"/>
      <c r="B179" s="1806"/>
      <c r="C179" s="1807"/>
      <c r="D179" s="1808" t="s">
        <v>2015</v>
      </c>
      <c r="E179" s="1809"/>
      <c r="F179" s="1811">
        <f>'PCTC-OEPP 27-28'!F77-F178</f>
        <v>1568985</v>
      </c>
    </row>
    <row r="180" spans="1:7" ht="12" customHeight="1" x14ac:dyDescent="0.2">
      <c r="A180" s="1792"/>
      <c r="B180" s="1806"/>
      <c r="C180" s="1807"/>
      <c r="D180" s="1808" t="s">
        <v>1924</v>
      </c>
      <c r="E180" s="1809"/>
      <c r="F180" s="1811">
        <f>'Cap Outlay Deprec 26'!I18</f>
        <v>43044</v>
      </c>
    </row>
    <row r="181" spans="1:7" ht="12" customHeight="1" x14ac:dyDescent="0.2">
      <c r="A181" s="1792"/>
      <c r="B181" s="1806"/>
      <c r="C181" s="1807"/>
      <c r="D181" s="1808" t="s">
        <v>2016</v>
      </c>
      <c r="E181" s="1809"/>
      <c r="F181" s="1811">
        <f>F179+F180</f>
        <v>1612029</v>
      </c>
    </row>
    <row r="182" spans="1:7" ht="12" customHeight="1" x14ac:dyDescent="0.2">
      <c r="A182" s="1792"/>
      <c r="B182" s="1812"/>
      <c r="C182" s="1807"/>
      <c r="D182" s="1808" t="str">
        <f>D78</f>
        <v>9 Month ADA from District Average Daily Attendance/Prior General State Aid Inquiry 2017-2018</v>
      </c>
      <c r="E182" s="1809"/>
      <c r="F182" s="1813">
        <f>'PCTC-OEPP 27-28'!F78</f>
        <v>151.43</v>
      </c>
      <c r="G182" s="931"/>
    </row>
    <row r="183" spans="1:7" ht="12" customHeight="1" thickBot="1" x14ac:dyDescent="0.25">
      <c r="A183" s="1792"/>
      <c r="B183" s="1812"/>
      <c r="C183" s="1807"/>
      <c r="D183" s="1808" t="s">
        <v>2017</v>
      </c>
      <c r="E183" s="1809" t="s">
        <v>1626</v>
      </c>
      <c r="F183" s="1814">
        <f>F181/F182</f>
        <v>10645.374100244337</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12" sqref="A12"/>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2099</v>
      </c>
      <c r="B17" s="1955" t="s">
        <v>2100</v>
      </c>
      <c r="C17" s="1956" t="s">
        <v>2101</v>
      </c>
      <c r="D17" s="1867">
        <v>1097</v>
      </c>
      <c r="E17" s="1562">
        <f t="shared" ref="E17:E141" si="1">IF(D17&lt;=25000,D17,IF(D17&gt;25000,25000,0))</f>
        <v>1097</v>
      </c>
      <c r="F17" s="1815">
        <f t="shared" si="0"/>
        <v>1097</v>
      </c>
      <c r="G17" s="1816">
        <f>IF(F17=0,0,D17-F17)</f>
        <v>0</v>
      </c>
      <c r="H17" s="1669"/>
    </row>
    <row r="18" spans="1:8" x14ac:dyDescent="0.25">
      <c r="A18" s="1954" t="s">
        <v>2099</v>
      </c>
      <c r="B18" s="1955" t="s">
        <v>2100</v>
      </c>
      <c r="C18" s="1956" t="s">
        <v>2102</v>
      </c>
      <c r="D18" s="1867">
        <v>2740</v>
      </c>
      <c r="E18" s="1562">
        <f t="shared" ref="E18:E140" si="2">IF(D18&lt;=25000,D18,IF(D18&gt;25000,25000,0))</f>
        <v>2740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2740</v>
      </c>
      <c r="G18" s="1816">
        <f t="shared" ref="G18:G140" si="4">IF(F18=0,0,D18-F18)</f>
        <v>0</v>
      </c>
    </row>
    <row r="19" spans="1:8" x14ac:dyDescent="0.25">
      <c r="A19" s="1954" t="s">
        <v>2099</v>
      </c>
      <c r="B19" s="1955" t="s">
        <v>2100</v>
      </c>
      <c r="C19" s="1956" t="s">
        <v>2103</v>
      </c>
      <c r="D19" s="1867">
        <v>7145</v>
      </c>
      <c r="E19" s="1562">
        <f t="shared" si="2"/>
        <v>7145</v>
      </c>
      <c r="F19" s="1815">
        <f t="shared" si="3"/>
        <v>7145</v>
      </c>
      <c r="G19" s="1816">
        <f t="shared" si="4"/>
        <v>0</v>
      </c>
    </row>
    <row r="20" spans="1:8" x14ac:dyDescent="0.25">
      <c r="A20" s="1954" t="s">
        <v>2099</v>
      </c>
      <c r="B20" s="1955" t="s">
        <v>2100</v>
      </c>
      <c r="C20" s="1956" t="s">
        <v>2104</v>
      </c>
      <c r="D20" s="1867">
        <v>1595</v>
      </c>
      <c r="E20" s="1562">
        <f t="shared" si="2"/>
        <v>1595</v>
      </c>
      <c r="F20" s="1815">
        <f t="shared" si="3"/>
        <v>1595</v>
      </c>
      <c r="G20" s="1816">
        <f t="shared" si="4"/>
        <v>0</v>
      </c>
    </row>
    <row r="21" spans="1:8" x14ac:dyDescent="0.25">
      <c r="A21" s="1954" t="s">
        <v>2099</v>
      </c>
      <c r="B21" s="1955" t="s">
        <v>2100</v>
      </c>
      <c r="C21" s="1956" t="s">
        <v>2105</v>
      </c>
      <c r="D21" s="1867">
        <v>1104</v>
      </c>
      <c r="E21" s="1562">
        <f t="shared" si="2"/>
        <v>1104</v>
      </c>
      <c r="F21" s="1815">
        <f t="shared" si="3"/>
        <v>1104</v>
      </c>
      <c r="G21" s="1816">
        <f t="shared" si="4"/>
        <v>0</v>
      </c>
    </row>
    <row r="22" spans="1:8" x14ac:dyDescent="0.25">
      <c r="A22" s="1954" t="s">
        <v>2099</v>
      </c>
      <c r="B22" s="1955" t="s">
        <v>2100</v>
      </c>
      <c r="C22" s="1956" t="s">
        <v>2106</v>
      </c>
      <c r="D22" s="1867">
        <f>4620+1931+735</f>
        <v>7286</v>
      </c>
      <c r="E22" s="1562">
        <f t="shared" si="2"/>
        <v>7286</v>
      </c>
      <c r="F22" s="1815">
        <f t="shared" si="3"/>
        <v>7286</v>
      </c>
      <c r="G22" s="1816">
        <f t="shared" si="4"/>
        <v>0</v>
      </c>
    </row>
    <row r="23" spans="1:8" x14ac:dyDescent="0.25">
      <c r="A23" s="1954" t="s">
        <v>2099</v>
      </c>
      <c r="B23" s="1955" t="s">
        <v>2100</v>
      </c>
      <c r="C23" s="1956" t="s">
        <v>2107</v>
      </c>
      <c r="D23" s="1867">
        <v>1784</v>
      </c>
      <c r="E23" s="1562">
        <f t="shared" si="2"/>
        <v>1784</v>
      </c>
      <c r="F23" s="1815">
        <f t="shared" si="3"/>
        <v>1784</v>
      </c>
      <c r="G23" s="1816">
        <f t="shared" si="4"/>
        <v>0</v>
      </c>
    </row>
    <row r="24" spans="1:8" x14ac:dyDescent="0.25">
      <c r="A24" s="1675"/>
      <c r="B24" s="1869"/>
      <c r="C24" s="1678"/>
      <c r="D24" s="1867"/>
      <c r="E24" s="1562">
        <f t="shared" si="2"/>
        <v>0</v>
      </c>
      <c r="F24" s="1815">
        <f t="shared" si="3"/>
        <v>0</v>
      </c>
      <c r="G24" s="1816">
        <f t="shared" si="4"/>
        <v>0</v>
      </c>
    </row>
    <row r="25" spans="1:8" hidden="1" x14ac:dyDescent="0.25">
      <c r="A25" s="1675"/>
      <c r="B25" s="1868"/>
      <c r="C25" s="1678"/>
      <c r="D25" s="1867"/>
      <c r="E25" s="1562">
        <f t="shared" si="2"/>
        <v>0</v>
      </c>
      <c r="F25" s="1815">
        <f t="shared" si="3"/>
        <v>0</v>
      </c>
      <c r="G25" s="1816">
        <f t="shared" si="4"/>
        <v>0</v>
      </c>
    </row>
    <row r="26" spans="1:8" hidden="1" x14ac:dyDescent="0.25">
      <c r="A26" s="1675"/>
      <c r="B26" s="1869"/>
      <c r="C26" s="1676"/>
      <c r="D26" s="1867"/>
      <c r="E26" s="1562">
        <f t="shared" si="2"/>
        <v>0</v>
      </c>
      <c r="F26" s="1815">
        <f t="shared" si="3"/>
        <v>0</v>
      </c>
      <c r="G26" s="1816">
        <f t="shared" si="4"/>
        <v>0</v>
      </c>
    </row>
    <row r="27" spans="1:8" hidden="1" x14ac:dyDescent="0.25">
      <c r="A27" s="1675"/>
      <c r="B27" s="1869"/>
      <c r="C27" s="1676"/>
      <c r="D27" s="1867"/>
      <c r="E27" s="1562">
        <f t="shared" si="2"/>
        <v>0</v>
      </c>
      <c r="F27" s="1815">
        <f t="shared" si="3"/>
        <v>0</v>
      </c>
      <c r="G27" s="1816">
        <f t="shared" si="4"/>
        <v>0</v>
      </c>
    </row>
    <row r="28" spans="1:8" hidden="1" x14ac:dyDescent="0.25">
      <c r="A28" s="1675"/>
      <c r="B28" s="1869"/>
      <c r="C28" s="1676"/>
      <c r="D28" s="1867"/>
      <c r="E28" s="1562">
        <f t="shared" si="2"/>
        <v>0</v>
      </c>
      <c r="F28" s="1815">
        <f t="shared" si="3"/>
        <v>0</v>
      </c>
      <c r="G28" s="1816">
        <f t="shared" si="4"/>
        <v>0</v>
      </c>
    </row>
    <row r="29" spans="1:8" hidden="1" x14ac:dyDescent="0.25">
      <c r="A29" s="1675"/>
      <c r="B29" s="1869"/>
      <c r="C29" s="1676"/>
      <c r="D29" s="1867"/>
      <c r="E29" s="1562">
        <f t="shared" si="2"/>
        <v>0</v>
      </c>
      <c r="F29" s="1815">
        <f t="shared" si="3"/>
        <v>0</v>
      </c>
      <c r="G29" s="1816">
        <f t="shared" si="4"/>
        <v>0</v>
      </c>
    </row>
    <row r="30" spans="1:8" hidden="1" x14ac:dyDescent="0.25">
      <c r="A30" s="1675"/>
      <c r="B30" s="1869"/>
      <c r="C30" s="1676"/>
      <c r="D30" s="1867"/>
      <c r="E30" s="1562">
        <f t="shared" si="2"/>
        <v>0</v>
      </c>
      <c r="F30" s="1815">
        <f t="shared" si="3"/>
        <v>0</v>
      </c>
      <c r="G30" s="1816">
        <f t="shared" si="4"/>
        <v>0</v>
      </c>
    </row>
    <row r="31" spans="1:8" hidden="1" x14ac:dyDescent="0.25">
      <c r="A31" s="1675"/>
      <c r="B31" s="1869"/>
      <c r="C31" s="1676"/>
      <c r="D31" s="1867"/>
      <c r="E31" s="1562">
        <f t="shared" si="2"/>
        <v>0</v>
      </c>
      <c r="F31" s="1815">
        <f t="shared" si="3"/>
        <v>0</v>
      </c>
      <c r="G31" s="1816">
        <f t="shared" si="4"/>
        <v>0</v>
      </c>
    </row>
    <row r="32" spans="1:8" hidden="1" x14ac:dyDescent="0.25">
      <c r="A32" s="1675"/>
      <c r="B32" s="1869"/>
      <c r="C32" s="1676"/>
      <c r="D32" s="1867"/>
      <c r="E32" s="1562">
        <f t="shared" si="2"/>
        <v>0</v>
      </c>
      <c r="F32" s="1815">
        <f t="shared" si="3"/>
        <v>0</v>
      </c>
      <c r="G32" s="1816">
        <f t="shared" si="4"/>
        <v>0</v>
      </c>
    </row>
    <row r="33" spans="1:7" hidden="1" x14ac:dyDescent="0.25">
      <c r="A33" s="1675"/>
      <c r="B33" s="1869"/>
      <c r="C33" s="1676"/>
      <c r="D33" s="1867"/>
      <c r="E33" s="1562">
        <f t="shared" si="2"/>
        <v>0</v>
      </c>
      <c r="F33" s="1815">
        <f t="shared" si="3"/>
        <v>0</v>
      </c>
      <c r="G33" s="1816">
        <f t="shared" si="4"/>
        <v>0</v>
      </c>
    </row>
    <row r="34" spans="1:7" hidden="1" x14ac:dyDescent="0.25">
      <c r="A34" s="1675"/>
      <c r="B34" s="1869"/>
      <c r="C34" s="1676"/>
      <c r="D34" s="1867"/>
      <c r="E34" s="1562">
        <f t="shared" si="2"/>
        <v>0</v>
      </c>
      <c r="F34" s="1815">
        <f t="shared" si="3"/>
        <v>0</v>
      </c>
      <c r="G34" s="1816">
        <f t="shared" si="4"/>
        <v>0</v>
      </c>
    </row>
    <row r="35" spans="1:7" hidden="1" x14ac:dyDescent="0.25">
      <c r="A35" s="1675"/>
      <c r="B35" s="1869"/>
      <c r="C35" s="1676"/>
      <c r="D35" s="1867"/>
      <c r="E35" s="1562">
        <f t="shared" si="2"/>
        <v>0</v>
      </c>
      <c r="F35" s="1815">
        <f t="shared" si="3"/>
        <v>0</v>
      </c>
      <c r="G35" s="1816">
        <f t="shared" si="4"/>
        <v>0</v>
      </c>
    </row>
    <row r="36" spans="1:7" hidden="1" x14ac:dyDescent="0.25">
      <c r="A36" s="1675"/>
      <c r="B36" s="1869"/>
      <c r="C36" s="1676"/>
      <c r="D36" s="1867"/>
      <c r="E36" s="1562">
        <f t="shared" si="2"/>
        <v>0</v>
      </c>
      <c r="F36" s="1815">
        <f t="shared" si="3"/>
        <v>0</v>
      </c>
      <c r="G36" s="1816">
        <f t="shared" si="4"/>
        <v>0</v>
      </c>
    </row>
    <row r="37" spans="1:7" hidden="1" x14ac:dyDescent="0.25">
      <c r="A37" s="1675"/>
      <c r="B37" s="1869"/>
      <c r="C37" s="1676"/>
      <c r="D37" s="1867"/>
      <c r="E37" s="1562">
        <f t="shared" si="2"/>
        <v>0</v>
      </c>
      <c r="F37" s="1815">
        <f t="shared" si="3"/>
        <v>0</v>
      </c>
      <c r="G37" s="1816">
        <f t="shared" si="4"/>
        <v>0</v>
      </c>
    </row>
    <row r="38" spans="1:7" hidden="1" x14ac:dyDescent="0.25">
      <c r="A38" s="1675"/>
      <c r="B38" s="1689"/>
      <c r="C38" s="1676"/>
      <c r="D38" s="1867"/>
      <c r="E38" s="1562">
        <f t="shared" si="2"/>
        <v>0</v>
      </c>
      <c r="F38" s="1815">
        <f t="shared" si="3"/>
        <v>0</v>
      </c>
      <c r="G38" s="1816">
        <f t="shared" si="4"/>
        <v>0</v>
      </c>
    </row>
    <row r="39" spans="1:7" hidden="1" x14ac:dyDescent="0.25">
      <c r="A39" s="1675"/>
      <c r="B39" s="1689"/>
      <c r="C39" s="1676"/>
      <c r="D39" s="1867"/>
      <c r="E39" s="1562">
        <f t="shared" si="2"/>
        <v>0</v>
      </c>
      <c r="F39" s="1815">
        <f t="shared" si="3"/>
        <v>0</v>
      </c>
      <c r="G39" s="1816">
        <f t="shared" si="4"/>
        <v>0</v>
      </c>
    </row>
    <row r="40" spans="1:7" hidden="1" x14ac:dyDescent="0.25">
      <c r="A40" s="1675"/>
      <c r="B40" s="1689"/>
      <c r="C40" s="1676"/>
      <c r="D40" s="1867"/>
      <c r="E40" s="1562">
        <f t="shared" si="2"/>
        <v>0</v>
      </c>
      <c r="F40" s="1815">
        <f t="shared" si="3"/>
        <v>0</v>
      </c>
      <c r="G40" s="1816">
        <f t="shared" si="4"/>
        <v>0</v>
      </c>
    </row>
    <row r="41" spans="1:7" hidden="1" x14ac:dyDescent="0.25">
      <c r="A41" s="1675"/>
      <c r="B41" s="1689"/>
      <c r="C41" s="1676"/>
      <c r="D41" s="1867"/>
      <c r="E41" s="1562">
        <f t="shared" si="2"/>
        <v>0</v>
      </c>
      <c r="F41" s="1815">
        <f t="shared" si="3"/>
        <v>0</v>
      </c>
      <c r="G41" s="1816">
        <f t="shared" si="4"/>
        <v>0</v>
      </c>
    </row>
    <row r="42" spans="1:7" hidden="1" x14ac:dyDescent="0.25">
      <c r="A42" s="1675"/>
      <c r="B42" s="1689"/>
      <c r="C42" s="1676"/>
      <c r="D42" s="1867"/>
      <c r="E42" s="1562">
        <f t="shared" si="2"/>
        <v>0</v>
      </c>
      <c r="F42" s="1815">
        <f t="shared" si="3"/>
        <v>0</v>
      </c>
      <c r="G42" s="1816">
        <f t="shared" si="4"/>
        <v>0</v>
      </c>
    </row>
    <row r="43" spans="1:7" hidden="1" x14ac:dyDescent="0.25">
      <c r="A43" s="1675"/>
      <c r="B43" s="1689"/>
      <c r="C43" s="1676"/>
      <c r="D43" s="1867"/>
      <c r="E43" s="1562">
        <f t="shared" si="2"/>
        <v>0</v>
      </c>
      <c r="F43" s="1815">
        <f t="shared" si="3"/>
        <v>0</v>
      </c>
      <c r="G43" s="1816">
        <f t="shared" si="4"/>
        <v>0</v>
      </c>
    </row>
    <row r="44" spans="1:7" hidden="1" x14ac:dyDescent="0.25">
      <c r="A44" s="1675"/>
      <c r="B44" s="1689"/>
      <c r="C44" s="1676"/>
      <c r="D44" s="1867"/>
      <c r="E44" s="1562">
        <f t="shared" si="2"/>
        <v>0</v>
      </c>
      <c r="F44" s="1815">
        <f t="shared" si="3"/>
        <v>0</v>
      </c>
      <c r="G44" s="1816">
        <f t="shared" si="4"/>
        <v>0</v>
      </c>
    </row>
    <row r="45" spans="1:7" hidden="1" x14ac:dyDescent="0.25">
      <c r="A45" s="1675"/>
      <c r="B45" s="1689"/>
      <c r="C45" s="1676"/>
      <c r="D45" s="1867"/>
      <c r="E45" s="1562">
        <f t="shared" si="2"/>
        <v>0</v>
      </c>
      <c r="F45" s="1815">
        <f t="shared" si="3"/>
        <v>0</v>
      </c>
      <c r="G45" s="1816">
        <f t="shared" si="4"/>
        <v>0</v>
      </c>
    </row>
    <row r="46" spans="1:7" hidden="1" x14ac:dyDescent="0.25">
      <c r="A46" s="1675"/>
      <c r="B46" s="1689"/>
      <c r="C46" s="1676"/>
      <c r="D46" s="1867"/>
      <c r="E46" s="1562">
        <f t="shared" si="2"/>
        <v>0</v>
      </c>
      <c r="F46" s="1815">
        <f t="shared" si="3"/>
        <v>0</v>
      </c>
      <c r="G46" s="1816">
        <f t="shared" si="4"/>
        <v>0</v>
      </c>
    </row>
    <row r="47" spans="1:7" hidden="1" x14ac:dyDescent="0.25">
      <c r="A47" s="1675"/>
      <c r="B47" s="1689"/>
      <c r="C47" s="1676"/>
      <c r="D47" s="1867"/>
      <c r="E47" s="1562">
        <f t="shared" si="2"/>
        <v>0</v>
      </c>
      <c r="F47" s="1815">
        <f t="shared" si="3"/>
        <v>0</v>
      </c>
      <c r="G47" s="1816">
        <f t="shared" si="4"/>
        <v>0</v>
      </c>
    </row>
    <row r="48" spans="1:7" hidden="1" x14ac:dyDescent="0.25">
      <c r="A48" s="1675"/>
      <c r="B48" s="1689"/>
      <c r="C48" s="1676"/>
      <c r="D48" s="1867"/>
      <c r="E48" s="1562">
        <f t="shared" si="2"/>
        <v>0</v>
      </c>
      <c r="F48" s="1815">
        <f t="shared" si="3"/>
        <v>0</v>
      </c>
      <c r="G48" s="1816">
        <f t="shared" si="4"/>
        <v>0</v>
      </c>
    </row>
    <row r="49" spans="1:7" hidden="1" x14ac:dyDescent="0.25">
      <c r="A49" s="1675"/>
      <c r="B49" s="1689"/>
      <c r="C49" s="1676"/>
      <c r="D49" s="1867"/>
      <c r="E49" s="1562">
        <f t="shared" si="2"/>
        <v>0</v>
      </c>
      <c r="F49" s="1815">
        <f t="shared" si="3"/>
        <v>0</v>
      </c>
      <c r="G49" s="1816">
        <f t="shared" si="4"/>
        <v>0</v>
      </c>
    </row>
    <row r="50" spans="1:7" hidden="1" x14ac:dyDescent="0.25">
      <c r="A50" s="1675"/>
      <c r="B50" s="1689"/>
      <c r="C50" s="1676"/>
      <c r="D50" s="1867"/>
      <c r="E50" s="1562">
        <f t="shared" si="2"/>
        <v>0</v>
      </c>
      <c r="F50" s="1815">
        <f t="shared" si="3"/>
        <v>0</v>
      </c>
      <c r="G50" s="1816">
        <f t="shared" si="4"/>
        <v>0</v>
      </c>
    </row>
    <row r="51" spans="1:7" hidden="1" x14ac:dyDescent="0.25">
      <c r="A51" s="1675"/>
      <c r="B51" s="1689"/>
      <c r="C51" s="1676"/>
      <c r="D51" s="1867"/>
      <c r="E51" s="1562">
        <f t="shared" si="2"/>
        <v>0</v>
      </c>
      <c r="F51" s="1815">
        <f t="shared" si="3"/>
        <v>0</v>
      </c>
      <c r="G51" s="1816">
        <f t="shared" si="4"/>
        <v>0</v>
      </c>
    </row>
    <row r="52" spans="1:7" hidden="1" x14ac:dyDescent="0.25">
      <c r="A52" s="1675"/>
      <c r="B52" s="1689"/>
      <c r="C52" s="1676"/>
      <c r="D52" s="1867"/>
      <c r="E52" s="1562">
        <f t="shared" si="2"/>
        <v>0</v>
      </c>
      <c r="F52" s="1815">
        <f t="shared" si="3"/>
        <v>0</v>
      </c>
      <c r="G52" s="1816">
        <f t="shared" si="4"/>
        <v>0</v>
      </c>
    </row>
    <row r="53" spans="1:7" hidden="1" x14ac:dyDescent="0.25">
      <c r="A53" s="1675"/>
      <c r="B53" s="1689"/>
      <c r="C53" s="1676"/>
      <c r="D53" s="1867"/>
      <c r="E53" s="1562">
        <f t="shared" si="2"/>
        <v>0</v>
      </c>
      <c r="F53" s="1815">
        <f t="shared" si="3"/>
        <v>0</v>
      </c>
      <c r="G53" s="1816">
        <f t="shared" si="4"/>
        <v>0</v>
      </c>
    </row>
    <row r="54" spans="1:7" hidden="1" x14ac:dyDescent="0.25">
      <c r="A54" s="1675"/>
      <c r="B54" s="1689"/>
      <c r="C54" s="1676"/>
      <c r="D54" s="1867"/>
      <c r="E54" s="1562">
        <f t="shared" si="2"/>
        <v>0</v>
      </c>
      <c r="F54" s="1815">
        <f t="shared" si="3"/>
        <v>0</v>
      </c>
      <c r="G54" s="1816">
        <f t="shared" si="4"/>
        <v>0</v>
      </c>
    </row>
    <row r="55" spans="1:7" hidden="1" x14ac:dyDescent="0.25">
      <c r="A55" s="1675"/>
      <c r="B55" s="1689"/>
      <c r="C55" s="1676"/>
      <c r="D55" s="1867"/>
      <c r="E55" s="1562">
        <f t="shared" si="2"/>
        <v>0</v>
      </c>
      <c r="F55" s="1815">
        <f t="shared" si="3"/>
        <v>0</v>
      </c>
      <c r="G55" s="1816">
        <f t="shared" si="4"/>
        <v>0</v>
      </c>
    </row>
    <row r="56" spans="1:7" hidden="1" x14ac:dyDescent="0.25">
      <c r="A56" s="1675"/>
      <c r="B56" s="1689"/>
      <c r="C56" s="1676"/>
      <c r="D56" s="1867"/>
      <c r="E56" s="1562">
        <f t="shared" si="2"/>
        <v>0</v>
      </c>
      <c r="F56" s="1815">
        <f t="shared" si="3"/>
        <v>0</v>
      </c>
      <c r="G56" s="1816">
        <f t="shared" si="4"/>
        <v>0</v>
      </c>
    </row>
    <row r="57" spans="1:7" hidden="1" x14ac:dyDescent="0.25">
      <c r="A57" s="1675"/>
      <c r="B57" s="1689"/>
      <c r="C57" s="1676"/>
      <c r="D57" s="1867"/>
      <c r="E57" s="1562">
        <f t="shared" si="2"/>
        <v>0</v>
      </c>
      <c r="F57" s="1815">
        <f t="shared" si="3"/>
        <v>0</v>
      </c>
      <c r="G57" s="1816">
        <f t="shared" si="4"/>
        <v>0</v>
      </c>
    </row>
    <row r="58" spans="1:7" hidden="1" x14ac:dyDescent="0.25">
      <c r="A58" s="1675"/>
      <c r="B58" s="1689"/>
      <c r="C58" s="1676"/>
      <c r="D58" s="1867"/>
      <c r="E58" s="1562">
        <f t="shared" si="2"/>
        <v>0</v>
      </c>
      <c r="F58" s="1815">
        <f t="shared" si="3"/>
        <v>0</v>
      </c>
      <c r="G58" s="1816">
        <f t="shared" si="4"/>
        <v>0</v>
      </c>
    </row>
    <row r="59" spans="1:7" hidden="1" x14ac:dyDescent="0.25">
      <c r="A59" s="1675"/>
      <c r="B59" s="1689"/>
      <c r="C59" s="1676"/>
      <c r="D59" s="1867"/>
      <c r="E59" s="1562">
        <f t="shared" si="2"/>
        <v>0</v>
      </c>
      <c r="F59" s="1815">
        <f t="shared" si="3"/>
        <v>0</v>
      </c>
      <c r="G59" s="1816">
        <f t="shared" si="4"/>
        <v>0</v>
      </c>
    </row>
    <row r="60" spans="1:7" hidden="1" x14ac:dyDescent="0.25">
      <c r="A60" s="1675"/>
      <c r="B60" s="1689"/>
      <c r="C60" s="1676"/>
      <c r="D60" s="1867"/>
      <c r="E60" s="1562">
        <f t="shared" si="2"/>
        <v>0</v>
      </c>
      <c r="F60" s="1815">
        <f t="shared" si="3"/>
        <v>0</v>
      </c>
      <c r="G60" s="1816">
        <f t="shared" si="4"/>
        <v>0</v>
      </c>
    </row>
    <row r="61" spans="1:7" hidden="1" x14ac:dyDescent="0.25">
      <c r="A61" s="1675"/>
      <c r="B61" s="1689"/>
      <c r="C61" s="1676"/>
      <c r="D61" s="1867"/>
      <c r="E61" s="1562">
        <f t="shared" si="2"/>
        <v>0</v>
      </c>
      <c r="F61" s="1815">
        <f t="shared" si="3"/>
        <v>0</v>
      </c>
      <c r="G61" s="1816">
        <f t="shared" si="4"/>
        <v>0</v>
      </c>
    </row>
    <row r="62" spans="1:7" hidden="1" x14ac:dyDescent="0.25">
      <c r="A62" s="1675"/>
      <c r="B62" s="1689"/>
      <c r="C62" s="1676"/>
      <c r="D62" s="1867"/>
      <c r="E62" s="1562">
        <f t="shared" si="2"/>
        <v>0</v>
      </c>
      <c r="F62" s="1815">
        <f t="shared" si="3"/>
        <v>0</v>
      </c>
      <c r="G62" s="1816">
        <f t="shared" si="4"/>
        <v>0</v>
      </c>
    </row>
    <row r="63" spans="1:7" hidden="1" x14ac:dyDescent="0.25">
      <c r="A63" s="1675"/>
      <c r="B63" s="1689"/>
      <c r="C63" s="1676"/>
      <c r="D63" s="1867"/>
      <c r="E63" s="1562">
        <f t="shared" si="2"/>
        <v>0</v>
      </c>
      <c r="F63" s="1815">
        <f t="shared" si="3"/>
        <v>0</v>
      </c>
      <c r="G63" s="1816">
        <f t="shared" si="4"/>
        <v>0</v>
      </c>
    </row>
    <row r="64" spans="1:7" hidden="1" x14ac:dyDescent="0.25">
      <c r="A64" s="1677"/>
      <c r="B64" s="1689"/>
      <c r="C64" s="1678"/>
      <c r="D64" s="1867"/>
      <c r="E64" s="1562">
        <f t="shared" si="2"/>
        <v>0</v>
      </c>
      <c r="F64" s="1815">
        <f t="shared" si="3"/>
        <v>0</v>
      </c>
      <c r="G64" s="1816">
        <f t="shared" si="4"/>
        <v>0</v>
      </c>
    </row>
    <row r="65" spans="1:7" hidden="1" x14ac:dyDescent="0.25">
      <c r="A65" s="1675"/>
      <c r="B65" s="1689"/>
      <c r="C65" s="1676"/>
      <c r="D65" s="1867"/>
      <c r="E65" s="1562">
        <f t="shared" si="2"/>
        <v>0</v>
      </c>
      <c r="F65" s="1815">
        <f t="shared" si="3"/>
        <v>0</v>
      </c>
      <c r="G65" s="1816">
        <f t="shared" si="4"/>
        <v>0</v>
      </c>
    </row>
    <row r="66" spans="1:7" hidden="1" x14ac:dyDescent="0.25">
      <c r="A66" s="1675"/>
      <c r="B66" s="1689"/>
      <c r="C66" s="1676"/>
      <c r="D66" s="1867"/>
      <c r="E66" s="1562">
        <f t="shared" si="2"/>
        <v>0</v>
      </c>
      <c r="F66" s="1815">
        <f t="shared" si="3"/>
        <v>0</v>
      </c>
      <c r="G66" s="1816">
        <f t="shared" si="4"/>
        <v>0</v>
      </c>
    </row>
    <row r="67" spans="1:7" hidden="1" x14ac:dyDescent="0.25">
      <c r="A67" s="1675"/>
      <c r="B67" s="1689"/>
      <c r="C67" s="1676"/>
      <c r="D67" s="1867"/>
      <c r="E67" s="1562">
        <f t="shared" si="2"/>
        <v>0</v>
      </c>
      <c r="F67" s="1815">
        <f t="shared" si="3"/>
        <v>0</v>
      </c>
      <c r="G67" s="1816">
        <f t="shared" si="4"/>
        <v>0</v>
      </c>
    </row>
    <row r="68" spans="1:7" hidden="1" x14ac:dyDescent="0.25">
      <c r="A68" s="1675"/>
      <c r="B68" s="1689"/>
      <c r="C68" s="1676"/>
      <c r="D68" s="1867"/>
      <c r="E68" s="1562">
        <f t="shared" si="2"/>
        <v>0</v>
      </c>
      <c r="F68" s="1815">
        <f t="shared" si="3"/>
        <v>0</v>
      </c>
      <c r="G68" s="1816">
        <f t="shared" si="4"/>
        <v>0</v>
      </c>
    </row>
    <row r="69" spans="1:7" hidden="1" x14ac:dyDescent="0.25">
      <c r="A69" s="1675"/>
      <c r="B69" s="1689"/>
      <c r="C69" s="1676"/>
      <c r="D69" s="1867"/>
      <c r="E69" s="1562">
        <f t="shared" si="2"/>
        <v>0</v>
      </c>
      <c r="F69" s="1815">
        <f t="shared" si="3"/>
        <v>0</v>
      </c>
      <c r="G69" s="1816">
        <f t="shared" si="4"/>
        <v>0</v>
      </c>
    </row>
    <row r="70" spans="1:7" hidden="1" x14ac:dyDescent="0.25">
      <c r="A70" s="1675"/>
      <c r="B70" s="1689"/>
      <c r="C70" s="1676"/>
      <c r="D70" s="1867"/>
      <c r="E70" s="1562">
        <f t="shared" si="2"/>
        <v>0</v>
      </c>
      <c r="F70" s="1815">
        <f t="shared" si="3"/>
        <v>0</v>
      </c>
      <c r="G70" s="1816">
        <f t="shared" si="4"/>
        <v>0</v>
      </c>
    </row>
    <row r="71" spans="1:7" hidden="1" x14ac:dyDescent="0.25">
      <c r="A71" s="1675"/>
      <c r="B71" s="1689"/>
      <c r="C71" s="1676"/>
      <c r="D71" s="1867"/>
      <c r="E71" s="1562">
        <f t="shared" si="2"/>
        <v>0</v>
      </c>
      <c r="F71" s="1815">
        <f t="shared" si="3"/>
        <v>0</v>
      </c>
      <c r="G71" s="1816">
        <f t="shared" si="4"/>
        <v>0</v>
      </c>
    </row>
    <row r="72" spans="1:7" hidden="1" x14ac:dyDescent="0.25">
      <c r="A72" s="1675"/>
      <c r="B72" s="1689"/>
      <c r="C72" s="1676"/>
      <c r="D72" s="1867"/>
      <c r="E72" s="1562">
        <f t="shared" si="2"/>
        <v>0</v>
      </c>
      <c r="F72" s="1815">
        <f t="shared" si="3"/>
        <v>0</v>
      </c>
      <c r="G72" s="1816">
        <f t="shared" si="4"/>
        <v>0</v>
      </c>
    </row>
    <row r="73" spans="1:7" hidden="1"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hidden="1" x14ac:dyDescent="0.25">
      <c r="A74" s="1675"/>
      <c r="B74" s="1689"/>
      <c r="C74" s="1676"/>
      <c r="D74" s="1867"/>
      <c r="E74" s="1562">
        <f t="shared" si="5"/>
        <v>0</v>
      </c>
      <c r="F74" s="1815">
        <f t="shared" si="6"/>
        <v>0</v>
      </c>
      <c r="G74" s="1816">
        <f t="shared" si="7"/>
        <v>0</v>
      </c>
    </row>
    <row r="75" spans="1:7" hidden="1" x14ac:dyDescent="0.25">
      <c r="A75" s="1675"/>
      <c r="B75" s="1689"/>
      <c r="C75" s="1676"/>
      <c r="D75" s="1867"/>
      <c r="E75" s="1562">
        <f t="shared" si="5"/>
        <v>0</v>
      </c>
      <c r="F75" s="1815">
        <f t="shared" si="6"/>
        <v>0</v>
      </c>
      <c r="G75" s="1816">
        <f t="shared" si="7"/>
        <v>0</v>
      </c>
    </row>
    <row r="76" spans="1:7" hidden="1" x14ac:dyDescent="0.25">
      <c r="A76" s="1675"/>
      <c r="B76" s="1689"/>
      <c r="C76" s="1676"/>
      <c r="D76" s="1867"/>
      <c r="E76" s="1562">
        <f t="shared" si="5"/>
        <v>0</v>
      </c>
      <c r="F76" s="1815">
        <f t="shared" si="6"/>
        <v>0</v>
      </c>
      <c r="G76" s="1816">
        <f t="shared" si="7"/>
        <v>0</v>
      </c>
    </row>
    <row r="77" spans="1:7" hidden="1" x14ac:dyDescent="0.25">
      <c r="A77" s="1675"/>
      <c r="B77" s="1689"/>
      <c r="C77" s="1676"/>
      <c r="D77" s="1867"/>
      <c r="E77" s="1562">
        <f t="shared" si="5"/>
        <v>0</v>
      </c>
      <c r="F77" s="1815">
        <f t="shared" si="6"/>
        <v>0</v>
      </c>
      <c r="G77" s="1816">
        <f t="shared" si="7"/>
        <v>0</v>
      </c>
    </row>
    <row r="78" spans="1:7" hidden="1" x14ac:dyDescent="0.25">
      <c r="A78" s="1675"/>
      <c r="B78" s="1689"/>
      <c r="C78" s="1676"/>
      <c r="D78" s="1867"/>
      <c r="E78" s="1562">
        <f t="shared" si="5"/>
        <v>0</v>
      </c>
      <c r="F78" s="1815">
        <f t="shared" si="6"/>
        <v>0</v>
      </c>
      <c r="G78" s="1816">
        <f t="shared" si="7"/>
        <v>0</v>
      </c>
    </row>
    <row r="79" spans="1:7" hidden="1" x14ac:dyDescent="0.25">
      <c r="A79" s="1675"/>
      <c r="B79" s="1689"/>
      <c r="C79" s="1676"/>
      <c r="D79" s="1867"/>
      <c r="E79" s="1562">
        <f t="shared" si="5"/>
        <v>0</v>
      </c>
      <c r="F79" s="1815">
        <f t="shared" si="6"/>
        <v>0</v>
      </c>
      <c r="G79" s="1816">
        <f t="shared" si="7"/>
        <v>0</v>
      </c>
    </row>
    <row r="80" spans="1:7" hidden="1" x14ac:dyDescent="0.25">
      <c r="A80" s="1675"/>
      <c r="B80" s="1689"/>
      <c r="C80" s="1676"/>
      <c r="D80" s="1867"/>
      <c r="E80" s="1562">
        <f t="shared" si="5"/>
        <v>0</v>
      </c>
      <c r="F80" s="1815">
        <f t="shared" si="6"/>
        <v>0</v>
      </c>
      <c r="G80" s="1816">
        <f t="shared" si="7"/>
        <v>0</v>
      </c>
    </row>
    <row r="81" spans="1:7" hidden="1" x14ac:dyDescent="0.25">
      <c r="A81" s="1675"/>
      <c r="B81" s="1689"/>
      <c r="C81" s="1676"/>
      <c r="D81" s="1867"/>
      <c r="E81" s="1562">
        <f t="shared" si="5"/>
        <v>0</v>
      </c>
      <c r="F81" s="1815">
        <f t="shared" si="6"/>
        <v>0</v>
      </c>
      <c r="G81" s="1816">
        <f t="shared" si="7"/>
        <v>0</v>
      </c>
    </row>
    <row r="82" spans="1:7" hidden="1" x14ac:dyDescent="0.25">
      <c r="A82" s="1675"/>
      <c r="B82" s="1689"/>
      <c r="C82" s="1676"/>
      <c r="D82" s="1867"/>
      <c r="E82" s="1562">
        <f t="shared" si="5"/>
        <v>0</v>
      </c>
      <c r="F82" s="1815">
        <f t="shared" si="6"/>
        <v>0</v>
      </c>
      <c r="G82" s="1816">
        <f t="shared" si="7"/>
        <v>0</v>
      </c>
    </row>
    <row r="83" spans="1:7" hidden="1" x14ac:dyDescent="0.25">
      <c r="A83" s="1675"/>
      <c r="B83" s="1689"/>
      <c r="C83" s="1676"/>
      <c r="D83" s="1867"/>
      <c r="E83" s="1562">
        <f t="shared" si="5"/>
        <v>0</v>
      </c>
      <c r="F83" s="1815">
        <f t="shared" si="6"/>
        <v>0</v>
      </c>
      <c r="G83" s="1816">
        <f t="shared" si="7"/>
        <v>0</v>
      </c>
    </row>
    <row r="84" spans="1:7" hidden="1" x14ac:dyDescent="0.25">
      <c r="A84" s="1675"/>
      <c r="B84" s="1689"/>
      <c r="C84" s="1676"/>
      <c r="D84" s="1867"/>
      <c r="E84" s="1562">
        <f t="shared" si="5"/>
        <v>0</v>
      </c>
      <c r="F84" s="1815">
        <f t="shared" si="6"/>
        <v>0</v>
      </c>
      <c r="G84" s="1816">
        <f t="shared" si="7"/>
        <v>0</v>
      </c>
    </row>
    <row r="85" spans="1:7" hidden="1" x14ac:dyDescent="0.25">
      <c r="A85" s="1675"/>
      <c r="B85" s="1689"/>
      <c r="C85" s="1676"/>
      <c r="D85" s="1867"/>
      <c r="E85" s="1562">
        <f t="shared" si="2"/>
        <v>0</v>
      </c>
      <c r="F85" s="1815">
        <f t="shared" si="3"/>
        <v>0</v>
      </c>
      <c r="G85" s="1816">
        <f t="shared" si="4"/>
        <v>0</v>
      </c>
    </row>
    <row r="86" spans="1:7" hidden="1" x14ac:dyDescent="0.25">
      <c r="A86" s="1675"/>
      <c r="B86" s="1689"/>
      <c r="C86" s="1676"/>
      <c r="D86" s="1867"/>
      <c r="E86" s="1562">
        <f t="shared" si="2"/>
        <v>0</v>
      </c>
      <c r="F86" s="1815">
        <f t="shared" si="3"/>
        <v>0</v>
      </c>
      <c r="G86" s="1816">
        <f t="shared" si="4"/>
        <v>0</v>
      </c>
    </row>
    <row r="87" spans="1:7" hidden="1" x14ac:dyDescent="0.25">
      <c r="A87" s="1675"/>
      <c r="B87" s="1689"/>
      <c r="C87" s="1676"/>
      <c r="D87" s="1867"/>
      <c r="E87" s="1562">
        <f t="shared" si="2"/>
        <v>0</v>
      </c>
      <c r="F87" s="1815">
        <f t="shared" si="3"/>
        <v>0</v>
      </c>
      <c r="G87" s="1816">
        <f t="shared" si="4"/>
        <v>0</v>
      </c>
    </row>
    <row r="88" spans="1:7" hidden="1" x14ac:dyDescent="0.25">
      <c r="A88" s="1675"/>
      <c r="B88" s="1689"/>
      <c r="C88" s="1676"/>
      <c r="D88" s="1867"/>
      <c r="E88" s="1562">
        <f t="shared" si="2"/>
        <v>0</v>
      </c>
      <c r="F88" s="1815">
        <f t="shared" si="3"/>
        <v>0</v>
      </c>
      <c r="G88" s="1816">
        <f t="shared" si="4"/>
        <v>0</v>
      </c>
    </row>
    <row r="89" spans="1:7" hidden="1" x14ac:dyDescent="0.25">
      <c r="A89" s="1675"/>
      <c r="B89" s="1689"/>
      <c r="C89" s="1676"/>
      <c r="D89" s="1867"/>
      <c r="E89" s="1562">
        <f t="shared" si="2"/>
        <v>0</v>
      </c>
      <c r="F89" s="1815">
        <f t="shared" si="3"/>
        <v>0</v>
      </c>
      <c r="G89" s="1816">
        <f t="shared" si="4"/>
        <v>0</v>
      </c>
    </row>
    <row r="90" spans="1:7" hidden="1" x14ac:dyDescent="0.25">
      <c r="A90" s="1675"/>
      <c r="B90" s="1689"/>
      <c r="C90" s="1676"/>
      <c r="D90" s="1867"/>
      <c r="E90" s="1562">
        <f t="shared" si="2"/>
        <v>0</v>
      </c>
      <c r="F90" s="1815">
        <f t="shared" si="3"/>
        <v>0</v>
      </c>
      <c r="G90" s="1816">
        <f t="shared" si="4"/>
        <v>0</v>
      </c>
    </row>
    <row r="91" spans="1:7" hidden="1" x14ac:dyDescent="0.25">
      <c r="A91" s="1675"/>
      <c r="B91" s="1689"/>
      <c r="C91" s="1676"/>
      <c r="D91" s="1867"/>
      <c r="E91" s="1562">
        <f t="shared" si="2"/>
        <v>0</v>
      </c>
      <c r="F91" s="1815">
        <f t="shared" si="3"/>
        <v>0</v>
      </c>
      <c r="G91" s="1816">
        <f t="shared" si="4"/>
        <v>0</v>
      </c>
    </row>
    <row r="92" spans="1:7" hidden="1" x14ac:dyDescent="0.25">
      <c r="A92" s="1675"/>
      <c r="B92" s="1689"/>
      <c r="C92" s="1676"/>
      <c r="D92" s="1867"/>
      <c r="E92" s="1562">
        <f t="shared" si="2"/>
        <v>0</v>
      </c>
      <c r="F92" s="1815">
        <f t="shared" si="3"/>
        <v>0</v>
      </c>
      <c r="G92" s="1816">
        <f t="shared" si="4"/>
        <v>0</v>
      </c>
    </row>
    <row r="93" spans="1:7" hidden="1"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hidden="1" x14ac:dyDescent="0.25">
      <c r="A94" s="1675"/>
      <c r="B94" s="1689"/>
      <c r="C94" s="1676"/>
      <c r="D94" s="1867"/>
      <c r="E94" s="1562">
        <f t="shared" si="2"/>
        <v>0</v>
      </c>
      <c r="F94" s="1815">
        <f t="shared" si="3"/>
        <v>0</v>
      </c>
      <c r="G94" s="1816">
        <f t="shared" si="4"/>
        <v>0</v>
      </c>
    </row>
    <row r="95" spans="1:7" hidden="1"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hidden="1" x14ac:dyDescent="0.25">
      <c r="A96" s="1675"/>
      <c r="B96" s="1689"/>
      <c r="C96" s="1676"/>
      <c r="D96" s="1867"/>
      <c r="E96" s="1562">
        <f t="shared" si="11"/>
        <v>0</v>
      </c>
      <c r="F96" s="1815">
        <f t="shared" si="12"/>
        <v>0</v>
      </c>
      <c r="G96" s="1816">
        <f t="shared" si="13"/>
        <v>0</v>
      </c>
    </row>
    <row r="97" spans="1:7" hidden="1" x14ac:dyDescent="0.25">
      <c r="A97" s="1675"/>
      <c r="B97" s="1689"/>
      <c r="C97" s="1676"/>
      <c r="D97" s="1867"/>
      <c r="E97" s="1562">
        <f t="shared" si="11"/>
        <v>0</v>
      </c>
      <c r="F97" s="1815">
        <f t="shared" si="12"/>
        <v>0</v>
      </c>
      <c r="G97" s="1816">
        <f t="shared" si="13"/>
        <v>0</v>
      </c>
    </row>
    <row r="98" spans="1:7" hidden="1" x14ac:dyDescent="0.25">
      <c r="A98" s="1675"/>
      <c r="B98" s="1689"/>
      <c r="C98" s="1676"/>
      <c r="D98" s="1867"/>
      <c r="E98" s="1562">
        <f t="shared" si="11"/>
        <v>0</v>
      </c>
      <c r="F98" s="1815">
        <f t="shared" si="12"/>
        <v>0</v>
      </c>
      <c r="G98" s="1816">
        <f t="shared" si="13"/>
        <v>0</v>
      </c>
    </row>
    <row r="99" spans="1:7" hidden="1"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hidden="1"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hidden="1" x14ac:dyDescent="0.25">
      <c r="A101" s="1675"/>
      <c r="B101" s="1689"/>
      <c r="C101" s="1676"/>
      <c r="D101" s="1867"/>
      <c r="E101" s="1562">
        <f t="shared" si="17"/>
        <v>0</v>
      </c>
      <c r="F101" s="1815">
        <f t="shared" si="18"/>
        <v>0</v>
      </c>
      <c r="G101" s="1816">
        <f t="shared" si="19"/>
        <v>0</v>
      </c>
    </row>
    <row r="102" spans="1:7" hidden="1" x14ac:dyDescent="0.25">
      <c r="A102" s="1675"/>
      <c r="B102" s="1689"/>
      <c r="C102" s="1676"/>
      <c r="D102" s="1867"/>
      <c r="E102" s="1562">
        <f t="shared" si="17"/>
        <v>0</v>
      </c>
      <c r="F102" s="1815">
        <f t="shared" si="18"/>
        <v>0</v>
      </c>
      <c r="G102" s="1816">
        <f t="shared" si="19"/>
        <v>0</v>
      </c>
    </row>
    <row r="103" spans="1:7" hidden="1" x14ac:dyDescent="0.25">
      <c r="A103" s="1675"/>
      <c r="B103" s="1689"/>
      <c r="C103" s="1676"/>
      <c r="D103" s="1867"/>
      <c r="E103" s="1562">
        <f t="shared" si="17"/>
        <v>0</v>
      </c>
      <c r="F103" s="1815">
        <f t="shared" si="18"/>
        <v>0</v>
      </c>
      <c r="G103" s="1816">
        <f t="shared" si="19"/>
        <v>0</v>
      </c>
    </row>
    <row r="104" spans="1:7" hidden="1" x14ac:dyDescent="0.25">
      <c r="A104" s="1675"/>
      <c r="B104" s="1689"/>
      <c r="C104" s="1676"/>
      <c r="D104" s="1867"/>
      <c r="E104" s="1562">
        <f t="shared" si="17"/>
        <v>0</v>
      </c>
      <c r="F104" s="1815">
        <f t="shared" si="18"/>
        <v>0</v>
      </c>
      <c r="G104" s="1816">
        <f t="shared" si="19"/>
        <v>0</v>
      </c>
    </row>
    <row r="105" spans="1:7" hidden="1" x14ac:dyDescent="0.25">
      <c r="A105" s="1675"/>
      <c r="B105" s="1689"/>
      <c r="C105" s="1676"/>
      <c r="D105" s="1867"/>
      <c r="E105" s="1562">
        <f t="shared" si="17"/>
        <v>0</v>
      </c>
      <c r="F105" s="1815">
        <f t="shared" si="18"/>
        <v>0</v>
      </c>
      <c r="G105" s="1816">
        <f t="shared" si="19"/>
        <v>0</v>
      </c>
    </row>
    <row r="106" spans="1:7" hidden="1" x14ac:dyDescent="0.25">
      <c r="A106" s="1675"/>
      <c r="B106" s="1689"/>
      <c r="C106" s="1676"/>
      <c r="D106" s="1867"/>
      <c r="E106" s="1562">
        <f t="shared" si="17"/>
        <v>0</v>
      </c>
      <c r="F106" s="1815">
        <f t="shared" si="18"/>
        <v>0</v>
      </c>
      <c r="G106" s="1816">
        <f t="shared" si="19"/>
        <v>0</v>
      </c>
    </row>
    <row r="107" spans="1:7" hidden="1" x14ac:dyDescent="0.25">
      <c r="A107" s="1675"/>
      <c r="B107" s="1689"/>
      <c r="C107" s="1676"/>
      <c r="D107" s="1867"/>
      <c r="E107" s="1562">
        <f t="shared" si="17"/>
        <v>0</v>
      </c>
      <c r="F107" s="1815">
        <f t="shared" si="18"/>
        <v>0</v>
      </c>
      <c r="G107" s="1816">
        <f t="shared" si="19"/>
        <v>0</v>
      </c>
    </row>
    <row r="108" spans="1:7" hidden="1" x14ac:dyDescent="0.25">
      <c r="A108" s="1675"/>
      <c r="B108" s="1689"/>
      <c r="C108" s="1676"/>
      <c r="D108" s="1867"/>
      <c r="E108" s="1562">
        <f t="shared" si="17"/>
        <v>0</v>
      </c>
      <c r="F108" s="1815">
        <f t="shared" si="18"/>
        <v>0</v>
      </c>
      <c r="G108" s="1816">
        <f t="shared" si="19"/>
        <v>0</v>
      </c>
    </row>
    <row r="109" spans="1:7" hidden="1" x14ac:dyDescent="0.25">
      <c r="A109" s="1675"/>
      <c r="B109" s="1689"/>
      <c r="C109" s="1676"/>
      <c r="D109" s="1867"/>
      <c r="E109" s="1562">
        <f t="shared" si="17"/>
        <v>0</v>
      </c>
      <c r="F109" s="1815">
        <f t="shared" si="18"/>
        <v>0</v>
      </c>
      <c r="G109" s="1816">
        <f t="shared" si="19"/>
        <v>0</v>
      </c>
    </row>
    <row r="110" spans="1:7" hidden="1" x14ac:dyDescent="0.25">
      <c r="A110" s="1675"/>
      <c r="B110" s="1689"/>
      <c r="C110" s="1676"/>
      <c r="D110" s="1867"/>
      <c r="E110" s="1562">
        <f t="shared" si="17"/>
        <v>0</v>
      </c>
      <c r="F110" s="1815">
        <f t="shared" si="18"/>
        <v>0</v>
      </c>
      <c r="G110" s="1816">
        <f t="shared" si="19"/>
        <v>0</v>
      </c>
    </row>
    <row r="111" spans="1:7" hidden="1" x14ac:dyDescent="0.25">
      <c r="A111" s="1675"/>
      <c r="B111" s="1689"/>
      <c r="C111" s="1676"/>
      <c r="D111" s="1867"/>
      <c r="E111" s="1562">
        <f t="shared" si="17"/>
        <v>0</v>
      </c>
      <c r="F111" s="1815">
        <f t="shared" si="18"/>
        <v>0</v>
      </c>
      <c r="G111" s="1816">
        <f t="shared" si="19"/>
        <v>0</v>
      </c>
    </row>
    <row r="112" spans="1:7" hidden="1" x14ac:dyDescent="0.25">
      <c r="A112" s="1675"/>
      <c r="B112" s="1689"/>
      <c r="C112" s="1676"/>
      <c r="D112" s="1867"/>
      <c r="E112" s="1562">
        <f t="shared" si="17"/>
        <v>0</v>
      </c>
      <c r="F112" s="1815">
        <f t="shared" si="18"/>
        <v>0</v>
      </c>
      <c r="G112" s="1816">
        <f t="shared" si="19"/>
        <v>0</v>
      </c>
    </row>
    <row r="113" spans="1:7" hidden="1"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hidden="1" x14ac:dyDescent="0.25">
      <c r="A114" s="1675"/>
      <c r="B114" s="1689"/>
      <c r="C114" s="1676"/>
      <c r="D114" s="1867"/>
      <c r="E114" s="1562">
        <f t="shared" si="20"/>
        <v>0</v>
      </c>
      <c r="F114" s="1815">
        <f t="shared" si="21"/>
        <v>0</v>
      </c>
      <c r="G114" s="1816">
        <f t="shared" si="22"/>
        <v>0</v>
      </c>
    </row>
    <row r="115" spans="1:7" hidden="1" x14ac:dyDescent="0.25">
      <c r="A115" s="1675"/>
      <c r="B115" s="1689"/>
      <c r="C115" s="1676"/>
      <c r="D115" s="1867"/>
      <c r="E115" s="1562">
        <f t="shared" si="20"/>
        <v>0</v>
      </c>
      <c r="F115" s="1815">
        <f t="shared" si="21"/>
        <v>0</v>
      </c>
      <c r="G115" s="1816">
        <f t="shared" si="22"/>
        <v>0</v>
      </c>
    </row>
    <row r="116" spans="1:7" hidden="1" x14ac:dyDescent="0.25">
      <c r="A116" s="1675"/>
      <c r="B116" s="1689"/>
      <c r="C116" s="1676"/>
      <c r="D116" s="1867"/>
      <c r="E116" s="1562">
        <f t="shared" si="20"/>
        <v>0</v>
      </c>
      <c r="F116" s="1815">
        <f t="shared" si="21"/>
        <v>0</v>
      </c>
      <c r="G116" s="1816">
        <f t="shared" si="22"/>
        <v>0</v>
      </c>
    </row>
    <row r="117" spans="1:7" hidden="1" x14ac:dyDescent="0.25">
      <c r="A117" s="1675"/>
      <c r="B117" s="1689"/>
      <c r="C117" s="1676"/>
      <c r="D117" s="1867"/>
      <c r="E117" s="1562">
        <f t="shared" si="20"/>
        <v>0</v>
      </c>
      <c r="F117" s="1815">
        <f t="shared" si="21"/>
        <v>0</v>
      </c>
      <c r="G117" s="1816">
        <f t="shared" si="22"/>
        <v>0</v>
      </c>
    </row>
    <row r="118" spans="1:7" hidden="1" x14ac:dyDescent="0.25">
      <c r="A118" s="1675"/>
      <c r="B118" s="1689"/>
      <c r="C118" s="1676"/>
      <c r="D118" s="1867"/>
      <c r="E118" s="1562">
        <f t="shared" si="20"/>
        <v>0</v>
      </c>
      <c r="F118" s="1815">
        <f t="shared" si="21"/>
        <v>0</v>
      </c>
      <c r="G118" s="1816">
        <f t="shared" si="22"/>
        <v>0</v>
      </c>
    </row>
    <row r="119" spans="1:7" hidden="1" x14ac:dyDescent="0.25">
      <c r="A119" s="1675"/>
      <c r="B119" s="1689"/>
      <c r="C119" s="1676"/>
      <c r="D119" s="1867"/>
      <c r="E119" s="1562">
        <f t="shared" si="20"/>
        <v>0</v>
      </c>
      <c r="F119" s="1815">
        <f t="shared" si="21"/>
        <v>0</v>
      </c>
      <c r="G119" s="1816">
        <f t="shared" si="22"/>
        <v>0</v>
      </c>
    </row>
    <row r="120" spans="1:7" hidden="1" x14ac:dyDescent="0.25">
      <c r="A120" s="1675"/>
      <c r="B120" s="1689"/>
      <c r="C120" s="1676"/>
      <c r="D120" s="1867"/>
      <c r="E120" s="1562">
        <f t="shared" si="20"/>
        <v>0</v>
      </c>
      <c r="F120" s="1815">
        <f t="shared" si="21"/>
        <v>0</v>
      </c>
      <c r="G120" s="1816">
        <f t="shared" si="22"/>
        <v>0</v>
      </c>
    </row>
    <row r="121" spans="1:7" hidden="1" x14ac:dyDescent="0.25">
      <c r="A121" s="1675"/>
      <c r="B121" s="1689"/>
      <c r="C121" s="1676"/>
      <c r="D121" s="1867"/>
      <c r="E121" s="1562">
        <f t="shared" si="20"/>
        <v>0</v>
      </c>
      <c r="F121" s="1815">
        <f t="shared" si="21"/>
        <v>0</v>
      </c>
      <c r="G121" s="1816">
        <f t="shared" si="22"/>
        <v>0</v>
      </c>
    </row>
    <row r="122" spans="1:7" hidden="1" x14ac:dyDescent="0.25">
      <c r="A122" s="1675"/>
      <c r="B122" s="1689"/>
      <c r="C122" s="1676"/>
      <c r="D122" s="1867"/>
      <c r="E122" s="1562">
        <f t="shared" si="20"/>
        <v>0</v>
      </c>
      <c r="F122" s="1815">
        <f t="shared" si="21"/>
        <v>0</v>
      </c>
      <c r="G122" s="1816">
        <f t="shared" si="22"/>
        <v>0</v>
      </c>
    </row>
    <row r="123" spans="1:7" hidden="1" x14ac:dyDescent="0.25">
      <c r="A123" s="1675"/>
      <c r="B123" s="1689"/>
      <c r="C123" s="1676"/>
      <c r="D123" s="1867"/>
      <c r="E123" s="1562">
        <f t="shared" si="20"/>
        <v>0</v>
      </c>
      <c r="F123" s="1815">
        <f t="shared" si="21"/>
        <v>0</v>
      </c>
      <c r="G123" s="1816">
        <f t="shared" si="22"/>
        <v>0</v>
      </c>
    </row>
    <row r="124" spans="1:7" hidden="1" x14ac:dyDescent="0.25">
      <c r="A124" s="1675"/>
      <c r="B124" s="1689"/>
      <c r="C124" s="1676"/>
      <c r="D124" s="1867"/>
      <c r="E124" s="1562">
        <f t="shared" si="20"/>
        <v>0</v>
      </c>
      <c r="F124" s="1815">
        <f t="shared" si="21"/>
        <v>0</v>
      </c>
      <c r="G124" s="1816">
        <f t="shared" si="22"/>
        <v>0</v>
      </c>
    </row>
    <row r="125" spans="1:7" hidden="1" x14ac:dyDescent="0.25">
      <c r="A125" s="1675"/>
      <c r="B125" s="1689"/>
      <c r="C125" s="1676"/>
      <c r="D125" s="1867"/>
      <c r="E125" s="1562">
        <f t="shared" si="20"/>
        <v>0</v>
      </c>
      <c r="F125" s="1815">
        <f t="shared" si="21"/>
        <v>0</v>
      </c>
      <c r="G125" s="1816">
        <f t="shared" si="22"/>
        <v>0</v>
      </c>
    </row>
    <row r="126" spans="1:7" hidden="1"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hidden="1" x14ac:dyDescent="0.25">
      <c r="A127" s="1675"/>
      <c r="B127" s="1689"/>
      <c r="C127" s="1676"/>
      <c r="D127" s="1867"/>
      <c r="E127" s="1562">
        <f t="shared" si="23"/>
        <v>0</v>
      </c>
      <c r="F127" s="1815">
        <f t="shared" si="24"/>
        <v>0</v>
      </c>
      <c r="G127" s="1816">
        <f t="shared" si="25"/>
        <v>0</v>
      </c>
    </row>
    <row r="128" spans="1:7" hidden="1" x14ac:dyDescent="0.25">
      <c r="A128" s="1675"/>
      <c r="B128" s="1689"/>
      <c r="C128" s="1676"/>
      <c r="D128" s="1867"/>
      <c r="E128" s="1562">
        <f t="shared" si="23"/>
        <v>0</v>
      </c>
      <c r="F128" s="1815">
        <f t="shared" si="24"/>
        <v>0</v>
      </c>
      <c r="G128" s="1816">
        <f t="shared" si="25"/>
        <v>0</v>
      </c>
    </row>
    <row r="129" spans="1:7" hidden="1" x14ac:dyDescent="0.25">
      <c r="A129" s="1675"/>
      <c r="B129" s="1689"/>
      <c r="C129" s="1676"/>
      <c r="D129" s="1867"/>
      <c r="E129" s="1562">
        <f t="shared" si="23"/>
        <v>0</v>
      </c>
      <c r="F129" s="1815">
        <f t="shared" si="24"/>
        <v>0</v>
      </c>
      <c r="G129" s="1816">
        <f t="shared" si="25"/>
        <v>0</v>
      </c>
    </row>
    <row r="130" spans="1:7" hidden="1" x14ac:dyDescent="0.25">
      <c r="A130" s="1675"/>
      <c r="B130" s="1689"/>
      <c r="C130" s="1676"/>
      <c r="D130" s="1867"/>
      <c r="E130" s="1562">
        <f t="shared" si="23"/>
        <v>0</v>
      </c>
      <c r="F130" s="1815">
        <f t="shared" si="24"/>
        <v>0</v>
      </c>
      <c r="G130" s="1816">
        <f t="shared" si="25"/>
        <v>0</v>
      </c>
    </row>
    <row r="131" spans="1:7" hidden="1" x14ac:dyDescent="0.25">
      <c r="A131" s="1675"/>
      <c r="B131" s="1860"/>
      <c r="C131" s="1676"/>
      <c r="D131" s="1867"/>
      <c r="E131" s="1562">
        <f t="shared" si="23"/>
        <v>0</v>
      </c>
      <c r="F131" s="1815">
        <f t="shared" si="24"/>
        <v>0</v>
      </c>
      <c r="G131" s="1816">
        <f t="shared" si="25"/>
        <v>0</v>
      </c>
    </row>
    <row r="132" spans="1:7" hidden="1" x14ac:dyDescent="0.25">
      <c r="A132" s="1675"/>
      <c r="B132" s="1860"/>
      <c r="C132" s="1676"/>
      <c r="D132" s="1867"/>
      <c r="E132" s="1562">
        <f t="shared" si="23"/>
        <v>0</v>
      </c>
      <c r="F132" s="1815">
        <f t="shared" si="24"/>
        <v>0</v>
      </c>
      <c r="G132" s="1816">
        <f t="shared" si="25"/>
        <v>0</v>
      </c>
    </row>
    <row r="133" spans="1:7" hidden="1" x14ac:dyDescent="0.25">
      <c r="A133" s="1675"/>
      <c r="B133" s="1689"/>
      <c r="C133" s="1676"/>
      <c r="D133" s="1867"/>
      <c r="E133" s="1562">
        <f t="shared" si="23"/>
        <v>0</v>
      </c>
      <c r="F133" s="1815">
        <f t="shared" si="24"/>
        <v>0</v>
      </c>
      <c r="G133" s="1816">
        <f t="shared" si="25"/>
        <v>0</v>
      </c>
    </row>
    <row r="134" spans="1:7" hidden="1" x14ac:dyDescent="0.25">
      <c r="A134" s="1675"/>
      <c r="B134" s="1689"/>
      <c r="C134" s="1676"/>
      <c r="D134" s="1867"/>
      <c r="E134" s="1562">
        <f t="shared" si="23"/>
        <v>0</v>
      </c>
      <c r="F134" s="1815">
        <f t="shared" si="24"/>
        <v>0</v>
      </c>
      <c r="G134" s="1816">
        <f t="shared" si="25"/>
        <v>0</v>
      </c>
    </row>
    <row r="135" spans="1:7" hidden="1"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hidden="1" x14ac:dyDescent="0.25">
      <c r="A136" s="1675"/>
      <c r="B136" s="1689"/>
      <c r="C136" s="1676"/>
      <c r="D136" s="1867"/>
      <c r="E136" s="1562">
        <f t="shared" si="26"/>
        <v>0</v>
      </c>
      <c r="F136" s="1815">
        <f t="shared" si="27"/>
        <v>0</v>
      </c>
      <c r="G136" s="1816">
        <f t="shared" si="28"/>
        <v>0</v>
      </c>
    </row>
    <row r="137" spans="1:7" hidden="1" x14ac:dyDescent="0.25">
      <c r="A137" s="1675"/>
      <c r="B137" s="1689"/>
      <c r="C137" s="1676"/>
      <c r="D137" s="1867"/>
      <c r="E137" s="1562">
        <f t="shared" si="26"/>
        <v>0</v>
      </c>
      <c r="F137" s="1815">
        <f t="shared" si="27"/>
        <v>0</v>
      </c>
      <c r="G137" s="1816">
        <f t="shared" si="28"/>
        <v>0</v>
      </c>
    </row>
    <row r="138" spans="1:7" hidden="1" x14ac:dyDescent="0.25">
      <c r="A138" s="1675"/>
      <c r="B138" s="1689"/>
      <c r="C138" s="1676"/>
      <c r="D138" s="1867"/>
      <c r="E138" s="1562">
        <f t="shared" si="26"/>
        <v>0</v>
      </c>
      <c r="F138" s="1815">
        <f t="shared" si="27"/>
        <v>0</v>
      </c>
      <c r="G138" s="1816">
        <f t="shared" si="28"/>
        <v>0</v>
      </c>
    </row>
    <row r="139" spans="1:7" hidden="1"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22751</v>
      </c>
      <c r="E141" s="1563">
        <f t="shared" si="1"/>
        <v>22751</v>
      </c>
      <c r="F141" s="1817">
        <f>SUM(F17:F140)</f>
        <v>22751</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5" t="s">
        <v>1945</v>
      </c>
      <c r="B11" s="2306"/>
      <c r="C11" s="2306"/>
      <c r="D11" s="2307"/>
      <c r="E11" s="978">
        <v>8653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1014182</v>
      </c>
      <c r="F19" s="1822"/>
      <c r="G19" s="1824">
        <f>'Expenditures 15-22'!K33-SUM('Expenditures 15-22'!G33,'Expenditures 15-22'!I33)+'Expenditures 15-22'!D229</f>
        <v>1014182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0</v>
      </c>
      <c r="F21" s="1825"/>
      <c r="G21" s="1828">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825"/>
      <c r="E22" s="1827">
        <f>'Expenditures 15-22'!K47-SUM('Expenditures 15-22'!G47,'Expenditures 15-22'!I47)+'Expenditures 15-22'!D243</f>
        <v>10656</v>
      </c>
      <c r="F22" s="1825"/>
      <c r="G22" s="1828">
        <f>'Expenditures 15-22'!K47-SUM('Expenditures 15-22'!G47,'Expenditures 15-22'!I47)+'Expenditures 15-22'!D243</f>
        <v>10656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142375</v>
      </c>
      <c r="F23" s="1825"/>
      <c r="G23" s="1827">
        <f>'Expenditures 15-22'!K53-SUM('Expenditures 15-22'!G53,'Expenditures 15-22'!I53)+'Expenditures 15-22'!D257+'Expenditures 15-22'!K330-SUM('Expenditures 15-22'!G330,'Expenditures 15-22'!I330)</f>
        <v>142375</v>
      </c>
      <c r="H23" s="988"/>
      <c r="I23" s="162"/>
    </row>
    <row r="24" spans="1:9" s="669" customFormat="1" ht="12" customHeight="1" x14ac:dyDescent="0.2">
      <c r="A24" s="995" t="s">
        <v>587</v>
      </c>
      <c r="B24" s="996"/>
      <c r="C24" s="994">
        <v>2400</v>
      </c>
      <c r="D24" s="1825"/>
      <c r="E24" s="1827">
        <f>'Expenditures 15-22'!K57-SUM('Expenditures 15-22'!G57,'Expenditures 15-22'!I57)+'Expenditures 15-22'!D261</f>
        <v>144420</v>
      </c>
      <c r="F24" s="1825"/>
      <c r="G24" s="1828">
        <f>'Expenditures 15-22'!K57-SUM('Expenditures 15-22'!G57,'Expenditures 15-22'!I57)+'Expenditures 15-22'!D261</f>
        <v>144420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68831</v>
      </c>
      <c r="E27" s="1827">
        <f>E8</f>
        <v>0</v>
      </c>
      <c r="F27" s="1827">
        <f>'Expenditures 15-22'!K60-SUM('Expenditures 15-22'!G60,'Expenditures 15-22'!I60)+'Expenditures 15-22'!D264-E8</f>
        <v>68831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286021</v>
      </c>
      <c r="F28" s="1829">
        <f>'Expenditures 15-22'!K61-SUM('Expenditures 15-22'!G61,'Expenditures 15-22'!I61)+'Expenditures 15-22'!K124-SUM('Expenditures 15-22'!G124,'Expenditures 15-22'!I124)+'Expenditures 15-22'!D266-E9</f>
        <v>286021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109709</v>
      </c>
      <c r="F29" s="1825"/>
      <c r="G29" s="1828">
        <f>'Expenditures 15-22'!K62-SUM('Expenditures 15-22'!G62,'Expenditures 15-22'!I62)+'Expenditures 15-22'!K125-SUM('Expenditures 15-22'!G125,'Expenditures 15-22'!I125)+'Expenditures 15-22'!K182-SUM('Expenditures 15-22'!G182,'Expenditures 15-22'!I182)+'Expenditures 15-22'!D267</f>
        <v>109709</v>
      </c>
      <c r="H29" s="986"/>
    </row>
    <row r="30" spans="1:9" ht="12" customHeight="1" x14ac:dyDescent="0.2">
      <c r="A30" s="995" t="s">
        <v>102</v>
      </c>
      <c r="B30" s="998"/>
      <c r="C30" s="994">
        <v>2560</v>
      </c>
      <c r="D30" s="1825"/>
      <c r="E30" s="1827">
        <f>'Expenditures 15-22'!K63-SUM('Expenditures 15-22'!G63,'Expenditures 15-22'!I63)+'Expenditures 15-22'!D268-E10</f>
        <v>107352</v>
      </c>
      <c r="F30" s="1825"/>
      <c r="G30" s="1827">
        <f>'Expenditures 15-22'!K63-SUM('Expenditures 15-22'!G63,'Expenditures 15-22'!I63)+'Expenditures 15-22'!D268-E10</f>
        <v>107352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40973</v>
      </c>
      <c r="F35" s="1825"/>
      <c r="G35" s="1827">
        <f>'Expenditures 15-22'!K69-SUM('Expenditures 15-22'!G69,'Expenditures 15-22'!I69)+'Expenditures 15-22'!D274</f>
        <v>40973</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68831</v>
      </c>
      <c r="E41" s="1829">
        <f>SUM(E19:E40)</f>
        <v>1855688</v>
      </c>
      <c r="F41" s="1829">
        <f>SUM(F19:F39)</f>
        <v>354852</v>
      </c>
      <c r="G41" s="1829">
        <f>SUM(G19:G40)</f>
        <v>1569667</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68831</v>
      </c>
      <c r="F43" s="1830" t="s">
        <v>495</v>
      </c>
      <c r="G43" s="1831">
        <f>F41</f>
        <v>354852</v>
      </c>
    </row>
    <row r="44" spans="1:7" ht="12" customHeight="1" x14ac:dyDescent="0.2">
      <c r="A44" s="988"/>
      <c r="B44" s="162"/>
      <c r="C44" s="1002"/>
      <c r="D44" s="1830" t="s">
        <v>494</v>
      </c>
      <c r="E44" s="1831">
        <f>E41</f>
        <v>1855688</v>
      </c>
      <c r="F44" s="1830" t="s">
        <v>494</v>
      </c>
      <c r="G44" s="1831">
        <f>G41</f>
        <v>1569667</v>
      </c>
    </row>
    <row r="45" spans="1:7" ht="12" customHeight="1" x14ac:dyDescent="0.2">
      <c r="A45" s="988"/>
      <c r="B45" s="162"/>
      <c r="C45" s="162"/>
      <c r="D45" s="1832" t="s">
        <v>1063</v>
      </c>
      <c r="E45" s="1833">
        <f>(E43/E44)</f>
        <v>3.709190338030962E-2</v>
      </c>
      <c r="F45" s="1832" t="s">
        <v>1063</v>
      </c>
      <c r="G45" s="1833">
        <f>(G43/G44)</f>
        <v>0.2260683316907344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E31" sqref="E3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7.140625" style="1903" bestFit="1" customWidth="1"/>
    <col min="9" max="10" width="3.42578125"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Tonica CCSD 79</v>
      </c>
      <c r="D6" s="2315"/>
      <c r="E6" s="2315"/>
      <c r="F6" s="1877"/>
    </row>
    <row r="7" spans="1:10" ht="11.25" customHeight="1" thickBot="1" x14ac:dyDescent="0.3">
      <c r="A7" s="1875"/>
      <c r="B7" s="1876"/>
      <c r="C7" s="2316">
        <f>COVER!A13</f>
        <v>35050079004</v>
      </c>
      <c r="D7" s="2316"/>
      <c r="E7" s="2316"/>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
        <v>2095</v>
      </c>
      <c r="H25" s="1903">
        <f t="shared" si="0"/>
        <v>5</v>
      </c>
      <c r="I25" s="1903">
        <f t="shared" si="1"/>
        <v>5</v>
      </c>
      <c r="J25" s="1903">
        <f t="shared" si="2"/>
        <v>0</v>
      </c>
    </row>
    <row r="26" spans="1:12" ht="12" customHeight="1" x14ac:dyDescent="0.2">
      <c r="A26" s="1888" t="s">
        <v>1615</v>
      </c>
      <c r="B26" s="1889"/>
      <c r="C26" s="1890" t="s">
        <v>2077</v>
      </c>
      <c r="D26" s="1890" t="s">
        <v>2077</v>
      </c>
      <c r="E26" s="1893"/>
      <c r="F26" s="1892" t="s">
        <v>2096</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t="s">
        <v>2077</v>
      </c>
      <c r="D33" s="1890" t="s">
        <v>2077</v>
      </c>
      <c r="E33" s="1893"/>
      <c r="F33" s="1892" t="s">
        <v>2097</v>
      </c>
      <c r="H33" s="1903">
        <f t="shared" si="0"/>
        <v>5</v>
      </c>
      <c r="I33" s="1903">
        <f t="shared" si="1"/>
        <v>5</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Tonica CCSD 79</v>
      </c>
      <c r="J6" s="2336"/>
      <c r="Q6" s="1686"/>
    </row>
    <row r="7" spans="1:17" x14ac:dyDescent="0.2">
      <c r="A7" s="2337" t="s">
        <v>924</v>
      </c>
      <c r="B7" s="2338"/>
      <c r="C7" s="2338"/>
      <c r="D7" s="2338"/>
      <c r="E7" s="2339"/>
      <c r="F7" s="1018"/>
      <c r="G7" s="1010"/>
      <c r="H7" s="1017" t="s">
        <v>390</v>
      </c>
      <c r="I7" s="2340">
        <f>COVER!A13</f>
        <v>35050079004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45302</v>
      </c>
      <c r="F12" s="1040"/>
      <c r="G12" s="1834">
        <f t="shared" ref="G12:G18" si="0">SUM(E12:F12)</f>
        <v>45302</v>
      </c>
      <c r="H12" s="1041">
        <v>47239</v>
      </c>
      <c r="I12" s="1040"/>
      <c r="J12" s="1834">
        <f t="shared" ref="J12:J18" si="1">SUM(H12:I12)</f>
        <v>47239</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45302</v>
      </c>
      <c r="F19" s="1836">
        <f t="shared" si="2"/>
        <v>0</v>
      </c>
      <c r="G19" s="1836">
        <f t="shared" si="2"/>
        <v>45302</v>
      </c>
      <c r="H19" s="1836">
        <f t="shared" si="2"/>
        <v>47239</v>
      </c>
      <c r="I19" s="1836">
        <f t="shared" si="2"/>
        <v>0</v>
      </c>
      <c r="J19" s="1836">
        <f t="shared" si="2"/>
        <v>47239</v>
      </c>
    </row>
    <row r="20" spans="1:10" ht="13.5" thickTop="1" x14ac:dyDescent="0.2">
      <c r="A20" s="1036">
        <v>9</v>
      </c>
      <c r="B20" s="2347" t="s">
        <v>1703</v>
      </c>
      <c r="C20" s="2347"/>
      <c r="D20" s="2348"/>
      <c r="E20" s="1047"/>
      <c r="F20" s="1047"/>
      <c r="G20" s="1047"/>
      <c r="H20" s="1047"/>
      <c r="I20" s="1047"/>
      <c r="J20" s="1837">
        <f>IF(AND(G19&gt;0,J19&gt;0),(((J19-G19)/G19)),"Enter Budget Data")</f>
        <v>4.2757494150368634E-2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2108</v>
      </c>
    </row>
    <row r="6" spans="1:2" x14ac:dyDescent="0.2">
      <c r="A6" s="1069">
        <v>2</v>
      </c>
      <c r="B6" s="329" t="s">
        <v>2109</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Tonica CCSD 79</v>
      </c>
    </row>
    <row r="65" spans="2:2" x14ac:dyDescent="0.2">
      <c r="B65" s="1071">
        <f>COVER!A13</f>
        <v>35050079004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1843718</v>
      </c>
      <c r="C8" s="1838">
        <f>'Acct Summary 7-8'!D8</f>
        <v>254240</v>
      </c>
      <c r="D8" s="1838">
        <f>'Acct Summary 7-8'!F8</f>
        <v>108290</v>
      </c>
      <c r="E8" s="1838">
        <f>'Acct Summary 7-8'!I8</f>
        <v>19170</v>
      </c>
      <c r="F8" s="1838">
        <f>SUM(B8:E8)</f>
        <v>2225418</v>
      </c>
    </row>
    <row r="9" spans="1:8" s="1080" customFormat="1" ht="14.25" customHeight="1" thickBot="1" x14ac:dyDescent="0.25">
      <c r="A9" s="1079" t="s">
        <v>1436</v>
      </c>
      <c r="B9" s="1839">
        <f>'Acct Summary 7-8'!C17</f>
        <v>1533900</v>
      </c>
      <c r="C9" s="1839">
        <f>'Acct Summary 7-8'!D17</f>
        <v>285039</v>
      </c>
      <c r="D9" s="1839">
        <f>'Acct Summary 7-8'!F17</f>
        <v>109709</v>
      </c>
      <c r="E9" s="1838"/>
      <c r="F9" s="1838">
        <f>SUM(B9:E9)</f>
        <v>1928648</v>
      </c>
    </row>
    <row r="10" spans="1:8" s="1080" customFormat="1" ht="14.25" thickTop="1" thickBot="1" x14ac:dyDescent="0.25">
      <c r="A10" s="1081" t="s">
        <v>1437</v>
      </c>
      <c r="B10" s="1840">
        <f>(B8-B9)</f>
        <v>309818</v>
      </c>
      <c r="C10" s="1840">
        <f>(C8-C9)</f>
        <v>-30799</v>
      </c>
      <c r="D10" s="1840">
        <f>(D8-D9)</f>
        <v>-1419</v>
      </c>
      <c r="E10" s="1839">
        <f>(E8-E9)</f>
        <v>19170</v>
      </c>
      <c r="F10" s="1841">
        <f>SUM(F8-F9)</f>
        <v>296770</v>
      </c>
    </row>
    <row r="11" spans="1:8" s="1080" customFormat="1" ht="14.25" thickTop="1" thickBot="1" x14ac:dyDescent="0.25">
      <c r="A11" s="1082" t="s">
        <v>1785</v>
      </c>
      <c r="B11" s="1842">
        <f>'Acct Summary 7-8'!C81</f>
        <v>1041461</v>
      </c>
      <c r="C11" s="1842">
        <f>'Acct Summary 7-8'!D81</f>
        <v>-6589</v>
      </c>
      <c r="D11" s="1842">
        <f>'Acct Summary 7-8'!F81</f>
        <v>111140</v>
      </c>
      <c r="E11" s="1842">
        <f>'Acct Summary 7-8'!I81</f>
        <v>259303</v>
      </c>
      <c r="F11" s="1843">
        <f>SUM(B11:E11)</f>
        <v>1405315</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6"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35050079004</v>
      </c>
    </row>
    <row r="3" spans="1:2" x14ac:dyDescent="0.2">
      <c r="A3" t="s">
        <v>1013</v>
      </c>
      <c r="B3" s="138" t="str">
        <f>COVER!A15</f>
        <v>LASALLE</v>
      </c>
    </row>
    <row r="4" spans="1:2" x14ac:dyDescent="0.2">
      <c r="A4" t="s">
        <v>1064</v>
      </c>
      <c r="B4" s="138" t="str">
        <f>COVER!A17</f>
        <v>Tonica CCSD 79</v>
      </c>
    </row>
    <row r="5" spans="1:2" x14ac:dyDescent="0.2">
      <c r="A5" t="s">
        <v>728</v>
      </c>
      <c r="B5" s="138" t="str">
        <f>COVER!A38</f>
        <v>CHUCK SCHNEIDER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66.004501000000005</v>
      </c>
    </row>
    <row r="16" spans="1:2" x14ac:dyDescent="0.2">
      <c r="A16" t="s">
        <v>442</v>
      </c>
      <c r="B16" s="138" t="str">
        <f>COVER!T13</f>
        <v>HOPKINS &amp; ASSOCIATES, CPAS, INC.</v>
      </c>
    </row>
    <row r="17" spans="1:2" x14ac:dyDescent="0.2">
      <c r="A17" t="s">
        <v>939</v>
      </c>
      <c r="B17" s="138" t="str">
        <f>COVER!T15</f>
        <v>JOEL HOPKINS</v>
      </c>
    </row>
    <row r="18" spans="1:2" x14ac:dyDescent="0.2">
      <c r="A18" t="s">
        <v>1212</v>
      </c>
      <c r="B18" s="138" t="str">
        <f>COVER!T17</f>
        <v>314 S. MCCOY ST.</v>
      </c>
    </row>
    <row r="19" spans="1:2" x14ac:dyDescent="0.2">
      <c r="A19" t="s">
        <v>941</v>
      </c>
      <c r="B19" s="138" t="str">
        <f>COVER!T25</f>
        <v>joel@hopkinsoffice.com</v>
      </c>
    </row>
    <row r="20" spans="1:2" x14ac:dyDescent="0.2">
      <c r="A20" t="s">
        <v>942</v>
      </c>
      <c r="B20" s="138" t="str">
        <f>COVER!T19</f>
        <v>GRANVILLE</v>
      </c>
    </row>
    <row r="21" spans="1:2" x14ac:dyDescent="0.2">
      <c r="A21" t="s">
        <v>500</v>
      </c>
      <c r="B21" s="138" t="str">
        <f>COVER!X19</f>
        <v>IL</v>
      </c>
    </row>
    <row r="22" spans="1:2" x14ac:dyDescent="0.2">
      <c r="A22" t="s">
        <v>943</v>
      </c>
      <c r="B22" s="138">
        <f>COVER!Z19</f>
        <v>61326</v>
      </c>
    </row>
    <row r="23" spans="1:2" x14ac:dyDescent="0.2">
      <c r="A23" t="s">
        <v>1214</v>
      </c>
      <c r="B23" s="138" t="str">
        <f>COVER!T21</f>
        <v>815-339-6630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1041461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1000911</v>
      </c>
      <c r="D92" s="2" t="str">
        <f t="shared" si="0"/>
        <v>Error?</v>
      </c>
    </row>
    <row r="93" spans="1:4" x14ac:dyDescent="0.2">
      <c r="A93" s="5">
        <v>32</v>
      </c>
      <c r="B93" s="138">
        <f>'Assets-Liab 5-6'!C41</f>
        <v>1041461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6589</v>
      </c>
      <c r="C122" s="2" t="s">
        <v>594</v>
      </c>
      <c r="D122" s="2" t="str">
        <f t="shared" si="0"/>
        <v>Error?</v>
      </c>
    </row>
    <row r="123" spans="1:4" x14ac:dyDescent="0.2">
      <c r="A123" s="5">
        <v>62</v>
      </c>
      <c r="B123" s="138">
        <f>'Assets-Liab 5-6'!D39</f>
        <v>-6589</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111140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111140</v>
      </c>
      <c r="D170" s="2" t="str">
        <f t="shared" si="1"/>
        <v>Error?</v>
      </c>
    </row>
    <row r="171" spans="1:4" x14ac:dyDescent="0.2">
      <c r="A171" s="5">
        <v>110</v>
      </c>
      <c r="B171" s="138">
        <f>'Assets-Liab 5-6'!F41</f>
        <v>111140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99245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72969</v>
      </c>
      <c r="D189" s="2" t="str">
        <f t="shared" si="1"/>
        <v>Error?</v>
      </c>
    </row>
    <row r="190" spans="1:4" x14ac:dyDescent="0.2">
      <c r="A190" s="5">
        <v>129</v>
      </c>
      <c r="B190" s="138">
        <f>'Assets-Liab 5-6'!G41</f>
        <v>99245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v>
      </c>
      <c r="D273" s="2" t="str">
        <f t="shared" si="3"/>
        <v>Error?</v>
      </c>
    </row>
    <row r="274" spans="1:4" x14ac:dyDescent="0.2">
      <c r="A274" s="5">
        <v>213</v>
      </c>
      <c r="B274" s="138">
        <f>'Assets-Liab 5-6'!M17</f>
        <v>1345501</v>
      </c>
      <c r="D274" s="2" t="str">
        <f t="shared" si="3"/>
        <v>Error?</v>
      </c>
    </row>
    <row r="275" spans="1:4" x14ac:dyDescent="0.2">
      <c r="A275" s="5">
        <v>214</v>
      </c>
      <c r="B275" s="138">
        <f>'Assets-Liab 5-6'!M18</f>
        <v>110667</v>
      </c>
      <c r="D275" s="2" t="str">
        <f t="shared" si="3"/>
        <v>Error?</v>
      </c>
    </row>
    <row r="276" spans="1:4" x14ac:dyDescent="0.2">
      <c r="A276" s="5">
        <v>215</v>
      </c>
      <c r="B276" s="138">
        <f>'Assets-Liab 5-6'!M19</f>
        <v>836583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2292851</v>
      </c>
      <c r="C279" s="2" t="s">
        <v>594</v>
      </c>
      <c r="D279" s="2" t="str">
        <f t="shared" si="3"/>
        <v>Error?</v>
      </c>
    </row>
    <row r="280" spans="1:4" x14ac:dyDescent="0.2">
      <c r="A280" s="5">
        <v>219</v>
      </c>
      <c r="B280" s="138">
        <f>'Assets-Liab 5-6'!M40</f>
        <v>2292851</v>
      </c>
      <c r="D280" s="2" t="str">
        <f t="shared" si="3"/>
        <v>Error?</v>
      </c>
    </row>
    <row r="281" spans="1:4" x14ac:dyDescent="0.2">
      <c r="A281" s="5">
        <v>220</v>
      </c>
      <c r="B281" s="138">
        <f>'Assets-Liab 5-6'!M41</f>
        <v>2292851</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300000</v>
      </c>
      <c r="D283" s="2" t="str">
        <f t="shared" si="3"/>
        <v>Error?</v>
      </c>
    </row>
    <row r="284" spans="1:4" x14ac:dyDescent="0.2">
      <c r="A284" s="5">
        <v>223</v>
      </c>
      <c r="B284" s="138">
        <f>'Assets-Liab 5-6'!N23</f>
        <v>300000</v>
      </c>
      <c r="C284" s="2" t="s">
        <v>594</v>
      </c>
      <c r="D284" s="2" t="str">
        <f t="shared" si="3"/>
        <v>Error?</v>
      </c>
    </row>
    <row r="285" spans="1:4" x14ac:dyDescent="0.2">
      <c r="A285" s="5">
        <v>224</v>
      </c>
      <c r="B285" s="138">
        <f>'Assets-Liab 5-6'!N36</f>
        <v>300000</v>
      </c>
      <c r="D285" s="2" t="str">
        <f t="shared" si="3"/>
        <v>Error?</v>
      </c>
    </row>
    <row r="286" spans="1:4" x14ac:dyDescent="0.2">
      <c r="A286" s="10">
        <v>225</v>
      </c>
      <c r="D286" s="2" t="str">
        <f t="shared" si="3"/>
        <v>OK</v>
      </c>
    </row>
    <row r="287" spans="1:4" x14ac:dyDescent="0.2">
      <c r="A287" s="5">
        <v>226</v>
      </c>
      <c r="B287" s="138">
        <f>'Assets-Liab 5-6'!N37</f>
        <v>300000</v>
      </c>
      <c r="C287" s="2" t="s">
        <v>594</v>
      </c>
      <c r="D287" s="2" t="str">
        <f t="shared" si="3"/>
        <v>Error?</v>
      </c>
    </row>
    <row r="288" spans="1:4" x14ac:dyDescent="0.2">
      <c r="A288" s="5">
        <v>227</v>
      </c>
      <c r="B288" s="138">
        <f>'Assets-Liab 5-6'!N41</f>
        <v>300000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575997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14223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718146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2163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2163</v>
      </c>
      <c r="C731" s="2" t="s">
        <v>594</v>
      </c>
      <c r="D731" s="2" t="str">
        <f t="shared" si="10"/>
        <v>Error?</v>
      </c>
    </row>
    <row r="732" spans="1:4" x14ac:dyDescent="0.2">
      <c r="A732" s="5">
        <v>671</v>
      </c>
      <c r="B732" s="138">
        <f>'Expenditures 15-22'!C49</f>
        <v>600</v>
      </c>
      <c r="D732" s="2" t="str">
        <f t="shared" si="10"/>
        <v>Error?</v>
      </c>
    </row>
    <row r="733" spans="1:4" x14ac:dyDescent="0.2">
      <c r="A733" s="5">
        <v>672</v>
      </c>
      <c r="B733" s="138">
        <f>'Expenditures 15-22'!C50</f>
        <v>38500</v>
      </c>
      <c r="D733" s="2" t="str">
        <f t="shared" si="10"/>
        <v>Error?</v>
      </c>
    </row>
    <row r="734" spans="1:4" x14ac:dyDescent="0.2">
      <c r="A734" s="5">
        <v>673</v>
      </c>
      <c r="B734" s="138">
        <f>'Expenditures 15-22'!C53</f>
        <v>39100</v>
      </c>
      <c r="C734" s="2" t="s">
        <v>594</v>
      </c>
      <c r="D734" s="2" t="str">
        <f t="shared" si="10"/>
        <v>Error?</v>
      </c>
    </row>
    <row r="735" spans="1:4" x14ac:dyDescent="0.2">
      <c r="A735" s="5">
        <v>674</v>
      </c>
      <c r="B735" s="138">
        <f>'Expenditures 15-22'!C55</f>
        <v>96442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96442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52779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45069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97848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235553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953699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173949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890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212107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5623</v>
      </c>
      <c r="D791" s="2" t="str">
        <f t="shared" si="11"/>
        <v>Error?</v>
      </c>
    </row>
    <row r="792" spans="1:4" x14ac:dyDescent="0.2">
      <c r="A792" s="5">
        <v>731</v>
      </c>
      <c r="B792" s="138">
        <f>'Expenditures 15-22'!D53</f>
        <v>5623</v>
      </c>
      <c r="C792" s="2" t="s">
        <v>594</v>
      </c>
      <c r="D792" s="2" t="str">
        <f t="shared" si="11"/>
        <v>Error?</v>
      </c>
    </row>
    <row r="793" spans="1:4" x14ac:dyDescent="0.2">
      <c r="A793" s="5">
        <v>732</v>
      </c>
      <c r="B793" s="138">
        <f>'Expenditures 15-22'!D55</f>
        <v>40004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40004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7614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15893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23507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69134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281241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7887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5427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23074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6952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6952</v>
      </c>
      <c r="C847" s="2" t="s">
        <v>594</v>
      </c>
      <c r="D847" s="2" t="str">
        <f t="shared" si="12"/>
        <v>Error?</v>
      </c>
    </row>
    <row r="848" spans="1:4" x14ac:dyDescent="0.2">
      <c r="A848" s="5">
        <v>787</v>
      </c>
      <c r="B848" s="138">
        <f>'Expenditures 15-22'!E49</f>
        <v>18712</v>
      </c>
      <c r="D848" s="2" t="str">
        <f t="shared" si="12"/>
        <v>Error?</v>
      </c>
    </row>
    <row r="849" spans="1:4" x14ac:dyDescent="0.2">
      <c r="A849" s="5">
        <v>788</v>
      </c>
      <c r="B849" s="138">
        <f>'Expenditures 15-22'!E50</f>
        <v>791</v>
      </c>
      <c r="D849" s="2" t="str">
        <f t="shared" si="12"/>
        <v>Error?</v>
      </c>
    </row>
    <row r="850" spans="1:4" x14ac:dyDescent="0.2">
      <c r="A850" s="5">
        <v>789</v>
      </c>
      <c r="B850" s="138">
        <f>'Expenditures 15-22'!E53</f>
        <v>19503</v>
      </c>
      <c r="C850" s="2" t="s">
        <v>594</v>
      </c>
      <c r="D850" s="2" t="str">
        <f t="shared" si="12"/>
        <v>Error?</v>
      </c>
    </row>
    <row r="851" spans="1:4" x14ac:dyDescent="0.2">
      <c r="A851" s="5">
        <v>790</v>
      </c>
      <c r="B851" s="138">
        <f>'Expenditures 15-22'!E55</f>
        <v>1889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1889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2599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1689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4288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31848</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31848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64480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154746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28607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2819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31926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1500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1500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32</v>
      </c>
      <c r="D907" s="2" t="str">
        <f t="shared" si="13"/>
        <v>Error?</v>
      </c>
    </row>
    <row r="908" spans="1:4" x14ac:dyDescent="0.2">
      <c r="A908" s="5">
        <v>847</v>
      </c>
      <c r="B908" s="138">
        <f>'Expenditures 15-22'!F53</f>
        <v>32</v>
      </c>
      <c r="C908" s="2" t="s">
        <v>594</v>
      </c>
      <c r="D908" s="2" t="str">
        <f t="shared" si="13"/>
        <v>Error?</v>
      </c>
    </row>
    <row r="909" spans="1:4" x14ac:dyDescent="0.2">
      <c r="A909" s="5">
        <v>848</v>
      </c>
      <c r="B909" s="138">
        <f>'Expenditures 15-22'!F55</f>
        <v>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37764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38415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9125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9125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49097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81023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12224</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12224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12224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12224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2867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2933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3764</v>
      </c>
      <c r="D1022" s="2" t="str">
        <f t="shared" si="14"/>
        <v>Error?</v>
      </c>
    </row>
    <row r="1023" spans="1:4" x14ac:dyDescent="0.2">
      <c r="A1023" s="5">
        <v>962</v>
      </c>
      <c r="B1023" s="138">
        <f>'Expenditures 15-22'!H50</f>
        <v>356</v>
      </c>
      <c r="D1023" s="2" t="str">
        <f t="shared" ref="D1023:D1086" si="15">IF(ISBLANK(B1023),"OK",IF(A1023-B1023=0,"OK","Error?"))</f>
        <v>Error?</v>
      </c>
    </row>
    <row r="1024" spans="1:4" x14ac:dyDescent="0.2">
      <c r="A1024" s="5">
        <v>963</v>
      </c>
      <c r="B1024" s="138">
        <f>'Expenditures 15-22'!H53</f>
        <v>4120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4307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43727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50967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786506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26226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988186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10615</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10615</v>
      </c>
      <c r="C1119" s="2" t="s">
        <v>594</v>
      </c>
      <c r="D1119" s="2" t="str">
        <f t="shared" si="16"/>
        <v>Error?</v>
      </c>
    </row>
    <row r="1120" spans="1:4" x14ac:dyDescent="0.2">
      <c r="A1120" s="5">
        <v>1059</v>
      </c>
      <c r="B1120" s="138">
        <f>'Expenditures 15-22'!K49</f>
        <v>23076</v>
      </c>
      <c r="C1120" s="2" t="s">
        <v>594</v>
      </c>
      <c r="D1120" s="2" t="str">
        <f t="shared" si="16"/>
        <v>Error?</v>
      </c>
    </row>
    <row r="1121" spans="1:4" x14ac:dyDescent="0.2">
      <c r="A1121" s="5">
        <v>1060</v>
      </c>
      <c r="B1121" s="138">
        <f>'Expenditures 15-22'!K50</f>
        <v>45302</v>
      </c>
      <c r="C1121" s="2" t="s">
        <v>594</v>
      </c>
      <c r="D1121" s="2" t="str">
        <f t="shared" si="16"/>
        <v>Error?</v>
      </c>
    </row>
    <row r="1122" spans="1:4" x14ac:dyDescent="0.2">
      <c r="A1122" s="5">
        <v>1061</v>
      </c>
      <c r="B1122" s="138">
        <f>'Expenditures 15-22'!K53</f>
        <v>68378</v>
      </c>
      <c r="C1122" s="2" t="s">
        <v>594</v>
      </c>
      <c r="D1122" s="2" t="str">
        <f t="shared" si="16"/>
        <v>Error?</v>
      </c>
    </row>
    <row r="1123" spans="1:4" x14ac:dyDescent="0.2">
      <c r="A1123" s="5">
        <v>1062</v>
      </c>
      <c r="B1123" s="138">
        <f>'Expenditures 15-22'!K55</f>
        <v>138360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138360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63643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100602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164245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53197</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53197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434795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110919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1533900</v>
      </c>
      <c r="C1152" s="2" t="s">
        <v>594</v>
      </c>
      <c r="D1152" s="2" t="str">
        <f t="shared" si="17"/>
        <v>Error?</v>
      </c>
    </row>
    <row r="1153" spans="1:4" x14ac:dyDescent="0.2">
      <c r="A1153" s="5">
        <v>1092</v>
      </c>
      <c r="B1153" s="138">
        <f>'Expenditures 15-22'!K115</f>
        <v>309818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123410</v>
      </c>
      <c r="D1221" s="2" t="str">
        <f t="shared" si="18"/>
        <v>Error?</v>
      </c>
    </row>
    <row r="1222" spans="1:4" x14ac:dyDescent="0.2">
      <c r="A1222" s="10">
        <v>1161</v>
      </c>
      <c r="D1222" s="2" t="str">
        <f t="shared" si="18"/>
        <v>OK</v>
      </c>
    </row>
    <row r="1223" spans="1:4" x14ac:dyDescent="0.2">
      <c r="A1223" s="5">
        <v>1162</v>
      </c>
      <c r="B1223" s="138">
        <f>'Expenditures 15-22'!C127</f>
        <v>123410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123410</v>
      </c>
      <c r="C1225" s="2" t="s">
        <v>594</v>
      </c>
      <c r="D1225" s="2" t="str">
        <f t="shared" si="18"/>
        <v>Error?</v>
      </c>
    </row>
    <row r="1226" spans="1:4" x14ac:dyDescent="0.2">
      <c r="A1226" s="5">
        <v>1165</v>
      </c>
      <c r="B1226" s="138">
        <f>'Expenditures 15-22'!C151</f>
        <v>123410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15893</v>
      </c>
      <c r="D1229" s="2" t="str">
        <f t="shared" si="18"/>
        <v>Error?</v>
      </c>
    </row>
    <row r="1230" spans="1:4" x14ac:dyDescent="0.2">
      <c r="A1230" s="10">
        <v>1169</v>
      </c>
      <c r="D1230" s="2" t="str">
        <f t="shared" si="18"/>
        <v>OK</v>
      </c>
    </row>
    <row r="1231" spans="1:4" x14ac:dyDescent="0.2">
      <c r="A1231" s="5">
        <v>1170</v>
      </c>
      <c r="B1231" s="138">
        <f>'Expenditures 15-22'!D127</f>
        <v>15893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15893</v>
      </c>
      <c r="C1233" s="2" t="s">
        <v>594</v>
      </c>
      <c r="D1233" s="2" t="str">
        <f t="shared" si="18"/>
        <v>Error?</v>
      </c>
    </row>
    <row r="1234" spans="1:4" x14ac:dyDescent="0.2">
      <c r="A1234" s="5">
        <v>1173</v>
      </c>
      <c r="B1234" s="138">
        <f>'Expenditures 15-22'!D151</f>
        <v>15893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69746</v>
      </c>
      <c r="D1237" s="2" t="str">
        <f t="shared" si="18"/>
        <v>Error?</v>
      </c>
    </row>
    <row r="1238" spans="1:4" x14ac:dyDescent="0.2">
      <c r="A1238" s="10">
        <v>1177</v>
      </c>
      <c r="D1238" s="2" t="str">
        <f t="shared" si="18"/>
        <v>OK</v>
      </c>
    </row>
    <row r="1239" spans="1:4" x14ac:dyDescent="0.2">
      <c r="A1239" s="5">
        <v>1178</v>
      </c>
      <c r="B1239" s="138">
        <f>'Expenditures 15-22'!E127</f>
        <v>69746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69746</v>
      </c>
      <c r="C1241" s="2" t="s">
        <v>594</v>
      </c>
      <c r="D1241" s="2" t="str">
        <f t="shared" si="18"/>
        <v>Error?</v>
      </c>
    </row>
    <row r="1242" spans="1:4" x14ac:dyDescent="0.2">
      <c r="A1242" s="5">
        <v>1181</v>
      </c>
      <c r="B1242" s="138">
        <f>'Expenditures 15-22'!E151</f>
        <v>69746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57490</v>
      </c>
      <c r="D1245" s="2" t="str">
        <f t="shared" si="18"/>
        <v>Error?</v>
      </c>
    </row>
    <row r="1246" spans="1:4" x14ac:dyDescent="0.2">
      <c r="A1246" s="10">
        <v>1185</v>
      </c>
      <c r="D1246" s="2" t="str">
        <f t="shared" si="18"/>
        <v>OK</v>
      </c>
    </row>
    <row r="1247" spans="1:4" x14ac:dyDescent="0.2">
      <c r="A1247" s="5">
        <v>1186</v>
      </c>
      <c r="B1247" s="138">
        <f>'Expenditures 15-22'!F127</f>
        <v>57490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57490</v>
      </c>
      <c r="C1249" s="2" t="s">
        <v>594</v>
      </c>
      <c r="D1249" s="2" t="str">
        <f t="shared" si="18"/>
        <v>Error?</v>
      </c>
    </row>
    <row r="1250" spans="1:4" x14ac:dyDescent="0.2">
      <c r="A1250" s="5">
        <v>1189</v>
      </c>
      <c r="B1250" s="138">
        <f>'Expenditures 15-22'!F151</f>
        <v>57490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18500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18500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18500</v>
      </c>
      <c r="C1258" s="2" t="s">
        <v>594</v>
      </c>
      <c r="D1258" s="2" t="str">
        <f t="shared" si="18"/>
        <v>Error?</v>
      </c>
    </row>
    <row r="1259" spans="1:4" x14ac:dyDescent="0.2">
      <c r="A1259" s="5">
        <v>1198</v>
      </c>
      <c r="B1259" s="138">
        <f>'Expenditures 15-22'!G151</f>
        <v>18500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285039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285039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285039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285039</v>
      </c>
      <c r="C1288" s="2" t="s">
        <v>594</v>
      </c>
      <c r="D1288" s="2" t="str">
        <f t="shared" si="19"/>
        <v>Error?</v>
      </c>
    </row>
    <row r="1289" spans="1:4" x14ac:dyDescent="0.2">
      <c r="A1289" s="5">
        <v>1228</v>
      </c>
      <c r="B1289" s="138">
        <f>'Expenditures 15-22'!K152</f>
        <v>-30799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30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97348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97348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97348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12361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12361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12361</v>
      </c>
      <c r="C1376" s="2" t="s">
        <v>594</v>
      </c>
      <c r="D1376" s="2" t="str">
        <f t="shared" si="20"/>
        <v>Error?</v>
      </c>
    </row>
    <row r="1377" spans="1:4" x14ac:dyDescent="0.2">
      <c r="A1377" s="5">
        <v>1316</v>
      </c>
      <c r="B1377" s="138">
        <f>'Expenditures 15-22'!K182</f>
        <v>109709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109709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109709</v>
      </c>
      <c r="C1388" s="2" t="s">
        <v>594</v>
      </c>
      <c r="D1388" s="2" t="str">
        <f t="shared" si="20"/>
        <v>Error?</v>
      </c>
    </row>
    <row r="1389" spans="1:4" x14ac:dyDescent="0.2">
      <c r="A1389" s="5">
        <v>1328</v>
      </c>
      <c r="B1389" s="138">
        <f>'Expenditures 15-22'!K211</f>
        <v>-1419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613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25996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41</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v>
      </c>
      <c r="C1421" s="2" t="s">
        <v>594</v>
      </c>
      <c r="D1421" s="2" t="str">
        <f t="shared" si="21"/>
        <v>Error?</v>
      </c>
    </row>
    <row r="1422" spans="1:4" x14ac:dyDescent="0.2">
      <c r="A1422" s="5">
        <v>1361</v>
      </c>
      <c r="B1422" s="138">
        <f>'Expenditures 15-22'!D245</f>
        <v>44</v>
      </c>
      <c r="D1422" s="2" t="str">
        <f t="shared" si="21"/>
        <v>Error?</v>
      </c>
    </row>
    <row r="1423" spans="1:4" x14ac:dyDescent="0.2">
      <c r="A1423" s="5">
        <v>1362</v>
      </c>
      <c r="B1423" s="138">
        <f>'Expenditures 15-22'!D246</f>
        <v>279</v>
      </c>
      <c r="D1423" s="2" t="str">
        <f t="shared" si="21"/>
        <v>Error?</v>
      </c>
    </row>
    <row r="1424" spans="1:4" x14ac:dyDescent="0.2">
      <c r="A1424" s="5">
        <v>1363</v>
      </c>
      <c r="B1424" s="138">
        <f>'Expenditures 15-22'!D257</f>
        <v>323</v>
      </c>
      <c r="C1424" s="2" t="s">
        <v>594</v>
      </c>
      <c r="D1424" s="2" t="str">
        <f t="shared" si="21"/>
        <v>Error?</v>
      </c>
    </row>
    <row r="1425" spans="1:4" x14ac:dyDescent="0.2">
      <c r="A1425" s="5">
        <v>1364</v>
      </c>
      <c r="B1425" s="138">
        <f>'Expenditures 15-22'!D259</f>
        <v>6060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6060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5188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19482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6750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31420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37844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63840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613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25996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41</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41</v>
      </c>
      <c r="C1485" s="2" t="s">
        <v>594</v>
      </c>
      <c r="D1485" s="2" t="str">
        <f t="shared" si="22"/>
        <v>Error?</v>
      </c>
    </row>
    <row r="1486" spans="1:4" x14ac:dyDescent="0.2">
      <c r="A1486" s="5">
        <v>1425</v>
      </c>
      <c r="B1486" s="138">
        <f>'Expenditures 15-22'!K245</f>
        <v>44</v>
      </c>
      <c r="C1486" s="2" t="s">
        <v>594</v>
      </c>
      <c r="D1486" s="2" t="str">
        <f t="shared" si="22"/>
        <v>Error?</v>
      </c>
    </row>
    <row r="1487" spans="1:4" x14ac:dyDescent="0.2">
      <c r="A1487" s="5">
        <v>1426</v>
      </c>
      <c r="B1487" s="138">
        <f>'Expenditures 15-22'!K246</f>
        <v>279</v>
      </c>
      <c r="C1487" s="2" t="s">
        <v>594</v>
      </c>
      <c r="D1487" s="2" t="str">
        <f t="shared" si="22"/>
        <v>Error?</v>
      </c>
    </row>
    <row r="1488" spans="1:4" x14ac:dyDescent="0.2">
      <c r="A1488" s="5">
        <v>1427</v>
      </c>
      <c r="B1488" s="138">
        <f>'Expenditures 15-22'!K257</f>
        <v>323</v>
      </c>
      <c r="C1488" s="2" t="s">
        <v>594</v>
      </c>
      <c r="D1488" s="2" t="str">
        <f t="shared" si="22"/>
        <v>Error?</v>
      </c>
    </row>
    <row r="1489" spans="1:4" x14ac:dyDescent="0.2">
      <c r="A1489" s="5">
        <v>1428</v>
      </c>
      <c r="B1489" s="138">
        <f>'Expenditures 15-22'!K259</f>
        <v>6060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6060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5188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19482</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6750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31420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37844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63840</v>
      </c>
      <c r="C1517" s="2" t="s">
        <v>594</v>
      </c>
      <c r="D1517" s="2" t="str">
        <f t="shared" si="22"/>
        <v>Error?</v>
      </c>
    </row>
    <row r="1518" spans="1:4" x14ac:dyDescent="0.2">
      <c r="A1518" s="5">
        <v>1457</v>
      </c>
      <c r="B1518" s="138">
        <f>'Expenditures 15-22'!K296</f>
        <v>44403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731643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1041461</v>
      </c>
      <c r="C1630" s="2" t="s">
        <v>594</v>
      </c>
      <c r="D1630" s="2" t="str">
        <f t="shared" si="24"/>
        <v>Error?</v>
      </c>
    </row>
    <row r="1631" spans="1:4" x14ac:dyDescent="0.2">
      <c r="A1631" s="5">
        <v>1570</v>
      </c>
      <c r="B1631" s="138">
        <f>'Acct Summary 7-8'!D79</f>
        <v>24210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-6589</v>
      </c>
      <c r="C1644" s="2" t="s">
        <v>594</v>
      </c>
      <c r="D1644" s="2" t="str">
        <f t="shared" si="24"/>
        <v>Error?</v>
      </c>
    </row>
    <row r="1645" spans="1:4" x14ac:dyDescent="0.2">
      <c r="A1645" s="5">
        <v>1584</v>
      </c>
      <c r="B1645" s="138">
        <f>'Acct Summary 7-8'!E79</f>
        <v>7763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112559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111140</v>
      </c>
      <c r="C1672" s="2" t="s">
        <v>594</v>
      </c>
      <c r="D1672" s="2" t="str">
        <f t="shared" si="25"/>
        <v>Error?</v>
      </c>
    </row>
    <row r="1673" spans="1:4" x14ac:dyDescent="0.2">
      <c r="A1673" s="5">
        <v>1612</v>
      </c>
      <c r="B1673" s="138">
        <f>'Acct Summary 7-8'!G79</f>
        <v>54842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99245</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744517</v>
      </c>
      <c r="C1744" s="2" t="s">
        <v>594</v>
      </c>
      <c r="D1744" s="2" t="str">
        <f t="shared" si="26"/>
        <v>Error?</v>
      </c>
    </row>
    <row r="1745" spans="1:5" x14ac:dyDescent="0.2">
      <c r="A1745" s="5">
        <v>1684</v>
      </c>
      <c r="B1745" s="138">
        <f>'Tax Sched 23'!B5</f>
        <v>133585</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42747</v>
      </c>
      <c r="C1747" s="2" t="s">
        <v>594</v>
      </c>
      <c r="D1747" s="2" t="str">
        <f t="shared" si="26"/>
        <v>Error?</v>
      </c>
    </row>
    <row r="1748" spans="1:5" x14ac:dyDescent="0.2">
      <c r="A1748" s="5">
        <v>1687</v>
      </c>
      <c r="B1748" s="138">
        <f>'Tax Sched 23'!B8</f>
        <v>54442</v>
      </c>
      <c r="C1748" s="2" t="s">
        <v>594</v>
      </c>
      <c r="D1748" s="2" t="str">
        <f t="shared" si="26"/>
        <v>Error?</v>
      </c>
    </row>
    <row r="1749" spans="1:5" x14ac:dyDescent="0.2">
      <c r="A1749" s="5">
        <v>1688</v>
      </c>
      <c r="B1749" s="138">
        <f>'Tax Sched 23'!B10</f>
        <v>17812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64930</v>
      </c>
      <c r="C1752" s="2" t="s">
        <v>594</v>
      </c>
      <c r="D1752" s="2" t="str">
        <f t="shared" si="26"/>
        <v>Error?</v>
      </c>
    </row>
    <row r="1753" spans="1:5" x14ac:dyDescent="0.2">
      <c r="A1753" s="5">
        <v>1692</v>
      </c>
      <c r="B1753" s="138">
        <f>'Tax Sched 23'!B12</f>
        <v>17812</v>
      </c>
      <c r="C1753" s="2" t="s">
        <v>594</v>
      </c>
      <c r="D1753" s="2" t="str">
        <f t="shared" si="26"/>
        <v>Error?</v>
      </c>
    </row>
    <row r="1754" spans="1:5" x14ac:dyDescent="0.2">
      <c r="A1754" s="5">
        <v>1693</v>
      </c>
      <c r="B1754" s="138">
        <f>'Tax Sched 23'!B14</f>
        <v>7124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1153973</v>
      </c>
      <c r="C1759" s="2" t="s">
        <v>594</v>
      </c>
      <c r="D1759" s="2" t="str">
        <f t="shared" si="26"/>
        <v>Error?</v>
      </c>
    </row>
    <row r="1760" spans="1:5" x14ac:dyDescent="0.2">
      <c r="A1760" s="5">
        <v>1699</v>
      </c>
      <c r="B1760" s="138">
        <f>'Tax Sched 23'!D4</f>
        <v>744517</v>
      </c>
      <c r="C1760" s="2" t="s">
        <v>594</v>
      </c>
      <c r="D1760" s="2" t="str">
        <f t="shared" si="26"/>
        <v>Error?</v>
      </c>
    </row>
    <row r="1761" spans="1:5" x14ac:dyDescent="0.2">
      <c r="A1761" s="5">
        <v>1700</v>
      </c>
      <c r="B1761" s="138">
        <f>'Tax Sched 23'!D5</f>
        <v>133585</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42747</v>
      </c>
      <c r="C1763" s="2" t="s">
        <v>594</v>
      </c>
      <c r="D1763" s="2" t="str">
        <f t="shared" si="26"/>
        <v>Error?</v>
      </c>
    </row>
    <row r="1764" spans="1:5" x14ac:dyDescent="0.2">
      <c r="A1764" s="5">
        <v>1703</v>
      </c>
      <c r="B1764" s="138">
        <f>'Tax Sched 23'!D8</f>
        <v>54442</v>
      </c>
      <c r="C1764" s="2" t="s">
        <v>594</v>
      </c>
      <c r="D1764" s="2" t="str">
        <f t="shared" si="26"/>
        <v>Error?</v>
      </c>
    </row>
    <row r="1765" spans="1:5" x14ac:dyDescent="0.2">
      <c r="A1765" s="5">
        <v>1704</v>
      </c>
      <c r="B1765" s="138">
        <f>'Tax Sched 23'!D10</f>
        <v>17812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64930</v>
      </c>
      <c r="C1768" s="2" t="s">
        <v>594</v>
      </c>
      <c r="D1768" s="2" t="str">
        <f t="shared" si="26"/>
        <v>Error?</v>
      </c>
    </row>
    <row r="1769" spans="1:5" x14ac:dyDescent="0.2">
      <c r="A1769" s="5">
        <v>1708</v>
      </c>
      <c r="B1769" s="138">
        <f>'Tax Sched 23'!D12</f>
        <v>17812</v>
      </c>
      <c r="C1769" s="2" t="s">
        <v>594</v>
      </c>
      <c r="D1769" s="2" t="str">
        <f t="shared" si="26"/>
        <v>Error?</v>
      </c>
    </row>
    <row r="1770" spans="1:5" x14ac:dyDescent="0.2">
      <c r="A1770" s="5">
        <v>1709</v>
      </c>
      <c r="B1770" s="138">
        <f>'Tax Sched 23'!D14</f>
        <v>7124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1153973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787621</v>
      </c>
      <c r="C1792" s="2" t="s">
        <v>594</v>
      </c>
      <c r="D1792" s="2" t="str">
        <f t="shared" si="27"/>
        <v>Error?</v>
      </c>
    </row>
    <row r="1793" spans="1:4" x14ac:dyDescent="0.2">
      <c r="A1793" s="5">
        <v>1732</v>
      </c>
      <c r="B1793" s="138">
        <f>'Tax Sched 23'!F5</f>
        <v>141003</v>
      </c>
      <c r="C1793" s="2" t="s">
        <v>594</v>
      </c>
      <c r="D1793" s="2" t="str">
        <f t="shared" si="27"/>
        <v>Error?</v>
      </c>
    </row>
    <row r="1794" spans="1:4" x14ac:dyDescent="0.2">
      <c r="A1794" s="5">
        <v>1733</v>
      </c>
      <c r="B1794" s="138">
        <f>'Tax Sched 23'!F6</f>
        <v>68919</v>
      </c>
      <c r="C1794" s="2" t="s">
        <v>594</v>
      </c>
      <c r="D1794" s="2" t="str">
        <f t="shared" si="27"/>
        <v>Error?</v>
      </c>
    </row>
    <row r="1795" spans="1:4" x14ac:dyDescent="0.2">
      <c r="A1795" s="5">
        <v>1734</v>
      </c>
      <c r="B1795" s="138">
        <f>'Tax Sched 23'!F7</f>
        <v>35002</v>
      </c>
      <c r="C1795" s="2" t="s">
        <v>594</v>
      </c>
      <c r="D1795" s="2" t="str">
        <f t="shared" si="27"/>
        <v>Error?</v>
      </c>
    </row>
    <row r="1796" spans="1:4" x14ac:dyDescent="0.2">
      <c r="A1796" s="5">
        <v>1735</v>
      </c>
      <c r="B1796" s="138">
        <f>'Tax Sched 23'!F8</f>
        <v>40003</v>
      </c>
      <c r="C1796" s="2" t="s">
        <v>594</v>
      </c>
      <c r="D1796" s="2" t="str">
        <f t="shared" si="27"/>
        <v>Error?</v>
      </c>
    </row>
    <row r="1797" spans="1:4" x14ac:dyDescent="0.2">
      <c r="A1797" s="5">
        <v>1736</v>
      </c>
      <c r="B1797" s="138">
        <f>'Tax Sched 23'!F10</f>
        <v>18503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103503</v>
      </c>
      <c r="C1800" s="2" t="s">
        <v>594</v>
      </c>
      <c r="D1800" s="2" t="str">
        <f t="shared" si="27"/>
        <v>Error?</v>
      </c>
    </row>
    <row r="1801" spans="1:4" x14ac:dyDescent="0.2">
      <c r="A1801" s="5">
        <v>1740</v>
      </c>
      <c r="B1801" s="138">
        <f>'Tax Sched 23'!F12</f>
        <v>18503</v>
      </c>
      <c r="C1801" s="2" t="s">
        <v>594</v>
      </c>
      <c r="D1801" s="2" t="str">
        <f t="shared" si="27"/>
        <v>Error?</v>
      </c>
    </row>
    <row r="1802" spans="1:4" x14ac:dyDescent="0.2">
      <c r="A1802" s="5">
        <v>1741</v>
      </c>
      <c r="B1802" s="138">
        <f>'Tax Sched 23'!F14</f>
        <v>7503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1279066</v>
      </c>
      <c r="C1807" s="2" t="s">
        <v>594</v>
      </c>
      <c r="D1807" s="2" t="str">
        <f t="shared" si="27"/>
        <v>Error?</v>
      </c>
    </row>
    <row r="1808" spans="1:4" x14ac:dyDescent="0.2">
      <c r="A1808" s="5">
        <v>1747</v>
      </c>
      <c r="B1808" s="138">
        <f>'Tax Sched 23'!E4</f>
        <v>787621</v>
      </c>
      <c r="D1808" s="2" t="str">
        <f t="shared" si="27"/>
        <v>Error?</v>
      </c>
    </row>
    <row r="1809" spans="1:4" x14ac:dyDescent="0.2">
      <c r="A1809" s="5">
        <v>1748</v>
      </c>
      <c r="B1809" s="138">
        <f>'Tax Sched 23'!E5</f>
        <v>141003</v>
      </c>
      <c r="D1809" s="2" t="str">
        <f t="shared" si="27"/>
        <v>Error?</v>
      </c>
    </row>
    <row r="1810" spans="1:4" x14ac:dyDescent="0.2">
      <c r="A1810" s="5">
        <v>1749</v>
      </c>
      <c r="B1810" s="138">
        <f>'Tax Sched 23'!E6</f>
        <v>68919</v>
      </c>
      <c r="D1810" s="2" t="str">
        <f t="shared" si="27"/>
        <v>Error?</v>
      </c>
    </row>
    <row r="1811" spans="1:4" x14ac:dyDescent="0.2">
      <c r="A1811" s="5">
        <v>1750</v>
      </c>
      <c r="B1811" s="138">
        <f>'Tax Sched 23'!E7</f>
        <v>35002</v>
      </c>
      <c r="D1811" s="2" t="str">
        <f t="shared" si="27"/>
        <v>Error?</v>
      </c>
    </row>
    <row r="1812" spans="1:4" x14ac:dyDescent="0.2">
      <c r="A1812" s="5">
        <v>1751</v>
      </c>
      <c r="B1812" s="138">
        <f>'Tax Sched 23'!E8</f>
        <v>40003</v>
      </c>
      <c r="D1812" s="2" t="str">
        <f t="shared" si="27"/>
        <v>Error?</v>
      </c>
    </row>
    <row r="1813" spans="1:4" x14ac:dyDescent="0.2">
      <c r="A1813" s="5">
        <v>1752</v>
      </c>
      <c r="B1813" s="138">
        <f>'Tax Sched 23'!E10</f>
        <v>18503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103503</v>
      </c>
      <c r="D1816" s="2" t="str">
        <f t="shared" si="27"/>
        <v>Error?</v>
      </c>
    </row>
    <row r="1817" spans="1:4" x14ac:dyDescent="0.2">
      <c r="A1817" s="5">
        <v>1756</v>
      </c>
      <c r="B1817" s="138">
        <f>'Tax Sched 23'!E12</f>
        <v>18503</v>
      </c>
      <c r="D1817" s="2" t="str">
        <f t="shared" si="27"/>
        <v>Error?</v>
      </c>
    </row>
    <row r="1818" spans="1:4" x14ac:dyDescent="0.2">
      <c r="A1818" s="5">
        <v>1757</v>
      </c>
      <c r="B1818" s="138">
        <f>'Tax Sched 23'!E14</f>
        <v>7503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1279066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300000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7124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7124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7124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v>
      </c>
      <c r="D2008" s="2" t="str">
        <f t="shared" si="30"/>
        <v>Error?</v>
      </c>
    </row>
    <row r="2009" spans="1:4" x14ac:dyDescent="0.2">
      <c r="A2009" s="5">
        <v>1948</v>
      </c>
      <c r="B2009" s="138">
        <f>'Cap Outlay Deprec 26'!C8</f>
        <v>1278485</v>
      </c>
      <c r="D2009" s="2" t="str">
        <f t="shared" si="30"/>
        <v>Error?</v>
      </c>
    </row>
    <row r="2010" spans="1:4" x14ac:dyDescent="0.2">
      <c r="A2010" s="5">
        <v>1949</v>
      </c>
      <c r="B2010" s="138">
        <f>'Cap Outlay Deprec 26'!C10</f>
        <v>110667</v>
      </c>
      <c r="D2010" s="2" t="str">
        <f t="shared" si="30"/>
        <v>Error?</v>
      </c>
    </row>
    <row r="2011" spans="1:4" x14ac:dyDescent="0.2">
      <c r="A2011" s="5">
        <v>1950</v>
      </c>
      <c r="B2011" s="138">
        <f>'Cap Outlay Deprec 26'!C12</f>
        <v>317891</v>
      </c>
      <c r="D2011" s="2" t="str">
        <f t="shared" si="30"/>
        <v>Error?</v>
      </c>
    </row>
    <row r="2012" spans="1:4" x14ac:dyDescent="0.2">
      <c r="A2012" s="5">
        <v>1951</v>
      </c>
      <c r="B2012" s="138">
        <f>'Cap Outlay Deprec 26'!C13</f>
        <v>487968</v>
      </c>
      <c r="D2012" s="2" t="str">
        <f t="shared" si="30"/>
        <v>Error?</v>
      </c>
    </row>
    <row r="2013" spans="1:4" x14ac:dyDescent="0.2">
      <c r="A2013" s="5">
        <v>1952</v>
      </c>
      <c r="B2013" s="138">
        <f>'Cap Outlay Deprec 26'!C16</f>
        <v>2195111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67016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18500</v>
      </c>
      <c r="D2017" s="2" t="str">
        <f t="shared" si="30"/>
        <v>Error?</v>
      </c>
    </row>
    <row r="2018" spans="1:4" x14ac:dyDescent="0.2">
      <c r="A2018" s="5">
        <v>1957</v>
      </c>
      <c r="B2018" s="138">
        <f>'Cap Outlay Deprec 26'!D13</f>
        <v>12224</v>
      </c>
      <c r="D2018" s="2" t="str">
        <f t="shared" si="30"/>
        <v>Error?</v>
      </c>
    </row>
    <row r="2019" spans="1:4" x14ac:dyDescent="0.2">
      <c r="A2019" s="5">
        <v>1958</v>
      </c>
      <c r="B2019" s="138">
        <f>'Cap Outlay Deprec 26'!D16</f>
        <v>97740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100</v>
      </c>
      <c r="C2026" s="2" t="s">
        <v>594</v>
      </c>
      <c r="D2026" s="2" t="str">
        <f t="shared" si="30"/>
        <v>Error?</v>
      </c>
    </row>
    <row r="2027" spans="1:4" x14ac:dyDescent="0.2">
      <c r="A2027" s="5">
        <v>1966</v>
      </c>
      <c r="B2027" s="138">
        <f>'Cap Outlay Deprec 26'!F8</f>
        <v>1345501</v>
      </c>
      <c r="C2027" s="2" t="s">
        <v>594</v>
      </c>
      <c r="D2027" s="2" t="str">
        <f t="shared" si="30"/>
        <v>Error?</v>
      </c>
    </row>
    <row r="2028" spans="1:4" x14ac:dyDescent="0.2">
      <c r="A2028" s="5">
        <v>1967</v>
      </c>
      <c r="B2028" s="138">
        <f>'Cap Outlay Deprec 26'!F10</f>
        <v>110667</v>
      </c>
      <c r="C2028" s="2" t="s">
        <v>594</v>
      </c>
      <c r="D2028" s="2" t="str">
        <f t="shared" si="30"/>
        <v>Error?</v>
      </c>
    </row>
    <row r="2029" spans="1:4" x14ac:dyDescent="0.2">
      <c r="A2029" s="5">
        <v>1968</v>
      </c>
      <c r="B2029" s="138">
        <f>'Cap Outlay Deprec 26'!F12</f>
        <v>336391</v>
      </c>
      <c r="C2029" s="2" t="s">
        <v>594</v>
      </c>
      <c r="D2029" s="2" t="str">
        <f t="shared" si="30"/>
        <v>Error?</v>
      </c>
    </row>
    <row r="2030" spans="1:4" x14ac:dyDescent="0.2">
      <c r="A2030" s="5">
        <v>1969</v>
      </c>
      <c r="B2030" s="138">
        <f>'Cap Outlay Deprec 26'!F13</f>
        <v>500192</v>
      </c>
      <c r="C2030" s="2" t="s">
        <v>594</v>
      </c>
      <c r="D2030" s="2" t="str">
        <f t="shared" si="30"/>
        <v>Error?</v>
      </c>
    </row>
    <row r="2031" spans="1:4" x14ac:dyDescent="0.2">
      <c r="A2031" s="5">
        <v>1970</v>
      </c>
      <c r="B2031" s="138">
        <f>'Cap Outlay Deprec 26'!F16</f>
        <v>2292851</v>
      </c>
      <c r="C2031" s="2" t="s">
        <v>594</v>
      </c>
      <c r="D2031" s="2" t="str">
        <f t="shared" si="30"/>
        <v>Error?</v>
      </c>
    </row>
    <row r="2032" spans="1:4" x14ac:dyDescent="0.2">
      <c r="A2032" s="10">
        <v>1971</v>
      </c>
      <c r="D2032" s="2" t="str">
        <f t="shared" si="30"/>
        <v>OK</v>
      </c>
    </row>
    <row r="2033" spans="1:4" x14ac:dyDescent="0.2">
      <c r="A2033" s="5">
        <v>1972</v>
      </c>
      <c r="B2033" s="138">
        <f>'Cap Outlay Deprec 26'!H8</f>
        <v>904398</v>
      </c>
      <c r="D2033" s="2" t="str">
        <f t="shared" si="30"/>
        <v>Error?</v>
      </c>
    </row>
    <row r="2034" spans="1:4" x14ac:dyDescent="0.2">
      <c r="A2034" s="5">
        <v>1973</v>
      </c>
      <c r="B2034" s="138">
        <f>'Cap Outlay Deprec 26'!H10</f>
        <v>58360</v>
      </c>
      <c r="D2034" s="2" t="str">
        <f t="shared" si="30"/>
        <v>Error?</v>
      </c>
    </row>
    <row r="2035" spans="1:4" x14ac:dyDescent="0.2">
      <c r="A2035" s="5">
        <v>1974</v>
      </c>
      <c r="B2035" s="138">
        <f>'Cap Outlay Deprec 26'!H12</f>
        <v>245664</v>
      </c>
      <c r="D2035" s="2" t="str">
        <f t="shared" si="30"/>
        <v>Error?</v>
      </c>
    </row>
    <row r="2036" spans="1:4" x14ac:dyDescent="0.2">
      <c r="A2036" s="5">
        <v>1975</v>
      </c>
      <c r="B2036" s="138">
        <f>'Cap Outlay Deprec 26'!H13</f>
        <v>459786</v>
      </c>
      <c r="D2036" s="2" t="str">
        <f t="shared" si="30"/>
        <v>Error?</v>
      </c>
    </row>
    <row r="2037" spans="1:4" x14ac:dyDescent="0.2">
      <c r="A2037" s="5">
        <v>1976</v>
      </c>
      <c r="B2037" s="138">
        <f>'Cap Outlay Deprec 26'!H16</f>
        <v>1668208</v>
      </c>
      <c r="C2037" s="2" t="s">
        <v>594</v>
      </c>
      <c r="D2037" s="2" t="str">
        <f t="shared" si="30"/>
        <v>Error?</v>
      </c>
    </row>
    <row r="2038" spans="1:4" x14ac:dyDescent="0.2">
      <c r="A2038" s="10">
        <v>1977</v>
      </c>
      <c r="D2038" s="2" t="str">
        <f t="shared" si="30"/>
        <v>OK</v>
      </c>
    </row>
    <row r="2039" spans="1:4" x14ac:dyDescent="0.2">
      <c r="A2039" s="5">
        <v>1978</v>
      </c>
      <c r="B2039" s="138">
        <f>'Cap Outlay Deprec 26'!I8</f>
        <v>16075</v>
      </c>
      <c r="D2039" s="2" t="str">
        <f t="shared" si="30"/>
        <v>Error?</v>
      </c>
    </row>
    <row r="2040" spans="1:4" x14ac:dyDescent="0.2">
      <c r="A2040" s="5">
        <v>1979</v>
      </c>
      <c r="B2040" s="138">
        <f>'Cap Outlay Deprec 26'!I10</f>
        <v>5480</v>
      </c>
      <c r="D2040" s="2" t="str">
        <f t="shared" si="30"/>
        <v>Error?</v>
      </c>
    </row>
    <row r="2041" spans="1:4" x14ac:dyDescent="0.2">
      <c r="A2041" s="5">
        <v>1980</v>
      </c>
      <c r="B2041" s="138">
        <f>'Cap Outlay Deprec 26'!I12</f>
        <v>9985</v>
      </c>
      <c r="D2041" s="2" t="str">
        <f t="shared" si="30"/>
        <v>Error?</v>
      </c>
    </row>
    <row r="2042" spans="1:4" x14ac:dyDescent="0.2">
      <c r="A2042" s="5">
        <v>1981</v>
      </c>
      <c r="B2042" s="138">
        <f>'Cap Outlay Deprec 26'!I13</f>
        <v>11504</v>
      </c>
      <c r="D2042" s="2" t="str">
        <f t="shared" si="30"/>
        <v>Error?</v>
      </c>
    </row>
    <row r="2043" spans="1:4" x14ac:dyDescent="0.2">
      <c r="A2043" s="5">
        <v>1982</v>
      </c>
      <c r="B2043" s="138">
        <f>'Cap Outlay Deprec 26'!I16</f>
        <v>43044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920473</v>
      </c>
      <c r="C2051" s="2" t="s">
        <v>594</v>
      </c>
      <c r="D2051" s="2" t="str">
        <f t="shared" si="31"/>
        <v>Error?</v>
      </c>
    </row>
    <row r="2052" spans="1:4" x14ac:dyDescent="0.2">
      <c r="A2052" s="5">
        <v>1991</v>
      </c>
      <c r="B2052" s="138">
        <f>'Cap Outlay Deprec 26'!K10</f>
        <v>63840</v>
      </c>
      <c r="C2052" s="2" t="s">
        <v>594</v>
      </c>
      <c r="D2052" s="2" t="str">
        <f t="shared" si="31"/>
        <v>Error?</v>
      </c>
    </row>
    <row r="2053" spans="1:4" x14ac:dyDescent="0.2">
      <c r="A2053" s="5">
        <v>1992</v>
      </c>
      <c r="B2053" s="138">
        <f>'Cap Outlay Deprec 26'!K12</f>
        <v>255649</v>
      </c>
      <c r="C2053" s="2" t="s">
        <v>594</v>
      </c>
      <c r="D2053" s="2" t="str">
        <f t="shared" si="31"/>
        <v>Error?</v>
      </c>
    </row>
    <row r="2054" spans="1:4" x14ac:dyDescent="0.2">
      <c r="A2054" s="5">
        <v>1993</v>
      </c>
      <c r="B2054" s="138">
        <f>'Cap Outlay Deprec 26'!K13</f>
        <v>471290</v>
      </c>
      <c r="C2054" s="2" t="s">
        <v>594</v>
      </c>
      <c r="D2054" s="2" t="str">
        <f t="shared" si="31"/>
        <v>Error?</v>
      </c>
    </row>
    <row r="2055" spans="1:4" x14ac:dyDescent="0.2">
      <c r="A2055" s="5">
        <v>1994</v>
      </c>
      <c r="B2055" s="138">
        <f>'Cap Outlay Deprec 26'!K16</f>
        <v>1711252</v>
      </c>
      <c r="C2055" s="2" t="s">
        <v>594</v>
      </c>
      <c r="D2055" s="2" t="str">
        <f t="shared" si="31"/>
        <v>Error?</v>
      </c>
    </row>
    <row r="2056" spans="1:4" x14ac:dyDescent="0.2">
      <c r="A2056" s="5">
        <v>1995</v>
      </c>
      <c r="B2056" s="138">
        <f>'Cap Outlay Deprec 26'!L5</f>
        <v>100</v>
      </c>
      <c r="C2056" s="2" t="s">
        <v>594</v>
      </c>
      <c r="D2056" s="2" t="str">
        <f t="shared" si="31"/>
        <v>Error?</v>
      </c>
    </row>
    <row r="2057" spans="1:4" x14ac:dyDescent="0.2">
      <c r="A2057" s="5">
        <v>1996</v>
      </c>
      <c r="B2057" s="138">
        <f>'Cap Outlay Deprec 26'!L8</f>
        <v>425028</v>
      </c>
      <c r="C2057" s="2" t="s">
        <v>594</v>
      </c>
      <c r="D2057" s="2" t="str">
        <f t="shared" si="31"/>
        <v>Error?</v>
      </c>
    </row>
    <row r="2058" spans="1:4" x14ac:dyDescent="0.2">
      <c r="A2058" s="5">
        <v>1997</v>
      </c>
      <c r="B2058" s="138">
        <f>'Cap Outlay Deprec 26'!L10</f>
        <v>46827</v>
      </c>
      <c r="C2058" s="2" t="s">
        <v>594</v>
      </c>
      <c r="D2058" s="2" t="str">
        <f t="shared" si="31"/>
        <v>Error?</v>
      </c>
    </row>
    <row r="2059" spans="1:4" x14ac:dyDescent="0.2">
      <c r="A2059" s="5">
        <v>1998</v>
      </c>
      <c r="B2059" s="138">
        <f>'Cap Outlay Deprec 26'!L12</f>
        <v>80742</v>
      </c>
      <c r="C2059" s="2" t="s">
        <v>594</v>
      </c>
      <c r="D2059" s="2" t="str">
        <f t="shared" si="31"/>
        <v>Error?</v>
      </c>
    </row>
    <row r="2060" spans="1:4" x14ac:dyDescent="0.2">
      <c r="A2060" s="5">
        <v>1999</v>
      </c>
      <c r="B2060" s="138">
        <f>'Cap Outlay Deprec 26'!L13</f>
        <v>28902</v>
      </c>
      <c r="C2060" s="2" t="s">
        <v>594</v>
      </c>
      <c r="D2060" s="2" t="str">
        <f t="shared" si="31"/>
        <v>Error?</v>
      </c>
    </row>
    <row r="2061" spans="1:4" x14ac:dyDescent="0.2">
      <c r="A2061" s="5">
        <v>2000</v>
      </c>
      <c r="B2061" s="138">
        <f>'Cap Outlay Deprec 26'!L16</f>
        <v>581599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11962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79154</v>
      </c>
      <c r="C2088" s="2" t="s">
        <v>594</v>
      </c>
      <c r="D2088" s="2" t="str">
        <f t="shared" si="31"/>
        <v>Error?</v>
      </c>
    </row>
    <row r="2089" spans="1:4" x14ac:dyDescent="0.2">
      <c r="A2089" s="5">
        <v>2028</v>
      </c>
      <c r="B2089" s="138">
        <f>'Expenditures 15-22'!K92</f>
        <v>31765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40550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26276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1112891</v>
      </c>
      <c r="C2551" s="2" t="s">
        <v>594</v>
      </c>
      <c r="D2551" s="2" t="str">
        <f t="shared" si="38"/>
        <v>Error?</v>
      </c>
    </row>
    <row r="2552" spans="1:4" x14ac:dyDescent="0.2">
      <c r="A2552" s="10">
        <v>2491</v>
      </c>
      <c r="D2552" s="2" t="str">
        <f t="shared" si="38"/>
        <v>OK</v>
      </c>
    </row>
    <row r="2553" spans="1:4" x14ac:dyDescent="0.2">
      <c r="A2553" s="5">
        <v>2492</v>
      </c>
      <c r="B2553" s="138">
        <f>'Acct Summary 7-8'!C6</f>
        <v>560794</v>
      </c>
      <c r="C2553" s="2" t="s">
        <v>594</v>
      </c>
      <c r="D2553" s="2" t="str">
        <f t="shared" si="38"/>
        <v>Error?</v>
      </c>
    </row>
    <row r="2554" spans="1:4" x14ac:dyDescent="0.2">
      <c r="A2554" s="5">
        <v>2493</v>
      </c>
      <c r="B2554" s="138">
        <f>'Acct Summary 7-8'!C7</f>
        <v>170033</v>
      </c>
      <c r="C2554" s="2" t="s">
        <v>594</v>
      </c>
      <c r="D2554" s="2" t="str">
        <f t="shared" si="38"/>
        <v>Error?</v>
      </c>
    </row>
    <row r="2555" spans="1:4" x14ac:dyDescent="0.2">
      <c r="A2555" s="5">
        <v>2494</v>
      </c>
      <c r="B2555" s="138">
        <f>'Acct Summary 7-8'!C8</f>
        <v>1843718</v>
      </c>
      <c r="C2555" s="2" t="s">
        <v>594</v>
      </c>
      <c r="D2555" s="2" t="str">
        <f t="shared" si="38"/>
        <v>Error?</v>
      </c>
    </row>
    <row r="2556" spans="1:4" x14ac:dyDescent="0.2">
      <c r="A2556" s="5">
        <v>2495</v>
      </c>
      <c r="B2556" s="138">
        <f>'Acct Summary 7-8'!C12</f>
        <v>988186</v>
      </c>
      <c r="C2556" s="2" t="s">
        <v>594</v>
      </c>
      <c r="D2556" s="2" t="str">
        <f t="shared" si="38"/>
        <v>Error?</v>
      </c>
    </row>
    <row r="2557" spans="1:4" x14ac:dyDescent="0.2">
      <c r="A2557" s="5">
        <v>2496</v>
      </c>
      <c r="B2557" s="138">
        <f>'Acct Summary 7-8'!C13</f>
        <v>434795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110919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1533900</v>
      </c>
      <c r="C2561" s="2" t="s">
        <v>594</v>
      </c>
      <c r="D2561" s="2" t="str">
        <f t="shared" si="39"/>
        <v>Error?</v>
      </c>
    </row>
    <row r="2562" spans="1:4" x14ac:dyDescent="0.2">
      <c r="A2562" s="5">
        <v>2501</v>
      </c>
      <c r="B2562" s="138">
        <f>'Acct Summary 7-8'!C20</f>
        <v>309818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174221</v>
      </c>
      <c r="C2564" s="2" t="s">
        <v>594</v>
      </c>
      <c r="D2564" s="2" t="str">
        <f t="shared" si="39"/>
        <v>Error?</v>
      </c>
    </row>
    <row r="2565" spans="1:4" x14ac:dyDescent="0.2">
      <c r="A2565" s="10">
        <v>2504</v>
      </c>
      <c r="D2565" s="2" t="str">
        <f t="shared" si="39"/>
        <v>OK</v>
      </c>
    </row>
    <row r="2566" spans="1:4" x14ac:dyDescent="0.2">
      <c r="A2566" s="5">
        <v>2505</v>
      </c>
      <c r="B2566" s="138">
        <f>'Acct Summary 7-8'!D6</f>
        <v>80019</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254240</v>
      </c>
      <c r="C2568" s="2" t="s">
        <v>594</v>
      </c>
      <c r="D2568" s="2" t="str">
        <f t="shared" si="39"/>
        <v>Error?</v>
      </c>
    </row>
    <row r="2569" spans="1:4" x14ac:dyDescent="0.2">
      <c r="A2569" s="5">
        <v>2508</v>
      </c>
      <c r="B2569" s="138">
        <f>'Acct Summary 7-8'!D13</f>
        <v>285039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285039</v>
      </c>
      <c r="C2573" s="2" t="s">
        <v>594</v>
      </c>
      <c r="D2573" s="2" t="str">
        <f t="shared" si="39"/>
        <v>Error?</v>
      </c>
    </row>
    <row r="2574" spans="1:4" x14ac:dyDescent="0.2">
      <c r="A2574" s="5">
        <v>2513</v>
      </c>
      <c r="B2574" s="138">
        <f>'Acct Summary 7-8'!D20</f>
        <v>-30799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43405</v>
      </c>
      <c r="C2591" s="2" t="s">
        <v>594</v>
      </c>
      <c r="D2591" s="2" t="str">
        <f t="shared" si="39"/>
        <v>Error?</v>
      </c>
    </row>
    <row r="2592" spans="1:4" x14ac:dyDescent="0.2">
      <c r="A2592" s="10">
        <v>2531</v>
      </c>
      <c r="D2592" s="2" t="str">
        <f t="shared" si="39"/>
        <v>OK</v>
      </c>
    </row>
    <row r="2593" spans="1:4" x14ac:dyDescent="0.2">
      <c r="A2593" s="5">
        <v>2532</v>
      </c>
      <c r="B2593" s="138">
        <f>'Acct Summary 7-8'!F6</f>
        <v>64885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108290</v>
      </c>
      <c r="C2595" s="2" t="s">
        <v>594</v>
      </c>
      <c r="D2595" s="2" t="str">
        <f t="shared" si="39"/>
        <v>Error?</v>
      </c>
    </row>
    <row r="2596" spans="1:4" x14ac:dyDescent="0.2">
      <c r="A2596" s="5">
        <v>2535</v>
      </c>
      <c r="B2596" s="138">
        <f>'Acct Summary 7-8'!F13</f>
        <v>109709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109709</v>
      </c>
      <c r="C2600" s="2" t="s">
        <v>594</v>
      </c>
      <c r="D2600" s="2" t="str">
        <f t="shared" si="39"/>
        <v>Error?</v>
      </c>
    </row>
    <row r="2601" spans="1:4" x14ac:dyDescent="0.2">
      <c r="A2601" s="5">
        <v>2540</v>
      </c>
      <c r="B2601" s="138">
        <f>'Acct Summary 7-8'!F20</f>
        <v>-1419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108243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108243</v>
      </c>
      <c r="C2606" s="2" t="s">
        <v>594</v>
      </c>
      <c r="D2606" s="2" t="str">
        <f t="shared" si="39"/>
        <v>Error?</v>
      </c>
    </row>
    <row r="2607" spans="1:4" x14ac:dyDescent="0.2">
      <c r="A2607" s="5">
        <v>2546</v>
      </c>
      <c r="B2607" s="138">
        <f>'Acct Summary 7-8'!G12</f>
        <v>25996</v>
      </c>
      <c r="C2607" s="2" t="s">
        <v>594</v>
      </c>
      <c r="D2607" s="2" t="str">
        <f t="shared" si="39"/>
        <v>Error?</v>
      </c>
    </row>
    <row r="2608" spans="1:4" x14ac:dyDescent="0.2">
      <c r="A2608" s="5">
        <v>2547</v>
      </c>
      <c r="B2608" s="138">
        <f>'Acct Summary 7-8'!G13</f>
        <v>37844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63840</v>
      </c>
      <c r="C2612" s="2" t="s">
        <v>594</v>
      </c>
      <c r="D2612" s="2" t="str">
        <f t="shared" si="39"/>
        <v>Error?</v>
      </c>
    </row>
    <row r="2613" spans="1:4" x14ac:dyDescent="0.2">
      <c r="A2613" s="5">
        <v>2552</v>
      </c>
      <c r="B2613" s="138">
        <f>'Acct Summary 7-8'!G20</f>
        <v>44403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30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67192</v>
      </c>
      <c r="C2789" s="2" t="s">
        <v>594</v>
      </c>
      <c r="D2789" s="2" t="str">
        <f t="shared" si="42"/>
        <v>Error?</v>
      </c>
    </row>
    <row r="2790" spans="1:4" x14ac:dyDescent="0.2">
      <c r="A2790" s="5">
        <v>2729</v>
      </c>
      <c r="B2790" s="138">
        <f>'Expenditures 15-22'!E102</f>
        <v>67192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7793</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259303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20247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259303</v>
      </c>
      <c r="D2912" s="2" t="str">
        <f t="shared" si="44"/>
        <v>Error?</v>
      </c>
    </row>
    <row r="2913" spans="1:4" x14ac:dyDescent="0.2">
      <c r="A2913" s="5">
        <v>2852</v>
      </c>
      <c r="B2913" s="138">
        <f>'Assets-Liab 5-6'!I41</f>
        <v>259303</v>
      </c>
      <c r="C2913" s="2" t="s">
        <v>594</v>
      </c>
      <c r="D2913" s="2" t="str">
        <f t="shared" si="44"/>
        <v>Error?</v>
      </c>
    </row>
    <row r="2914" spans="1:4" x14ac:dyDescent="0.2">
      <c r="A2914" s="5">
        <v>2853</v>
      </c>
      <c r="B2914" s="138">
        <f>'Assets-Liab 5-6'!L33</f>
        <v>20247</v>
      </c>
      <c r="D2914" s="2" t="str">
        <f t="shared" si="44"/>
        <v>Error?</v>
      </c>
    </row>
    <row r="2915" spans="1:4" x14ac:dyDescent="0.2">
      <c r="A2915" s="10">
        <v>2854</v>
      </c>
      <c r="D2915" s="2" t="str">
        <f t="shared" si="44"/>
        <v>OK</v>
      </c>
    </row>
    <row r="2916" spans="1:4" x14ac:dyDescent="0.2">
      <c r="A2916" s="5">
        <v>2855</v>
      </c>
      <c r="B2916" s="138">
        <f>'Assets-Liab 5-6'!L34</f>
        <v>20247</v>
      </c>
      <c r="C2916" s="2" t="s">
        <v>594</v>
      </c>
      <c r="D2916" s="2" t="str">
        <f t="shared" si="44"/>
        <v>Error?</v>
      </c>
    </row>
    <row r="2917" spans="1:4" x14ac:dyDescent="0.2">
      <c r="A2917" s="5">
        <v>2856</v>
      </c>
      <c r="B2917" s="138">
        <f>'Assets-Liab 5-6'!L41</f>
        <v>20247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1000</v>
      </c>
      <c r="D2949" s="2" t="str">
        <f t="shared" si="45"/>
        <v>Error?</v>
      </c>
    </row>
    <row r="2950" spans="1:4" x14ac:dyDescent="0.2">
      <c r="A2950" s="5">
        <v>2889</v>
      </c>
      <c r="B2950" s="138">
        <f>'Expenditures 15-22'!E79</f>
        <v>66192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11962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1000</v>
      </c>
      <c r="C2973" s="2" t="s">
        <v>594</v>
      </c>
      <c r="D2973" s="2" t="str">
        <f t="shared" si="45"/>
        <v>Error?</v>
      </c>
    </row>
    <row r="2974" spans="1:4" x14ac:dyDescent="0.2">
      <c r="A2974" s="5">
        <v>2913</v>
      </c>
      <c r="B2974" s="138">
        <f>'Expenditures 15-22'!K79</f>
        <v>78154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37573</v>
      </c>
      <c r="D3055" s="2" t="str">
        <f t="shared" si="46"/>
        <v>Error?</v>
      </c>
    </row>
    <row r="3056" spans="1:4" x14ac:dyDescent="0.2">
      <c r="A3056" s="5">
        <v>2995</v>
      </c>
      <c r="B3056" s="138">
        <f>'Expenditures 15-22'!D10</f>
        <v>10570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48225</v>
      </c>
      <c r="C3062" s="2" t="s">
        <v>594</v>
      </c>
      <c r="D3062" s="2" t="str">
        <f t="shared" si="46"/>
        <v>Error?</v>
      </c>
    </row>
    <row r="3063" spans="1:4" x14ac:dyDescent="0.2">
      <c r="A3063" s="10">
        <v>3002</v>
      </c>
      <c r="D3063" s="2" t="str">
        <f t="shared" si="46"/>
        <v>OK</v>
      </c>
    </row>
    <row r="3064" spans="1:4" x14ac:dyDescent="0.2">
      <c r="A3064" s="5">
        <v>3003</v>
      </c>
      <c r="B3064" s="138">
        <f>'Expenditures 15-22'!D219</f>
        <v>2079</v>
      </c>
      <c r="D3064" s="2" t="str">
        <f t="shared" si="46"/>
        <v>Error?</v>
      </c>
    </row>
    <row r="3065" spans="1:4" x14ac:dyDescent="0.2">
      <c r="A3065" s="5">
        <v>3004</v>
      </c>
      <c r="B3065" s="138">
        <f>'Expenditures 15-22'!K219</f>
        <v>2079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19170</v>
      </c>
      <c r="C3225" s="2" t="s">
        <v>594</v>
      </c>
      <c r="D3225" s="2" t="str">
        <f t="shared" si="49"/>
        <v>Error?</v>
      </c>
    </row>
    <row r="3226" spans="1:4" x14ac:dyDescent="0.2">
      <c r="A3226" s="5">
        <v>3165</v>
      </c>
      <c r="B3226" s="138">
        <f>'Acct Summary 7-8'!I8</f>
        <v>19170</v>
      </c>
      <c r="C3226" s="2" t="s">
        <v>594</v>
      </c>
      <c r="D3226" s="2" t="str">
        <f t="shared" si="49"/>
        <v>Error?</v>
      </c>
    </row>
    <row r="3227" spans="1:4" x14ac:dyDescent="0.2">
      <c r="A3227" s="5">
        <v>3166</v>
      </c>
      <c r="B3227" s="138">
        <f>'Acct Summary 7-8'!I20</f>
        <v>19170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309818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-30799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-1419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44403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7793</v>
      </c>
      <c r="C3276" s="2" t="s">
        <v>594</v>
      </c>
      <c r="D3276" s="2" t="str">
        <f t="shared" si="50"/>
        <v>Error?</v>
      </c>
    </row>
    <row r="3277" spans="1:4" x14ac:dyDescent="0.2">
      <c r="A3277" s="5">
        <v>3216</v>
      </c>
      <c r="B3277" s="138">
        <f>'Acct Summary 7-8'!E77</f>
        <v>-7793</v>
      </c>
      <c r="C3277" s="2" t="s">
        <v>594</v>
      </c>
      <c r="D3277" s="2" t="str">
        <f t="shared" si="50"/>
        <v>Error?</v>
      </c>
    </row>
    <row r="3278" spans="1:4" x14ac:dyDescent="0.2">
      <c r="A3278" s="5">
        <v>3217</v>
      </c>
      <c r="B3278" s="138">
        <f>'Acct Summary 7-8'!E78</f>
        <v>-7763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19170</v>
      </c>
      <c r="C3320" s="2" t="s">
        <v>594</v>
      </c>
      <c r="D3320" s="2" t="str">
        <f t="shared" si="50"/>
        <v>Error?</v>
      </c>
    </row>
    <row r="3321" spans="1:4" x14ac:dyDescent="0.2">
      <c r="A3321" s="5">
        <v>3260</v>
      </c>
      <c r="B3321" s="138">
        <f>'Acct Summary 7-8'!I79</f>
        <v>240133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259303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90353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26698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9760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127229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21866</v>
      </c>
      <c r="D3387" s="2" t="str">
        <f t="shared" si="51"/>
        <v>Error?</v>
      </c>
    </row>
    <row r="3388" spans="1:4" x14ac:dyDescent="0.2">
      <c r="A3388" s="5">
        <v>3327</v>
      </c>
      <c r="B3388" s="138">
        <f>'Expenditures 15-22'!D217</f>
        <v>1438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21866</v>
      </c>
      <c r="C3390" s="2" t="s">
        <v>594</v>
      </c>
      <c r="D3390" s="2" t="str">
        <f t="shared" si="51"/>
        <v>Error?</v>
      </c>
    </row>
    <row r="3391" spans="1:4" x14ac:dyDescent="0.2">
      <c r="A3391" s="5">
        <v>3330</v>
      </c>
      <c r="B3391" s="138">
        <f>'Expenditures 15-22'!K217</f>
        <v>1438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1041461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111140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99245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259303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20247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53192</v>
      </c>
      <c r="C3446" s="2" t="s">
        <v>594</v>
      </c>
      <c r="D3446" s="2" t="str">
        <f t="shared" si="52"/>
        <v>Error?</v>
      </c>
    </row>
    <row r="3447" spans="1:4" x14ac:dyDescent="0.2">
      <c r="A3447" s="5">
        <v>3386</v>
      </c>
      <c r="B3447" s="138">
        <f>'Tax Sched 23'!D16</f>
        <v>53192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40003</v>
      </c>
      <c r="C3449" s="2" t="s">
        <v>594</v>
      </c>
      <c r="D3449" s="2" t="str">
        <f t="shared" si="52"/>
        <v>Error?</v>
      </c>
    </row>
    <row r="3450" spans="1:4" x14ac:dyDescent="0.2">
      <c r="A3450" s="5">
        <v>3389</v>
      </c>
      <c r="B3450" s="138">
        <f>'Tax Sched 23'!E16</f>
        <v>40003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339550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339550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339550</v>
      </c>
      <c r="D3567" s="2" t="str">
        <f t="shared" si="54"/>
        <v>Error?</v>
      </c>
    </row>
    <row r="3568" spans="1:4" x14ac:dyDescent="0.2">
      <c r="A3568" s="5">
        <v>3507</v>
      </c>
      <c r="B3568" s="138">
        <f>'Assets-Liab 5-6'!K41</f>
        <v>339550</v>
      </c>
      <c r="C3568" s="2" t="s">
        <v>594</v>
      </c>
      <c r="D3568" s="2" t="str">
        <f t="shared" si="54"/>
        <v>Error?</v>
      </c>
    </row>
    <row r="3569" spans="1:4" x14ac:dyDescent="0.2">
      <c r="A3569" s="5">
        <v>3508</v>
      </c>
      <c r="B3569" s="138">
        <f>'Acct Summary 7-8'!K4</f>
        <v>19841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19841</v>
      </c>
      <c r="C3571" s="2" t="s">
        <v>594</v>
      </c>
      <c r="D3571" s="2" t="str">
        <f t="shared" si="54"/>
        <v>Error?</v>
      </c>
    </row>
    <row r="3572" spans="1:4" x14ac:dyDescent="0.2">
      <c r="A3572" s="5">
        <v>3511</v>
      </c>
      <c r="B3572" s="138">
        <f>'Acct Summary 7-8'!K13</f>
        <v>72294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72294</v>
      </c>
      <c r="C3575" s="2" t="s">
        <v>594</v>
      </c>
      <c r="D3575" s="2" t="str">
        <f t="shared" si="54"/>
        <v>Error?</v>
      </c>
    </row>
    <row r="3576" spans="1:4" x14ac:dyDescent="0.2">
      <c r="A3576" s="5">
        <v>3515</v>
      </c>
      <c r="B3576" s="138">
        <f>'Acct Summary 7-8'!K20</f>
        <v>-52453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300000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300000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300000</v>
      </c>
      <c r="C3587" s="2" t="s">
        <v>594</v>
      </c>
      <c r="D3587" s="2" t="str">
        <f t="shared" si="55"/>
        <v>Error?</v>
      </c>
    </row>
    <row r="3588" spans="1:4" x14ac:dyDescent="0.2">
      <c r="A3588" s="5">
        <v>3527</v>
      </c>
      <c r="B3588" s="138">
        <f>'Acct Summary 7-8'!K78</f>
        <v>247547</v>
      </c>
      <c r="C3588" s="2" t="s">
        <v>594</v>
      </c>
      <c r="D3588" s="2" t="str">
        <f t="shared" si="55"/>
        <v>Error?</v>
      </c>
    </row>
    <row r="3589" spans="1:4" x14ac:dyDescent="0.2">
      <c r="A3589" s="5">
        <v>3528</v>
      </c>
      <c r="B3589" s="138">
        <f>'Acct Summary 7-8'!K79</f>
        <v>92003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339550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67016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67016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67016</v>
      </c>
      <c r="C3649" s="2" t="s">
        <v>594</v>
      </c>
      <c r="D3649" s="2" t="str">
        <f t="shared" si="56"/>
        <v>Error?</v>
      </c>
    </row>
    <row r="3650" spans="1:4" x14ac:dyDescent="0.2">
      <c r="A3650" s="5">
        <v>3589</v>
      </c>
      <c r="B3650" s="138">
        <f>'Expenditures 15-22'!G367</f>
        <v>67016</v>
      </c>
      <c r="C3650" s="2" t="s">
        <v>594</v>
      </c>
      <c r="D3650" s="2" t="str">
        <f t="shared" si="56"/>
        <v>Error?</v>
      </c>
    </row>
    <row r="3651" spans="1:4" x14ac:dyDescent="0.2">
      <c r="A3651" s="10">
        <v>3590</v>
      </c>
      <c r="D3651" s="2" t="str">
        <f t="shared" si="56"/>
        <v>OK</v>
      </c>
    </row>
    <row r="3652" spans="1:4" x14ac:dyDescent="0.2">
      <c r="A3652" s="5">
        <v>3591</v>
      </c>
      <c r="B3652" s="138">
        <f>'Expenditures 15-22'!H348</f>
        <v>5278</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5278</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5278</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5278</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72294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72294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72294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72294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-52453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17812</v>
      </c>
      <c r="C3725" s="2" t="s">
        <v>594</v>
      </c>
      <c r="D3725" s="2" t="str">
        <f t="shared" si="57"/>
        <v>Error?</v>
      </c>
    </row>
    <row r="3726" spans="1:4" x14ac:dyDescent="0.2">
      <c r="A3726" s="5">
        <v>3665</v>
      </c>
      <c r="B3726" s="138">
        <f>'Tax Sched 23'!D13</f>
        <v>17812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18503</v>
      </c>
      <c r="C3728" s="2" t="s">
        <v>594</v>
      </c>
      <c r="D3728" s="2" t="str">
        <f t="shared" si="57"/>
        <v>Error?</v>
      </c>
    </row>
    <row r="3729" spans="1:4" x14ac:dyDescent="0.2">
      <c r="A3729" s="5">
        <v>3668</v>
      </c>
      <c r="B3729" s="138">
        <f>'Tax Sched 23'!E13</f>
        <v>18503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681796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2525514</v>
      </c>
      <c r="C4122" s="2" t="s">
        <v>594</v>
      </c>
      <c r="D4122" s="2" t="str">
        <f t="shared" si="63"/>
        <v>Error?</v>
      </c>
    </row>
    <row r="4123" spans="1:4" x14ac:dyDescent="0.2">
      <c r="A4123" s="5">
        <v>4062</v>
      </c>
      <c r="B4123" s="138">
        <f>'Acct Summary 7-8'!D10</f>
        <v>254240</v>
      </c>
      <c r="C4123" s="2" t="s">
        <v>594</v>
      </c>
      <c r="D4123" s="2" t="str">
        <f t="shared" si="63"/>
        <v>Error?</v>
      </c>
    </row>
    <row r="4124" spans="1:4" x14ac:dyDescent="0.2">
      <c r="A4124" s="5">
        <v>4063</v>
      </c>
      <c r="B4124" s="138">
        <f>'Acct Summary 7-8'!E10</f>
        <v>30</v>
      </c>
      <c r="C4124" s="2" t="s">
        <v>594</v>
      </c>
      <c r="D4124" s="2" t="str">
        <f t="shared" si="63"/>
        <v>Error?</v>
      </c>
    </row>
    <row r="4125" spans="1:4" x14ac:dyDescent="0.2">
      <c r="A4125" s="5">
        <v>4064</v>
      </c>
      <c r="B4125" s="138">
        <f>'Acct Summary 7-8'!F10</f>
        <v>108290</v>
      </c>
      <c r="C4125" s="2" t="s">
        <v>594</v>
      </c>
      <c r="D4125" s="2" t="str">
        <f t="shared" si="63"/>
        <v>Error?</v>
      </c>
    </row>
    <row r="4126" spans="1:4" x14ac:dyDescent="0.2">
      <c r="A4126" s="5">
        <v>4065</v>
      </c>
      <c r="B4126" s="138">
        <f>'Acct Summary 7-8'!G10</f>
        <v>108243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19170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19841</v>
      </c>
      <c r="C4130" s="2" t="s">
        <v>594</v>
      </c>
      <c r="D4130" s="2" t="str">
        <f t="shared" si="63"/>
        <v>Error?</v>
      </c>
    </row>
    <row r="4131" spans="1:4" x14ac:dyDescent="0.2">
      <c r="A4131" s="5">
        <v>4070</v>
      </c>
      <c r="B4131" s="138">
        <f>'Acct Summary 7-8'!C18</f>
        <v>681796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2215696</v>
      </c>
      <c r="C4136" s="2" t="s">
        <v>594</v>
      </c>
      <c r="D4136" s="2" t="str">
        <f t="shared" si="63"/>
        <v>Error?</v>
      </c>
    </row>
    <row r="4137" spans="1:4" x14ac:dyDescent="0.2">
      <c r="A4137" s="5">
        <v>4076</v>
      </c>
      <c r="B4137" s="138">
        <f>'Acct Summary 7-8'!D19</f>
        <v>285039</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109709</v>
      </c>
      <c r="C4139" s="2" t="s">
        <v>594</v>
      </c>
      <c r="D4139" s="2" t="str">
        <f t="shared" si="63"/>
        <v>Error?</v>
      </c>
    </row>
    <row r="4140" spans="1:4" x14ac:dyDescent="0.2">
      <c r="A4140" s="5">
        <v>4079</v>
      </c>
      <c r="B4140" s="138">
        <f>'Acct Summary 7-8'!G19</f>
        <v>63840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72294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300000</v>
      </c>
      <c r="C4171" s="2" t="s">
        <v>594</v>
      </c>
      <c r="D4171" s="2" t="str">
        <f t="shared" si="64"/>
        <v>Error?</v>
      </c>
    </row>
    <row r="4172" spans="1:4" x14ac:dyDescent="0.2">
      <c r="A4172" s="5">
        <v>4111</v>
      </c>
      <c r="B4172" s="138">
        <f>'Short-Term Long-Term Debt 24'!J49</f>
        <v>300000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2090</v>
      </c>
      <c r="C4265" s="2" t="s">
        <v>594</v>
      </c>
      <c r="D4265" s="2" t="str">
        <f t="shared" si="65"/>
        <v>Error?</v>
      </c>
      <c r="E4265" s="128"/>
    </row>
    <row r="4266" spans="1:5" x14ac:dyDescent="0.2">
      <c r="A4266" s="12">
        <v>4205</v>
      </c>
      <c r="B4266" s="138">
        <f>('FP Info 3'!F10)*100000</f>
        <v>374.15999999999997</v>
      </c>
      <c r="C4266" s="2" t="s">
        <v>594</v>
      </c>
      <c r="D4266" s="2" t="str">
        <f t="shared" si="65"/>
        <v>Error?</v>
      </c>
      <c r="E4266" s="128"/>
    </row>
    <row r="4267" spans="1:5" x14ac:dyDescent="0.2">
      <c r="A4267" s="12">
        <v>4206</v>
      </c>
      <c r="B4267" s="138">
        <f>('FP Info 3'!H10)*100000</f>
        <v>92.88</v>
      </c>
      <c r="C4267" s="2" t="s">
        <v>594</v>
      </c>
      <c r="D4267" s="2" t="str">
        <f t="shared" si="65"/>
        <v>Error?</v>
      </c>
      <c r="E4267" s="128"/>
    </row>
    <row r="4268" spans="1:5" x14ac:dyDescent="0.2">
      <c r="A4268" s="12">
        <v>4207</v>
      </c>
      <c r="B4268" s="138">
        <f>('FP Info 3'!J10)*100000</f>
        <v>2557</v>
      </c>
      <c r="C4268" s="2" t="s">
        <v>594</v>
      </c>
      <c r="D4268" s="2" t="str">
        <f t="shared" si="65"/>
        <v>Error?</v>
      </c>
    </row>
    <row r="4269" spans="1:5" x14ac:dyDescent="0.2">
      <c r="A4269" s="12">
        <v>4208</v>
      </c>
      <c r="B4269" s="138">
        <f>'FP Info 3'!J16</f>
        <v>1405315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641</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5749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1030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7057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18632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37685195</v>
      </c>
      <c r="D4995" s="2" t="str">
        <f t="shared" si="77"/>
        <v>Error?</v>
      </c>
    </row>
    <row r="4996" spans="1:4" x14ac:dyDescent="0.2">
      <c r="A4996" s="12">
        <v>4935</v>
      </c>
      <c r="B4996" s="138">
        <f>'FP Info 3'!H31</f>
        <v>2600278.4550000001</v>
      </c>
      <c r="D4996" s="2" t="str">
        <f t="shared" si="77"/>
        <v>Error?</v>
      </c>
    </row>
    <row r="4997" spans="1:4" x14ac:dyDescent="0.2">
      <c r="A4997" s="12">
        <v>4936</v>
      </c>
      <c r="B4997" s="138">
        <f>'FP Info 3'!H37</f>
        <v>300000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17812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744517</v>
      </c>
      <c r="D5061" s="2" t="str">
        <f t="shared" si="78"/>
        <v>Error?</v>
      </c>
    </row>
    <row r="5062" spans="1:4" x14ac:dyDescent="0.2">
      <c r="A5062" s="10">
        <v>5001</v>
      </c>
      <c r="D5062" s="2" t="str">
        <f t="shared" si="78"/>
        <v>OK</v>
      </c>
    </row>
    <row r="5063" spans="1:4" x14ac:dyDescent="0.2">
      <c r="A5063" s="5">
        <v>5002</v>
      </c>
      <c r="B5063" s="138">
        <f>'Revenues 9-14'!C7</f>
        <v>7124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769453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203470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203470</v>
      </c>
      <c r="C5087" s="2" t="s">
        <v>594</v>
      </c>
      <c r="D5087" s="2" t="str">
        <f t="shared" si="78"/>
        <v>Error?</v>
      </c>
    </row>
    <row r="5088" spans="1:4" x14ac:dyDescent="0.2">
      <c r="A5088" s="5">
        <v>5027</v>
      </c>
      <c r="B5088" s="138">
        <f>'Revenues 9-14'!C65</f>
        <v>8135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8135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2288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35827</v>
      </c>
      <c r="C5096" s="2" t="s">
        <v>594</v>
      </c>
      <c r="D5096" s="2" t="str">
        <f t="shared" si="78"/>
        <v>Error?</v>
      </c>
    </row>
    <row r="5097" spans="1:4" x14ac:dyDescent="0.2">
      <c r="A5097" s="5">
        <v>5036</v>
      </c>
      <c r="B5097" s="138">
        <f>'Revenues 9-14'!C77</f>
        <v>3590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3086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6676</v>
      </c>
      <c r="C5102" s="2" t="s">
        <v>594</v>
      </c>
      <c r="D5102" s="2" t="str">
        <f t="shared" si="78"/>
        <v>Error?</v>
      </c>
    </row>
    <row r="5103" spans="1:4" x14ac:dyDescent="0.2">
      <c r="A5103" s="5">
        <v>5042</v>
      </c>
      <c r="B5103" s="138">
        <f>'Revenues 9-14'!C84</f>
        <v>12608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12608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21264</v>
      </c>
      <c r="D5119" s="2" t="str">
        <f t="shared" ref="D5119:D5182" si="79">IF(ISBLANK(B5119),"OK",IF(A5119-B5119=0,"OK","Error?"))</f>
        <v>Error?</v>
      </c>
    </row>
    <row r="5120" spans="1:4" x14ac:dyDescent="0.2">
      <c r="A5120" s="5">
        <v>5059</v>
      </c>
      <c r="B5120" s="138">
        <f>'Revenues 9-14'!C108</f>
        <v>76722</v>
      </c>
      <c r="C5120" s="2" t="s">
        <v>594</v>
      </c>
      <c r="D5120" s="2" t="str">
        <f t="shared" si="79"/>
        <v>Error?</v>
      </c>
    </row>
    <row r="5121" spans="1:4" x14ac:dyDescent="0.2">
      <c r="A5121" s="5">
        <v>5060</v>
      </c>
      <c r="B5121" s="138">
        <f>'Revenues 9-14'!C109</f>
        <v>1112891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513921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513921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12997</v>
      </c>
      <c r="D5134" s="2" t="str">
        <f t="shared" si="79"/>
        <v>Error?</v>
      </c>
    </row>
    <row r="5135" spans="1:4" x14ac:dyDescent="0.2">
      <c r="A5135" s="5">
        <v>5074</v>
      </c>
      <c r="B5135" s="138">
        <f>'Revenues 9-14'!C126</f>
        <v>33235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46232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46873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560794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30815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10168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40983</v>
      </c>
      <c r="C5246" s="2" t="s">
        <v>594</v>
      </c>
      <c r="D5246" s="2" t="str">
        <f t="shared" si="80"/>
        <v>Error?</v>
      </c>
    </row>
    <row r="5247" spans="1:4" x14ac:dyDescent="0.2">
      <c r="A5247" s="5">
        <v>5186</v>
      </c>
      <c r="B5247" s="138">
        <f>'Revenues 9-14'!C203</f>
        <v>11505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11505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93709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93709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170033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170033</v>
      </c>
      <c r="C5326" s="2" t="s">
        <v>594</v>
      </c>
      <c r="D5326" s="2" t="str">
        <f t="shared" si="82"/>
        <v>Error?</v>
      </c>
    </row>
    <row r="5327" spans="1:4" x14ac:dyDescent="0.2">
      <c r="A5327" s="5">
        <v>5266</v>
      </c>
      <c r="B5327" s="138">
        <f>'Revenues 9-14'!C275</f>
        <v>1843718</v>
      </c>
      <c r="C5327" s="2" t="s">
        <v>594</v>
      </c>
      <c r="D5327" s="2" t="str">
        <f t="shared" si="82"/>
        <v>Error?</v>
      </c>
    </row>
    <row r="5328" spans="1:4" x14ac:dyDescent="0.2">
      <c r="A5328" s="5">
        <v>5267</v>
      </c>
      <c r="B5328" s="138">
        <f>'Revenues 9-14'!D5</f>
        <v>133585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133585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38138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38138</v>
      </c>
      <c r="C5339" s="2" t="s">
        <v>594</v>
      </c>
      <c r="D5339" s="2" t="str">
        <f t="shared" si="82"/>
        <v>Error?</v>
      </c>
    </row>
    <row r="5340" spans="1:4" x14ac:dyDescent="0.2">
      <c r="A5340" s="5">
        <v>5279</v>
      </c>
      <c r="B5340" s="138">
        <f>'Revenues 9-14'!D65</f>
        <v>213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2285</v>
      </c>
      <c r="D5354" s="2" t="str">
        <f t="shared" si="82"/>
        <v>Error?</v>
      </c>
    </row>
    <row r="5355" spans="1:4" x14ac:dyDescent="0.2">
      <c r="A5355" s="5">
        <v>5294</v>
      </c>
      <c r="B5355" s="138">
        <f>'Revenues 9-14'!D108</f>
        <v>2285</v>
      </c>
      <c r="C5355" s="2" t="s">
        <v>594</v>
      </c>
      <c r="D5355" s="2" t="str">
        <f t="shared" si="82"/>
        <v>Error?</v>
      </c>
    </row>
    <row r="5356" spans="1:4" x14ac:dyDescent="0.2">
      <c r="A5356" s="5">
        <v>5295</v>
      </c>
      <c r="B5356" s="138">
        <f>'Revenues 9-14'!D109</f>
        <v>174221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80019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80019</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80019</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254240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30</v>
      </c>
      <c r="C5552" s="2" t="s">
        <v>594</v>
      </c>
      <c r="D5552" s="2" t="str">
        <f t="shared" si="85"/>
        <v>Error?</v>
      </c>
    </row>
    <row r="5553" spans="1:4" x14ac:dyDescent="0.2">
      <c r="A5553" s="5">
        <v>5492</v>
      </c>
      <c r="B5553" s="138">
        <f>'Revenues 9-14'!F5</f>
        <v>42747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42747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658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658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43405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41166</v>
      </c>
      <c r="D5615" s="2" t="str">
        <f t="shared" si="86"/>
        <v>Error?</v>
      </c>
    </row>
    <row r="5616" spans="1:4" x14ac:dyDescent="0.2">
      <c r="A5616" s="10">
        <v>5555</v>
      </c>
      <c r="D5616" s="2" t="str">
        <f t="shared" si="86"/>
        <v>OK</v>
      </c>
    </row>
    <row r="5617" spans="1:4" x14ac:dyDescent="0.2">
      <c r="A5617" s="5">
        <v>5556</v>
      </c>
      <c r="B5617" s="138">
        <f>'Revenues 9-14'!F152</f>
        <v>23719</v>
      </c>
      <c r="D5617" s="2" t="str">
        <f t="shared" si="86"/>
        <v>Error?</v>
      </c>
    </row>
    <row r="5618" spans="1:4" x14ac:dyDescent="0.2">
      <c r="A5618" s="5">
        <v>5557</v>
      </c>
      <c r="B5618" s="138">
        <f>'Revenues 9-14'!F154</f>
        <v>64885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64885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64885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108290</v>
      </c>
      <c r="C5720" s="2" t="s">
        <v>594</v>
      </c>
      <c r="D5720" s="2" t="str">
        <f t="shared" si="88"/>
        <v>Error?</v>
      </c>
    </row>
    <row r="5721" spans="1:4" x14ac:dyDescent="0.2">
      <c r="A5721" s="5">
        <v>5660</v>
      </c>
      <c r="B5721" s="138">
        <f>'Revenues 9-14'!G5</f>
        <v>54442</v>
      </c>
      <c r="D5721" s="2" t="str">
        <f t="shared" si="88"/>
        <v>Error?</v>
      </c>
    </row>
    <row r="5722" spans="1:4" x14ac:dyDescent="0.2">
      <c r="A5722" s="5">
        <v>5661</v>
      </c>
      <c r="B5722" s="138">
        <f>'Revenues 9-14'!G7</f>
        <v>0</v>
      </c>
      <c r="D5722" s="2" t="str">
        <f t="shared" si="88"/>
        <v>Error?</v>
      </c>
    </row>
    <row r="5723" spans="1:4" x14ac:dyDescent="0.2">
      <c r="A5723" s="5">
        <v>5662</v>
      </c>
      <c r="B5723" s="138">
        <f>'Revenues 9-14'!G8</f>
        <v>53192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107634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609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609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108243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17812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17812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1358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1358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19170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17812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17812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2029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2029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19841</v>
      </c>
      <c r="C6023" s="2" t="s">
        <v>594</v>
      </c>
      <c r="D6023" s="2" t="str">
        <f t="shared" si="93"/>
        <v>Error?</v>
      </c>
    </row>
    <row r="6024" spans="1:5" x14ac:dyDescent="0.2">
      <c r="A6024" s="5">
        <v>5963</v>
      </c>
      <c r="B6024" s="138">
        <f>'Revenues 9-14'!G109</f>
        <v>108243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19170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19841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33539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8653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151.43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6589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497</v>
      </c>
      <c r="D6215" s="2" t="str">
        <f t="shared" si="96"/>
        <v>Error?</v>
      </c>
      <c r="E6215" s="2" t="s">
        <v>199</v>
      </c>
    </row>
    <row r="6216" spans="1:5" x14ac:dyDescent="0.2">
      <c r="A6216">
        <v>6155</v>
      </c>
      <c r="B6216" s="138">
        <f>'Assets-Liab 5-6'!J41</f>
        <v>497</v>
      </c>
      <c r="D6216" s="2" t="str">
        <f t="shared" si="96"/>
        <v>Error?</v>
      </c>
      <c r="E6216" s="2" t="s">
        <v>199</v>
      </c>
    </row>
    <row r="6217" spans="1:5" x14ac:dyDescent="0.2">
      <c r="A6217">
        <v>6156</v>
      </c>
      <c r="B6217" s="138">
        <f>'Assets-Liab 5-6'!J4</f>
        <v>497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65036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65036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65036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73674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73674</v>
      </c>
      <c r="D6229" s="2" t="str">
        <f t="shared" si="96"/>
        <v>Error?</v>
      </c>
      <c r="E6229" s="2" t="s">
        <v>199</v>
      </c>
    </row>
    <row r="6230" spans="1:5" x14ac:dyDescent="0.2">
      <c r="A6230">
        <v>6169</v>
      </c>
      <c r="B6230" s="138">
        <f>'Acct Summary 7-8'!J20</f>
        <v>-8638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7793</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7793</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7793</v>
      </c>
      <c r="D6262" s="2" t="str">
        <f t="shared" si="96"/>
        <v>Error?</v>
      </c>
      <c r="E6262" s="2" t="s">
        <v>199</v>
      </c>
    </row>
    <row r="6263" spans="1:5" x14ac:dyDescent="0.2">
      <c r="A6263">
        <v>6202</v>
      </c>
      <c r="B6263" s="138">
        <f>'Acct Summary 7-8'!J78</f>
        <v>-845</v>
      </c>
      <c r="D6263" s="2" t="str">
        <f t="shared" si="96"/>
        <v>Error?</v>
      </c>
      <c r="E6263" s="2" t="s">
        <v>199</v>
      </c>
    </row>
    <row r="6264" spans="1:5" x14ac:dyDescent="0.2">
      <c r="A6264">
        <v>6203</v>
      </c>
      <c r="B6264" s="138">
        <f>'Acct Summary 7-8'!J79</f>
        <v>1342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497</v>
      </c>
      <c r="D6266" s="2" t="str">
        <f t="shared" si="96"/>
        <v>Error?</v>
      </c>
      <c r="E6266" s="2" t="s">
        <v>199</v>
      </c>
    </row>
    <row r="6267" spans="1:5" x14ac:dyDescent="0.2">
      <c r="A6267">
        <v>6206</v>
      </c>
      <c r="B6267" s="138">
        <f>'Acct Summary 7-8'!C82</f>
        <v>309818</v>
      </c>
      <c r="D6267" s="2" t="str">
        <f t="shared" si="96"/>
        <v>Error?</v>
      </c>
      <c r="E6267" s="2" t="s">
        <v>199</v>
      </c>
    </row>
    <row r="6268" spans="1:5" x14ac:dyDescent="0.2">
      <c r="A6268">
        <v>6207</v>
      </c>
      <c r="B6268" s="138">
        <f>'Acct Summary 7-8'!D82</f>
        <v>-30799</v>
      </c>
      <c r="D6268" s="2" t="str">
        <f t="shared" si="96"/>
        <v>Error?</v>
      </c>
      <c r="E6268" s="2" t="s">
        <v>199</v>
      </c>
    </row>
    <row r="6269" spans="1:5" x14ac:dyDescent="0.2">
      <c r="A6269">
        <v>6208</v>
      </c>
      <c r="B6269" s="138">
        <f>'Acct Summary 7-8'!E82</f>
        <v>-7763</v>
      </c>
      <c r="D6269" s="2" t="str">
        <f t="shared" si="96"/>
        <v>Error?</v>
      </c>
      <c r="E6269" s="2" t="s">
        <v>199</v>
      </c>
    </row>
    <row r="6270" spans="1:5" x14ac:dyDescent="0.2">
      <c r="A6270">
        <v>6209</v>
      </c>
      <c r="B6270" s="138">
        <f>'Acct Summary 7-8'!F82</f>
        <v>-1419</v>
      </c>
      <c r="D6270" s="2" t="str">
        <f t="shared" si="96"/>
        <v>Error?</v>
      </c>
      <c r="E6270" s="2" t="s">
        <v>199</v>
      </c>
    </row>
    <row r="6271" spans="1:5" x14ac:dyDescent="0.2">
      <c r="A6271">
        <v>6210</v>
      </c>
      <c r="B6271" s="138">
        <f>'Acct Summary 7-8'!G82</f>
        <v>44403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19170</v>
      </c>
      <c r="D6273" s="2" t="str">
        <f t="shared" si="97"/>
        <v>Error?</v>
      </c>
      <c r="E6273" s="2" t="s">
        <v>199</v>
      </c>
    </row>
    <row r="6274" spans="1:5" x14ac:dyDescent="0.2">
      <c r="A6274">
        <v>6213</v>
      </c>
      <c r="B6274" s="138">
        <f>'Acct Summary 7-8'!J82</f>
        <v>-845</v>
      </c>
      <c r="D6274" s="2" t="str">
        <f t="shared" si="97"/>
        <v>Error?</v>
      </c>
      <c r="E6274" s="2" t="s">
        <v>199</v>
      </c>
    </row>
    <row r="6275" spans="1:5" x14ac:dyDescent="0.2">
      <c r="A6275">
        <v>6214</v>
      </c>
      <c r="B6275" s="138">
        <f>'Acct Summary 7-8'!K82</f>
        <v>247547</v>
      </c>
      <c r="D6275" s="2" t="str">
        <f t="shared" si="97"/>
        <v>Error?</v>
      </c>
      <c r="E6275" s="2" t="s">
        <v>199</v>
      </c>
    </row>
    <row r="6276" spans="1:5" x14ac:dyDescent="0.2">
      <c r="A6276">
        <v>6215</v>
      </c>
      <c r="B6276" s="138">
        <f>'Acct Summary 7-8'!C83</f>
        <v>0.29748401524396978</v>
      </c>
      <c r="D6276" s="2" t="str">
        <f t="shared" si="97"/>
        <v>Error?</v>
      </c>
      <c r="E6276" s="2" t="s">
        <v>199</v>
      </c>
    </row>
    <row r="6277" spans="1:5" x14ac:dyDescent="0.2">
      <c r="A6277">
        <v>6216</v>
      </c>
      <c r="B6277" s="138">
        <f>'Acct Summary 7-8'!D83</f>
        <v>4.6743056609500684</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-1.2767680403095196E-2</v>
      </c>
      <c r="D6279" s="2" t="str">
        <f t="shared" si="97"/>
        <v>Error?</v>
      </c>
      <c r="E6279" s="2" t="s">
        <v>199</v>
      </c>
    </row>
    <row r="6280" spans="1:5" x14ac:dyDescent="0.2">
      <c r="A6280">
        <v>6219</v>
      </c>
      <c r="B6280" s="138">
        <f>'Acct Summary 7-8'!G83</f>
        <v>0.44740792987052247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7.3928955700473961E-2</v>
      </c>
      <c r="D6282" s="2" t="str">
        <f t="shared" si="97"/>
        <v>Error?</v>
      </c>
      <c r="E6282" s="2" t="s">
        <v>199</v>
      </c>
    </row>
    <row r="6283" spans="1:5" x14ac:dyDescent="0.2">
      <c r="A6283">
        <v>6222</v>
      </c>
      <c r="B6283" s="138">
        <f>'Acct Summary 7-8'!J83</f>
        <v>-1.7002012072434607</v>
      </c>
      <c r="D6283" s="2" t="str">
        <f t="shared" si="97"/>
        <v>Error?</v>
      </c>
      <c r="E6283" s="2" t="s">
        <v>199</v>
      </c>
    </row>
    <row r="6284" spans="1:5" x14ac:dyDescent="0.2">
      <c r="A6284">
        <v>6223</v>
      </c>
      <c r="B6284" s="138">
        <f>'Acct Summary 7-8'!K83</f>
        <v>0.72904432336916503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64930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64930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36826</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65036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31765</v>
      </c>
      <c r="D6983" s="2" t="str">
        <f t="shared" si="108"/>
        <v>Error?</v>
      </c>
    </row>
    <row r="6984" spans="1:4" x14ac:dyDescent="0.2">
      <c r="A6984">
        <v>6923</v>
      </c>
      <c r="B6984" s="138">
        <f>'Expenditures 15-22'!K86</f>
        <v>31765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31765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73674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65036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548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548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16412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16412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18287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18287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5623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5623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32804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32804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73674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73674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73674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73674</v>
      </c>
      <c r="D7224" s="2" t="str">
        <f t="shared" si="111"/>
        <v>Error?</v>
      </c>
    </row>
    <row r="7225" spans="1:4" x14ac:dyDescent="0.2">
      <c r="A7225">
        <v>7164</v>
      </c>
      <c r="B7225" s="138">
        <f>'Expenditures 15-22'!K343</f>
        <v>-8638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43044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7124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22751</v>
      </c>
      <c r="D7797" s="2" t="str">
        <f t="shared" si="127"/>
        <v>Error?</v>
      </c>
      <c r="E7797" s="4" t="s">
        <v>2020</v>
      </c>
    </row>
    <row r="7798" spans="1:5" x14ac:dyDescent="0.2">
      <c r="A7798">
        <v>7737</v>
      </c>
      <c r="B7798" s="138">
        <f>'Contracts Paid in CY 29'!F141</f>
        <v>22751</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Tonica CCSD 79</v>
      </c>
      <c r="B7" s="2422"/>
      <c r="C7" s="2422"/>
      <c r="D7" s="2423"/>
      <c r="E7" s="2424">
        <f>COVER!A13</f>
        <v>35050079004</v>
      </c>
      <c r="F7" s="2425"/>
      <c r="G7" s="2431">
        <f>COVER!T23</f>
        <v>66.004501000000005</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HOPKINS &amp; ASSOCIATES, CPAS, INC.</v>
      </c>
      <c r="H9" s="2437"/>
      <c r="I9" s="2437"/>
      <c r="J9" s="2437"/>
      <c r="K9" s="2437"/>
      <c r="L9" s="2438"/>
    </row>
    <row r="10" spans="1:29" ht="13.5" customHeight="1" x14ac:dyDescent="0.2">
      <c r="A10" s="2411" t="str">
        <f>COVER!A38</f>
        <v>CHUCK SCHNEIDER</v>
      </c>
      <c r="B10" s="2412"/>
      <c r="C10" s="2412"/>
      <c r="D10" s="2412"/>
      <c r="E10" s="2412"/>
      <c r="F10" s="2413"/>
      <c r="G10" s="2405" t="str">
        <f>COVER!T17</f>
        <v>314 S. MCCOY ST.</v>
      </c>
      <c r="H10" s="2406"/>
      <c r="I10" s="2406"/>
      <c r="J10" s="2406"/>
      <c r="K10" s="2406"/>
      <c r="L10" s="2407"/>
    </row>
    <row r="11" spans="1:29" ht="13.5" customHeight="1" x14ac:dyDescent="0.2">
      <c r="A11" s="1185" t="s">
        <v>1599</v>
      </c>
      <c r="B11" s="1186"/>
      <c r="C11" s="1187"/>
      <c r="D11" s="1192"/>
      <c r="E11" s="1187"/>
      <c r="F11" s="1191"/>
      <c r="G11" s="2405" t="str">
        <f>COVER!T19</f>
        <v>GRANVILLE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joel@hopkinsoffice.com</v>
      </c>
      <c r="J13" s="2418"/>
      <c r="K13" s="2418"/>
      <c r="L13" s="2419"/>
    </row>
    <row r="14" spans="1:29" ht="13.5" customHeight="1" x14ac:dyDescent="0.2">
      <c r="A14" s="2405" t="str">
        <f>COVER!A19</f>
        <v>535 N. 1981 ROAD</v>
      </c>
      <c r="B14" s="2406"/>
      <c r="C14" s="2406"/>
      <c r="D14" s="2406"/>
      <c r="E14" s="2406"/>
      <c r="F14" s="2407"/>
      <c r="G14" s="1196" t="s">
        <v>1247</v>
      </c>
      <c r="H14" s="1194"/>
      <c r="I14" s="1194"/>
      <c r="J14" s="1194"/>
      <c r="K14" s="1194"/>
      <c r="L14" s="1195"/>
    </row>
    <row r="15" spans="1:29" ht="13.5" customHeight="1" x14ac:dyDescent="0.2">
      <c r="A15" s="2405" t="str">
        <f>COVER!A21</f>
        <v>TONICA</v>
      </c>
      <c r="B15" s="2406"/>
      <c r="C15" s="2406"/>
      <c r="D15" s="2406"/>
      <c r="E15" s="2406"/>
      <c r="F15" s="2407"/>
      <c r="G15" s="2402" t="str">
        <f>COVER!T15</f>
        <v>JOEL HOPKINS</v>
      </c>
      <c r="H15" s="2403"/>
      <c r="I15" s="2403"/>
      <c r="J15" s="2403"/>
      <c r="K15" s="2403"/>
      <c r="L15" s="2404"/>
    </row>
    <row r="16" spans="1:29" ht="12.2" customHeight="1" x14ac:dyDescent="0.2">
      <c r="A16" s="2427">
        <f>COVER!A25</f>
        <v>61370</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815-339-6630</v>
      </c>
      <c r="H18" s="2422"/>
      <c r="I18" s="2422"/>
      <c r="J18" s="2422"/>
      <c r="K18" s="2421" t="str">
        <f>COVER!X21</f>
        <v>815-339-6643</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Tonica CCSD 79</v>
      </c>
      <c r="B1" s="2420"/>
      <c r="C1" s="2420"/>
      <c r="D1" s="2420"/>
    </row>
    <row r="2" spans="1:11" s="1215" customFormat="1" ht="12.75" x14ac:dyDescent="0.2">
      <c r="A2" s="2444">
        <f>'Single Audit Cover'!E7</f>
        <v>35050079004</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6"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Tonica CCSD 79</v>
      </c>
      <c r="B1" s="2447"/>
      <c r="C1" s="2447"/>
      <c r="D1" s="2447"/>
      <c r="E1" s="2447"/>
    </row>
    <row r="2" spans="1:5" x14ac:dyDescent="0.2">
      <c r="A2" s="2448">
        <f>'Single Audit Cover'!E7</f>
        <v>35050079004</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170033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8653</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-1030</v>
      </c>
    </row>
    <row r="19" spans="1:4" ht="13.5" thickBot="1" x14ac:dyDescent="0.25">
      <c r="A19" s="1265" t="s">
        <v>1297</v>
      </c>
      <c r="D19" s="1266">
        <f>SUM(D10:D17)</f>
        <v>177656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177656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177656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Tonica CCSD 79</v>
      </c>
      <c r="B1" s="2460"/>
      <c r="C1" s="2460"/>
      <c r="D1" s="2460"/>
      <c r="E1" s="2460"/>
      <c r="F1" s="2460"/>
    </row>
    <row r="2" spans="1:7" ht="13.5" customHeight="1" x14ac:dyDescent="0.2">
      <c r="A2" s="2461">
        <f>'Single Audit Cover'!E7</f>
        <v>35050079004</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Tonica CCSD 79</v>
      </c>
      <c r="C1" s="2464"/>
      <c r="D1" s="2464"/>
      <c r="E1" s="2464"/>
      <c r="F1" s="2464"/>
      <c r="G1" s="2464"/>
      <c r="H1" s="2464"/>
      <c r="I1" s="2464"/>
      <c r="J1" s="2464"/>
      <c r="K1" s="2464"/>
      <c r="L1" s="2464"/>
      <c r="M1" s="2464"/>
    </row>
    <row r="2" spans="2:14" ht="15" x14ac:dyDescent="0.2">
      <c r="B2" s="2461">
        <f>'Single Audit Cover'!E7</f>
        <v>35050079004</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Tonica CCSD 79</v>
      </c>
      <c r="C1" s="2479"/>
      <c r="D1" s="2479"/>
      <c r="E1" s="2479"/>
      <c r="F1" s="2479"/>
      <c r="G1" s="2479"/>
      <c r="H1" s="2479"/>
      <c r="I1" s="2479"/>
      <c r="J1" s="1422"/>
    </row>
    <row r="2" spans="2:10" s="317" customFormat="1" ht="12.75" customHeight="1" x14ac:dyDescent="0.2">
      <c r="B2" s="2480">
        <f>'Single Audit Cover'!E7</f>
        <v>35050079004</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1952</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Tonica CCSD 79</v>
      </c>
      <c r="C1" s="2478"/>
      <c r="D1" s="2478"/>
      <c r="E1" s="2478"/>
      <c r="F1" s="2478"/>
      <c r="G1" s="2478"/>
      <c r="H1" s="2478"/>
      <c r="I1" s="2478"/>
      <c r="J1" s="2478"/>
      <c r="K1" s="2478"/>
      <c r="L1" s="1374"/>
      <c r="M1" s="1374"/>
    </row>
    <row r="2" spans="1:13" ht="12" customHeight="1" x14ac:dyDescent="0.2">
      <c r="B2" s="2480">
        <f>'Single Audit Cover'!E7</f>
        <v>35050079004</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Tonica CCSD 79</v>
      </c>
      <c r="C1" s="2501"/>
      <c r="D1" s="2501"/>
      <c r="E1" s="2501"/>
      <c r="F1" s="2501"/>
      <c r="G1" s="2501"/>
      <c r="H1" s="2501"/>
      <c r="I1" s="2501"/>
      <c r="J1" s="2501"/>
      <c r="K1" s="2501"/>
      <c r="L1" s="1465"/>
    </row>
    <row r="2" spans="1:12" ht="12.75" customHeight="1" x14ac:dyDescent="0.2">
      <c r="B2" s="2502">
        <f>'Single Audit Cover'!E7</f>
        <v>35050079004</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Tonica CCSD 79</v>
      </c>
      <c r="C1" s="2478"/>
      <c r="D1" s="2478"/>
      <c r="E1" s="1491"/>
    </row>
    <row r="2" spans="2:5" s="1282" customFormat="1" ht="12.75" customHeight="1" x14ac:dyDescent="0.2">
      <c r="B2" s="2480">
        <f>'Single Audit Cover'!E7</f>
        <v>35050079004</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2018-09-13T13:35:05Z</cp:lastPrinted>
  <dcterms:created xsi:type="dcterms:W3CDTF">2003-10-29T19:06:34Z</dcterms:created>
  <dcterms:modified xsi:type="dcterms:W3CDTF">2018-10-02T14:56:51Z</dcterms:modified>
</cp:coreProperties>
</file>