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D20" i="181" l="1"/>
  <c r="D18" i="181"/>
  <c r="D17" i="18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4" l="1"/>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K185" i="29"/>
  <c r="K122" i="29"/>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c r="B6366" i="106"/>
  <c r="D6366" i="106" s="1"/>
  <c r="B6367" i="106"/>
  <c r="D6367" i="106" s="1"/>
  <c r="B6368" i="106"/>
  <c r="D6368" i="106" s="1"/>
  <c r="B6369" i="106"/>
  <c r="D6369" i="106" s="1"/>
  <c r="B6370" i="106"/>
  <c r="D6370" i="106" s="1"/>
  <c r="B6371" i="106"/>
  <c r="D6371" i="106" s="1"/>
  <c r="B6372" i="106"/>
  <c r="D6372" i="106" s="1"/>
  <c r="B6373" i="106"/>
  <c r="D6373" i="106"/>
  <c r="B6374" i="106"/>
  <c r="D6374" i="106" s="1"/>
  <c r="B6375" i="106"/>
  <c r="D6375" i="106"/>
  <c r="B6376" i="106"/>
  <c r="D6376" i="106" s="1"/>
  <c r="B6377" i="106"/>
  <c r="D6377" i="106"/>
  <c r="B6378" i="106"/>
  <c r="D6378" i="106" s="1"/>
  <c r="B6379" i="106"/>
  <c r="D6379" i="106" s="1"/>
  <c r="B6380" i="106"/>
  <c r="D6380" i="106" s="1"/>
  <c r="B6381" i="106"/>
  <c r="D6381" i="106"/>
  <c r="B6382" i="106"/>
  <c r="D6382" i="106" s="1"/>
  <c r="B6383" i="106"/>
  <c r="D6383" i="106"/>
  <c r="B6384" i="106"/>
  <c r="D6384" i="106" s="1"/>
  <c r="B6385" i="106"/>
  <c r="D6385" i="106"/>
  <c r="B6386" i="106"/>
  <c r="D6386" i="106" s="1"/>
  <c r="B6387" i="106"/>
  <c r="D6387" i="106" s="1"/>
  <c r="B6388" i="106"/>
  <c r="D6388" i="106" s="1"/>
  <c r="B6389" i="106"/>
  <c r="D6389" i="106"/>
  <c r="B6390" i="106"/>
  <c r="D6390" i="106" s="1"/>
  <c r="B6391" i="106"/>
  <c r="D6391" i="106"/>
  <c r="B6392" i="106"/>
  <c r="D6392" i="106" s="1"/>
  <c r="B6393" i="106"/>
  <c r="D6393" i="106"/>
  <c r="B6394" i="106"/>
  <c r="D6394" i="106" s="1"/>
  <c r="B6395" i="106"/>
  <c r="D6395" i="106" s="1"/>
  <c r="B6398" i="106"/>
  <c r="D6398" i="106" s="1"/>
  <c r="B6399" i="106"/>
  <c r="D6399" i="106"/>
  <c r="B6401" i="106"/>
  <c r="D6401" i="106" s="1"/>
  <c r="B6402" i="106"/>
  <c r="D6402" i="106"/>
  <c r="B6403" i="106"/>
  <c r="D6403" i="106" s="1"/>
  <c r="B6404" i="106"/>
  <c r="D6404" i="106"/>
  <c r="B6405" i="106"/>
  <c r="D6405" i="106" s="1"/>
  <c r="B6406" i="106"/>
  <c r="D6406" i="106" s="1"/>
  <c r="B6407" i="106"/>
  <c r="D6407" i="106" s="1"/>
  <c r="B6408" i="106"/>
  <c r="D6408" i="106"/>
  <c r="B6410" i="106"/>
  <c r="D6410" i="106" s="1"/>
  <c r="B6411" i="106"/>
  <c r="D6411" i="106"/>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c r="B6619" i="106"/>
  <c r="D6619" i="106" s="1"/>
  <c r="B6620" i="106"/>
  <c r="D6620" i="106" s="1"/>
  <c r="B6621" i="106"/>
  <c r="D6621" i="106" s="1"/>
  <c r="B6622" i="106"/>
  <c r="D6622" i="106" s="1"/>
  <c r="B6623" i="106"/>
  <c r="D6623" i="106" s="1"/>
  <c r="B6624" i="106"/>
  <c r="D6624" i="106"/>
  <c r="B6625" i="106"/>
  <c r="D6625" i="106" s="1"/>
  <c r="B6626" i="106"/>
  <c r="D6626" i="106"/>
  <c r="B6627" i="106"/>
  <c r="D6627" i="106" s="1"/>
  <c r="B6628" i="106"/>
  <c r="D6628" i="106" s="1"/>
  <c r="B6629" i="106"/>
  <c r="D6629" i="106" s="1"/>
  <c r="B6630" i="106"/>
  <c r="D6630" i="106" s="1"/>
  <c r="B6631" i="106"/>
  <c r="D6631" i="106" s="1"/>
  <c r="B6632" i="106"/>
  <c r="D6632" i="106"/>
  <c r="B6633" i="106"/>
  <c r="D6633" i="106" s="1"/>
  <c r="B6634" i="106"/>
  <c r="D6634" i="106"/>
  <c r="B6635" i="106"/>
  <c r="D6635" i="106" s="1"/>
  <c r="B6636" i="106"/>
  <c r="D6636" i="106" s="1"/>
  <c r="B6637" i="106"/>
  <c r="D6637" i="106" s="1"/>
  <c r="B6638" i="106"/>
  <c r="D6638" i="106" s="1"/>
  <c r="B6639" i="106"/>
  <c r="D6639" i="106" s="1"/>
  <c r="B6640" i="106"/>
  <c r="D6640" i="106"/>
  <c r="B6641" i="106"/>
  <c r="D6641" i="106" s="1"/>
  <c r="B6642" i="106"/>
  <c r="D6642" i="106"/>
  <c r="B6643" i="106"/>
  <c r="D6643" i="106" s="1"/>
  <c r="B6644" i="106"/>
  <c r="D6644" i="106" s="1"/>
  <c r="B6645" i="106"/>
  <c r="D6645" i="106" s="1"/>
  <c r="B6646" i="106"/>
  <c r="D6646" i="106" s="1"/>
  <c r="B6647" i="106"/>
  <c r="D6647" i="106" s="1"/>
  <c r="B6648" i="106"/>
  <c r="D6648" i="106"/>
  <c r="B6649" i="106"/>
  <c r="D6649" i="106" s="1"/>
  <c r="B6650" i="106"/>
  <c r="D6650" i="106"/>
  <c r="B6651" i="106"/>
  <c r="D6651" i="106" s="1"/>
  <c r="B6652" i="106"/>
  <c r="D6652" i="106" s="1"/>
  <c r="B6653" i="106"/>
  <c r="D6653" i="106" s="1"/>
  <c r="B6654" i="106"/>
  <c r="D6654" i="106" s="1"/>
  <c r="B6655" i="106"/>
  <c r="D6655" i="106" s="1"/>
  <c r="B6656" i="106"/>
  <c r="D6656" i="106"/>
  <c r="B6657" i="106"/>
  <c r="D6657" i="106" s="1"/>
  <c r="B6658" i="106"/>
  <c r="D6658" i="106"/>
  <c r="B6659" i="106"/>
  <c r="D6659" i="106" s="1"/>
  <c r="B6660" i="106"/>
  <c r="D6660" i="106" s="1"/>
  <c r="B6661" i="106"/>
  <c r="D6661" i="106" s="1"/>
  <c r="B6662" i="106"/>
  <c r="D6662" i="106" s="1"/>
  <c r="B6663" i="106"/>
  <c r="D6663" i="106" s="1"/>
  <c r="B6664" i="106"/>
  <c r="D6664" i="106"/>
  <c r="B6665" i="106"/>
  <c r="D6665" i="106" s="1"/>
  <c r="B6666" i="106"/>
  <c r="D6666" i="106"/>
  <c r="B6667" i="106"/>
  <c r="D6667" i="106" s="1"/>
  <c r="B6668" i="106"/>
  <c r="D6668" i="106" s="1"/>
  <c r="B6669" i="106"/>
  <c r="D6669" i="106" s="1"/>
  <c r="B6670" i="106"/>
  <c r="D6670" i="106" s="1"/>
  <c r="B6671" i="106"/>
  <c r="D6671" i="106" s="1"/>
  <c r="B6672" i="106"/>
  <c r="D6672" i="106"/>
  <c r="B6673" i="106"/>
  <c r="D6673" i="106" s="1"/>
  <c r="B6674" i="106"/>
  <c r="D6674" i="106"/>
  <c r="B6675" i="106"/>
  <c r="D6675" i="106" s="1"/>
  <c r="B6676" i="106"/>
  <c r="D6676" i="106" s="1"/>
  <c r="B6677" i="106"/>
  <c r="D6677" i="106" s="1"/>
  <c r="B6678" i="106"/>
  <c r="D6678" i="106" s="1"/>
  <c r="B6679" i="106"/>
  <c r="D6679" i="106" s="1"/>
  <c r="B6680" i="106"/>
  <c r="D6680" i="106"/>
  <c r="B6681" i="106"/>
  <c r="D6681" i="106" s="1"/>
  <c r="B6682" i="106"/>
  <c r="D6682" i="106"/>
  <c r="B6683" i="106"/>
  <c r="D6683" i="106" s="1"/>
  <c r="B6684" i="106"/>
  <c r="D6684" i="106" s="1"/>
  <c r="B6685" i="106"/>
  <c r="D6685" i="106" s="1"/>
  <c r="B6686" i="106"/>
  <c r="D6686" i="106" s="1"/>
  <c r="B6687" i="106"/>
  <c r="D6687" i="106" s="1"/>
  <c r="B6688" i="106"/>
  <c r="D6688" i="106"/>
  <c r="B6689" i="106"/>
  <c r="D6689" i="106" s="1"/>
  <c r="B6690" i="106"/>
  <c r="D6690" i="106"/>
  <c r="B6691" i="106"/>
  <c r="D6691" i="106" s="1"/>
  <c r="B6692" i="106"/>
  <c r="D6692" i="106" s="1"/>
  <c r="B6693" i="106"/>
  <c r="D6693" i="106" s="1"/>
  <c r="B6694" i="106"/>
  <c r="D6694" i="106" s="1"/>
  <c r="B6695" i="106"/>
  <c r="D6695" i="106" s="1"/>
  <c r="B6696" i="106"/>
  <c r="D6696" i="106"/>
  <c r="B6697" i="106"/>
  <c r="D6697" i="106" s="1"/>
  <c r="B6698" i="106"/>
  <c r="D6698" i="106"/>
  <c r="B6699" i="106"/>
  <c r="D6699" i="106" s="1"/>
  <c r="B6700" i="106"/>
  <c r="D6700" i="106" s="1"/>
  <c r="B6701" i="106"/>
  <c r="D6701" i="106" s="1"/>
  <c r="B6702" i="106"/>
  <c r="D6702" i="106" s="1"/>
  <c r="B6703" i="106"/>
  <c r="D6703" i="106" s="1"/>
  <c r="B6704" i="106"/>
  <c r="D6704" i="106"/>
  <c r="B6705" i="106"/>
  <c r="D6705" i="106" s="1"/>
  <c r="B6706" i="106"/>
  <c r="D6706" i="106"/>
  <c r="B6707" i="106"/>
  <c r="D6707" i="106" s="1"/>
  <c r="B6708" i="106"/>
  <c r="D6708" i="106" s="1"/>
  <c r="B6709" i="106"/>
  <c r="D6709" i="106" s="1"/>
  <c r="B6710" i="106"/>
  <c r="D6710" i="106" s="1"/>
  <c r="B6711" i="106"/>
  <c r="D6711" i="106" s="1"/>
  <c r="B6712" i="106"/>
  <c r="D6712" i="106"/>
  <c r="B6713" i="106"/>
  <c r="D6713" i="106" s="1"/>
  <c r="B6714" i="106"/>
  <c r="D6714" i="106"/>
  <c r="B6715" i="106"/>
  <c r="D6715" i="106" s="1"/>
  <c r="B6716" i="106"/>
  <c r="D6716" i="106" s="1"/>
  <c r="B6717" i="106"/>
  <c r="D6717" i="106" s="1"/>
  <c r="B6718" i="106"/>
  <c r="D6718" i="106" s="1"/>
  <c r="B6719" i="106"/>
  <c r="D6719" i="106" s="1"/>
  <c r="B6720" i="106"/>
  <c r="D6720" i="106"/>
  <c r="B6721" i="106"/>
  <c r="D6721" i="106" s="1"/>
  <c r="B6722" i="106"/>
  <c r="D6722" i="106"/>
  <c r="B6723" i="106"/>
  <c r="D6723" i="106" s="1"/>
  <c r="B6724" i="106"/>
  <c r="D6724" i="106" s="1"/>
  <c r="B6725" i="106"/>
  <c r="D6725" i="106" s="1"/>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9" i="36"/>
  <c r="D71" i="36"/>
  <c r="D72" i="36"/>
  <c r="D79" i="36"/>
  <c r="B64" i="127"/>
  <c r="B65" i="127"/>
  <c r="E26" i="108"/>
  <c r="G26" i="108"/>
  <c r="D27" i="108"/>
  <c r="E27" i="108"/>
  <c r="F27" i="108"/>
  <c r="G27" i="108"/>
  <c r="F31" i="108"/>
  <c r="F36" i="108"/>
  <c r="F37" i="108"/>
  <c r="G28" i="108"/>
  <c r="E29" i="108"/>
  <c r="E30"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F106" i="34" s="1"/>
  <c r="B5383" i="106"/>
  <c r="D5383" i="106" s="1"/>
  <c r="G140" i="5"/>
  <c r="G144" i="5"/>
  <c r="B5756" i="106" s="1"/>
  <c r="D5756" i="106" s="1"/>
  <c r="G154" i="5"/>
  <c r="B4357" i="106" s="1"/>
  <c r="D4357" i="106" s="1"/>
  <c r="G172" i="5"/>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K274" i="5" s="1"/>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5" i="7"/>
  <c r="B1761" i="106" s="1"/>
  <c r="D1761" i="106" s="1"/>
  <c r="D9" i="7"/>
  <c r="B1767" i="106" s="1"/>
  <c r="D1767" i="106" s="1"/>
  <c r="B5770" i="106"/>
  <c r="D5770" i="106" s="1"/>
  <c r="F136" i="34"/>
  <c r="F127" i="34"/>
  <c r="B5847" i="106"/>
  <c r="D5847" i="106" s="1"/>
  <c r="B5752" i="106"/>
  <c r="D5752" i="106" s="1"/>
  <c r="B5599" i="106"/>
  <c r="D5599" i="106" s="1"/>
  <c r="D109" i="5"/>
  <c r="B5356" i="106" s="1"/>
  <c r="D5356" i="106" s="1"/>
  <c r="B1746" i="106"/>
  <c r="D1746" i="106" s="1"/>
  <c r="D17" i="7"/>
  <c r="B4104" i="106" s="1"/>
  <c r="D4104" i="106" s="1"/>
  <c r="F77" i="4" l="1"/>
  <c r="B3255" i="106" s="1"/>
  <c r="D3255" i="106" s="1"/>
  <c r="E14" i="145"/>
  <c r="G14" i="145" s="1"/>
  <c r="B1124" i="106"/>
  <c r="D1124" i="106" s="1"/>
  <c r="F15" i="145"/>
  <c r="F19" i="145" s="1"/>
  <c r="B1274" i="106"/>
  <c r="D1274" i="106" s="1"/>
  <c r="I173" i="5"/>
  <c r="B4216" i="106" s="1"/>
  <c r="D4216" i="106" s="1"/>
  <c r="D15" i="7"/>
  <c r="B1772" i="106" s="1"/>
  <c r="D1772" i="106" s="1"/>
  <c r="D7" i="7"/>
  <c r="B1763" i="106" s="1"/>
  <c r="D1763" i="106" s="1"/>
  <c r="H173" i="5"/>
  <c r="F131" i="34"/>
  <c r="F69" i="34"/>
  <c r="F36" i="34"/>
  <c r="D4" i="4"/>
  <c r="B2564" i="106" s="1"/>
  <c r="D2564" i="106" s="1"/>
  <c r="H109" i="5"/>
  <c r="F130" i="34"/>
  <c r="L367" i="29"/>
  <c r="D11" i="7"/>
  <c r="B1768" i="106" s="1"/>
  <c r="D1768" i="106" s="1"/>
  <c r="F111" i="34"/>
  <c r="K28" i="118"/>
  <c r="O27" i="118" s="1"/>
  <c r="O29" i="118" s="1"/>
  <c r="D5" i="4"/>
  <c r="B3406" i="106" s="1"/>
  <c r="D3406" i="106" s="1"/>
  <c r="F66" i="34"/>
  <c r="B6191" i="106"/>
  <c r="D6191" i="106" s="1"/>
  <c r="J41" i="3"/>
  <c r="B3649" i="106"/>
  <c r="D3649" i="106" s="1"/>
  <c r="G367" i="29"/>
  <c r="B3650" i="106" s="1"/>
  <c r="D3650" i="106" s="1"/>
  <c r="K184" i="29"/>
  <c r="F13" i="4" s="1"/>
  <c r="B2596" i="106" s="1"/>
  <c r="D2596" i="106" s="1"/>
  <c r="B4087" i="106"/>
  <c r="D4087" i="106" s="1"/>
  <c r="D6103" i="106"/>
  <c r="E174" i="29"/>
  <c r="B1309" i="106" s="1"/>
  <c r="D1309" i="106" s="1"/>
  <c r="G15" i="145"/>
  <c r="B3621" i="106"/>
  <c r="D3621" i="106" s="1"/>
  <c r="C367" i="29"/>
  <c r="F21" i="8"/>
  <c r="H365" i="29"/>
  <c r="K76" i="4"/>
  <c r="B3586" i="106" s="1"/>
  <c r="D3586" i="106" s="1"/>
  <c r="L15" i="11"/>
  <c r="B3459" i="106" s="1"/>
  <c r="D3459" i="106" s="1"/>
  <c r="D68" i="36"/>
  <c r="F19" i="7"/>
  <c r="B1807" i="106" s="1"/>
  <c r="D1807" i="106" s="1"/>
  <c r="K350" i="29"/>
  <c r="L342" i="29"/>
  <c r="B1410" i="106"/>
  <c r="D1410" i="106" s="1"/>
  <c r="G29" i="108"/>
  <c r="B1329" i="106"/>
  <c r="D1329" i="106" s="1"/>
  <c r="F61" i="34"/>
  <c r="F28" i="108"/>
  <c r="B3488" i="106"/>
  <c r="D3488" i="106" s="1"/>
  <c r="E28" i="108"/>
  <c r="G38" i="108"/>
  <c r="G30" i="108"/>
  <c r="D26" i="108"/>
  <c r="F26" i="108"/>
  <c r="F41" i="34"/>
  <c r="F128" i="34"/>
  <c r="C172" i="5"/>
  <c r="G109" i="5"/>
  <c r="B6024" i="106" s="1"/>
  <c r="D6024" i="106" s="1"/>
  <c r="E109" i="5"/>
  <c r="E4" i="4" s="1"/>
  <c r="B2630" i="106" s="1"/>
  <c r="D2630" i="106" s="1"/>
  <c r="D13" i="7"/>
  <c r="B3726" i="106" s="1"/>
  <c r="D3726" i="106" s="1"/>
  <c r="D12" i="7"/>
  <c r="B1769" i="106" s="1"/>
  <c r="D1769" i="106" s="1"/>
  <c r="D4" i="7"/>
  <c r="B1760" i="106" s="1"/>
  <c r="D1760" i="106" s="1"/>
  <c r="C109" i="5"/>
  <c r="B5121" i="106" s="1"/>
  <c r="D5121" i="106" s="1"/>
  <c r="D54"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B3447" i="106"/>
  <c r="D3447" i="106" s="1"/>
  <c r="B7270" i="106"/>
  <c r="K365" i="29" l="1"/>
  <c r="D7254" i="106"/>
  <c r="J16" i="4"/>
  <c r="B6226" i="106" s="1"/>
  <c r="D6226" i="106" s="1"/>
  <c r="D7250" i="106"/>
  <c r="B1879" i="106"/>
  <c r="D1879" i="106" s="1"/>
  <c r="H22" i="37"/>
  <c r="B5906" i="106"/>
  <c r="D5906" i="106" s="1"/>
  <c r="H6" i="4"/>
  <c r="B2656" i="106" s="1"/>
  <c r="D2656" i="106" s="1"/>
  <c r="F41" i="108"/>
  <c r="G43" i="108" s="1"/>
  <c r="D274" i="5"/>
  <c r="B5914" i="106"/>
  <c r="D5914" i="106" s="1"/>
  <c r="D7256" i="106"/>
  <c r="D7251" i="106"/>
  <c r="G4" i="4"/>
  <c r="B2603" i="106" s="1"/>
  <c r="D2603" i="106" s="1"/>
  <c r="H367" i="29"/>
  <c r="B3660" i="106" s="1"/>
  <c r="D3660" i="106" s="1"/>
  <c r="B7242" i="106"/>
  <c r="D7242" i="106" s="1"/>
  <c r="B6025" i="106"/>
  <c r="D6025" i="106" s="1"/>
  <c r="H4" i="4"/>
  <c r="L16" i="11"/>
  <c r="B2061" i="106" s="1"/>
  <c r="D2061" i="106" s="1"/>
  <c r="B2031" i="106"/>
  <c r="D2031" i="106" s="1"/>
  <c r="K367" i="29"/>
  <c r="B3670" i="106"/>
  <c r="D3670" i="106" s="1"/>
  <c r="K352" i="29"/>
  <c r="K342" i="29"/>
  <c r="F13" i="34" s="1"/>
  <c r="B1317" i="106"/>
  <c r="D1317" i="106" s="1"/>
  <c r="L114" i="29"/>
  <c r="C114" i="29"/>
  <c r="B757" i="106" s="1"/>
  <c r="D757" i="106" s="1"/>
  <c r="F275" i="5"/>
  <c r="B5720" i="106" s="1"/>
  <c r="D5720" i="106" s="1"/>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F8" i="4" l="1"/>
  <c r="B2655" i="106"/>
  <c r="D2655" i="106" s="1"/>
  <c r="H8" i="4"/>
  <c r="K13" i="4"/>
  <c r="B3572" i="106" s="1"/>
  <c r="D3572" i="106" s="1"/>
  <c r="B3672" i="106"/>
  <c r="D3672" i="106" s="1"/>
  <c r="B7224" i="106"/>
  <c r="D7224" i="106" s="1"/>
  <c r="J17" i="4"/>
  <c r="J19" i="4" s="1"/>
  <c r="B6229" i="106" s="1"/>
  <c r="D6229" i="106" s="1"/>
  <c r="G41" i="108"/>
  <c r="G44" i="108" s="1"/>
  <c r="G45" i="108" s="1"/>
  <c r="E41" i="108"/>
  <c r="E44" i="108" s="1"/>
  <c r="E45" i="108"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2658" i="106" l="1"/>
  <c r="D2658" i="106" s="1"/>
  <c r="H10" i="4"/>
  <c r="B4127" i="106" s="1"/>
  <c r="D4127" i="106" s="1"/>
  <c r="K17" i="4"/>
  <c r="B3575" i="106" s="1"/>
  <c r="D3575" i="106" s="1"/>
  <c r="B6227" i="106"/>
  <c r="D6227" i="106" s="1"/>
  <c r="J20" i="4"/>
  <c r="B6230" i="106" s="1"/>
  <c r="D6230"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<sst xmlns="http://schemas.openxmlformats.org/spreadsheetml/2006/main" count="5075" uniqueCount="2124">
  <si>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</si>
  <si>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</si>
  <si>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</si>
  <si>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</si>
  <si>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</si>
  <si>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</si>
  <si>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</si>
  <si>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</si>
  <si>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</si>
  <si>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</si>
  <si>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</si>
  <si>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</si>
  <si>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</si>
  <si>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</si>
  <si>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</si>
  <si>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</si>
  <si>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</si>
  <si>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</si>
  <si>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</si>
  <si>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</si>
  <si>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</si>
  <si>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</si>
  <si>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</si>
  <si>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</si>
  <si>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</si>
  <si>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</si>
  <si>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</si>
  <si>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</si>
  <si>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</si>
  <si>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</si>
  <si>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</si>
  <si>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</si>
  <si>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</si>
  <si>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</si>
  <si>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</si>
  <si>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</si>
  <si>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</si>
  <si>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</si>
  <si>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</si>
  <si>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</si>
  <si>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</si>
  <si>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</si>
  <si>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</si>
  <si>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</si>
  <si>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</si>
  <si>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</si>
  <si>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</si>
  <si>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</si>
  <si>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</si>
  <si>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</si>
  <si>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</si>
  <si>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</si>
  <si>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</si>
  <si>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</si>
  <si>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</si>
  <si>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</si>
  <si>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</si>
  <si>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</si>
  <si>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</si>
  <si>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</si>
  <si>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</si>
  <si>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</si>
  <si>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</si>
  <si>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</si>
  <si>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</si>
  <si>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</si>
  <si>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</si>
  <si>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</si>
  <si>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</si>
  <si>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</si>
  <si>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</si>
  <si>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</si>
  <si>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</si>
  <si>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</si>
  <si>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</si>
  <si>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</si>
  <si>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</si>
  <si>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</si>
  <si>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</si>
  <si>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</si>
  <si>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</si>
  <si>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</si>
  <si>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</si>
  <si>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</si>
  <si>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</si>
  <si>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</si>
  <si>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</si>
  <si>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</si>
  <si>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</si>
  <si>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</si>
  <si>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</si>
  <si>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</si>
  <si>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</si>
  <si>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</si>
  <si>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</si>
  <si>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</si>
  <si>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</si>
  <si>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</si>
  <si>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</si>
  <si>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</si>
  <si>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</si>
  <si>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</si>
  <si>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</si>
  <si>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</si>
  <si>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</si>
  <si>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</si>
  <si>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</si>
  <si>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</si>
  <si>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</si>
  <si>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</si>
  <si>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</si>
  <si>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</si>
  <si>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</si>
  <si>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</si>
  <si>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</si>
  <si>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</si>
  <si>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</si>
  <si>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</si>
  <si>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</si>
  <si>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</si>
  <si>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</si>
  <si>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</si>
  <si>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</si>
  <si>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</si>
  <si>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</si>
  <si>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</si>
  <si>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</si>
  <si>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</si>
  <si>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</si>
  <si>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</si>
  <si>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</si>
  <si>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</si>
  <si>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</si>
  <si>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</si>
  <si>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</si>
  <si>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</si>
  <si>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</si>
  <si>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</si>
  <si>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</si>
  <si>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</si>
  <si>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</si>
  <si>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</si>
  <si>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</si>
  <si>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</si>
  <si>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</si>
  <si>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</si>
  <si>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</si>
  <si>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</si>
  <si>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</si>
  <si>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</si>
  <si>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</si>
  <si>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</si>
  <si>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</si>
  <si>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</si>
  <si>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</si>
  <si>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</si>
  <si>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</si>
  <si>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</si>
  <si>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</si>
  <si>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</si>
  <si>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</si>
  <si>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</si>
  <si>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</si>
  <si>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</si>
  <si>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</si>
  <si>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</si>
  <si>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</si>
  <si>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</si>
  <si>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</si>
  <si>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</si>
  <si>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</si>
  <si>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</si>
  <si>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</si>
  <si>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</si>
  <si>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</si>
  <si>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</si>
  <si>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</si>
  <si>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</si>
  <si>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</si>
  <si>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</si>
  <si>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</si>
  <si>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</si>
  <si>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</si>
  <si>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</si>
  <si>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</si>
  <si>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</si>
  <si>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</si>
  <si>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</si>
  <si>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</si>
  <si>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</si>
  <si>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</si>
  <si>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</si>
  <si>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</si>
  <si>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</si>
  <si>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</si>
  <si>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</si>
  <si>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</si>
  <si>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</si>
  <si>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</si>
  <si>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</si>
  <si>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</si>
  <si>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</si>
  <si>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</si>
  <si>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</si>
  <si>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</si>
  <si>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</si>
  <si>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</si>
  <si>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</si>
  <si>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</si>
  <si>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</si>
  <si>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</si>
  <si>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</si>
  <si>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</si>
  <si>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</si>
  <si>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</si>
  <si>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</si>
  <si>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</si>
  <si>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</si>
  <si>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</si>
  <si>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</si>
  <si>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</si>
  <si>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</si>
  <si>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</si>
  <si>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</si>
  <si>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</si>
  <si>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</si>
  <si>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</si>
  <si>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</si>
  <si>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</si>
  <si>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</si>
  <si>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</si>
  <si>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</si>
  <si>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</si>
  <si>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</si>
  <si>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</si>
  <si>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</si>
  <si>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</si>
  <si>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</si>
  <si>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</si>
  <si>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</si>
  <si>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</si>
  <si>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</si>
  <si>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</si>
  <si>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</si>
  <si>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</si>
  <si>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</si>
  <si>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</si>
  <si>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</si>
  <si>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</si>
  <si>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</si>
  <si>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</si>
  <si>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</si>
  <si>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</si>
  <si>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</si>
  <si>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</si>
  <si>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</si>
  <si>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</si>
  <si>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</si>
  <si>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</si>
  <si>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</si>
  <si>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</si>
  <si>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</si>
  <si>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</si>
  <si>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</si>
  <si>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</si>
  <si>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</si>
  <si>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</si>
  <si>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</si>
  <si>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</si>
  <si>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</si>
  <si>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</si>
  <si>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</si>
  <si>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</si>
  <si>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</si>
  <si>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</si>
  <si>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</si>
  <si>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</si>
  <si>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</si>
  <si>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</si>
  <si>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</si>
  <si>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</si>
  <si>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</si>
  <si>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</si>
  <si>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</si>
  <si>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</si>
  <si>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</si>
  <si>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</si>
  <si>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</si>
  <si>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</si>
  <si>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</si>
  <si>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</si>
  <si>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</si>
  <si>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</si>
  <si>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</si>
  <si>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</si>
  <si>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</si>
  <si>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</si>
  <si>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</si>
  <si>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</si>
  <si>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</si>
  <si>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</si>
  <si>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</si>
  <si>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</si>
  <si>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</si>
  <si>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</si>
  <si>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</si>
  <si>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</si>
  <si>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</si>
  <si>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</si>
  <si>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</si>
  <si>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</si>
  <si>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</si>
  <si>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</si>
  <si>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</si>
  <si>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</si>
  <si>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</si>
  <si>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</si>
  <si>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</si>
  <si>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</si>
  <si>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</si>
  <si>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</si>
  <si>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</si>
  <si>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</si>
  <si>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</si>
  <si>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</si>
  <si>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</si>
  <si>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</si>
  <si>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</si>
  <si>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</si>
  <si>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</si>
  <si>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</si>
  <si>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</si>
  <si>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</si>
  <si>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</si>
  <si>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</si>
  <si>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</si>
  <si>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</si>
  <si>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</si>
  <si>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</si>
  <si>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</si>
  <si>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</si>
  <si>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</si>
  <si>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</si>
  <si>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</si>
  <si>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</si>
  <si>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</si>
  <si>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</si>
  <si>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</si>
  <si>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</si>
  <si>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</si>
  <si>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</si>
  <si>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</si>
  <si>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</si>
  <si>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</si>
  <si>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</si>
  <si>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</si>
  <si>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</si>
  <si>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</si>
  <si>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</si>
  <si>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</si>
  <si>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</si>
  <si>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</si>
  <si>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</si>
  <si>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</si>
  <si>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</si>
  <si>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</si>
  <si>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</si>
  <si>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</si>
  <si>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</si>
  <si>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</si>
  <si>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</si>
  <si>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</si>
  <si>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</si>
  <si>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</si>
  <si>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</si>
  <si>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</si>
  <si>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</si>
  <si>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</si>
  <si>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</si>
  <si>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</si>
  <si>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</si>
  <si>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</si>
  <si>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</si>
  <si>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</si>
  <si>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</si>
  <si>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</si>
  <si>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</si>
  <si>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</si>
  <si>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</si>
  <si>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</si>
  <si>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</si>
  <si>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</si>
  <si>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</si>
  <si>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</si>
  <si>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</si>
  <si>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</si>
  <si>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</si>
  <si>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</si>
  <si>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</si>
  <si>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</si>
  <si>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</si>
  <si>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</si>
  <si>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</si>
  <si>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</si>
  <si>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</si>
  <si>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</si>
  <si>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</si>
  <si>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</si>
  <si>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</si>
  <si>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</si>
  <si>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</si>
  <si>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</si>
  <si>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</si>
  <si>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</si>
  <si>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</si>
  <si>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</si>
  <si>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</si>
  <si>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</si>
  <si>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</si>
  <si>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</si>
  <si>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</si>
  <si>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</si>
  <si>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</si>
  <si>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</si>
  <si>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</si>
  <si>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</si>
  <si>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</si>
  <si>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</si>
  <si>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</si>
  <si>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</si>
  <si>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</si>
  <si>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</si>
  <si>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</si>
  <si>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</si>
  <si>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</si>
  <si>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</si>
  <si>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</si>
  <si>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</si>
  <si>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</si>
  <si>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</si>
  <si>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</si>
  <si>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</si>
  <si>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</si>
  <si>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</si>
  <si>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</si>
  <si>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</si>
  <si>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</si>
  <si>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</si>
  <si>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</si>
  <si>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</si>
  <si>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</si>
  <si>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</si>
  <si>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</si>
  <si>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</si>
  <si>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</si>
  <si>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</si>
  <si>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</si>
  <si>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</si>
  <si>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</si>
  <si>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</si>
  <si>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</si>
  <si>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</si>
  <si>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</si>
  <si>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</si>
  <si>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</si>
  <si>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</si>
  <si>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</si>
  <si>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</si>
  <si>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</si>
  <si>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</si>
  <si>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</si>
  <si>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</si>
  <si>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</si>
  <si>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</si>
  <si>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</si>
  <si>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</si>
  <si>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</si>
  <si>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</si>
  <si>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</si>
  <si>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</si>
  <si>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</si>
  <si>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</si>
  <si>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</si>
  <si>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</si>
  <si>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</si>
  <si>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</si>
  <si>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</si>
  <si>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</si>
  <si>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</si>
  <si>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</si>
  <si>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</si>
  <si>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</si>
  <si>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</si>
  <si>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</si>
  <si>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</si>
  <si>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</si>
  <si>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</si>
  <si>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</si>
  <si>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</si>
  <si>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</si>
  <si>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</si>
  <si>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</si>
  <si>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</si>
  <si>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</si>
  <si>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</si>
  <si>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</si>
  <si>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</si>
  <si>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</si>
  <si>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</si>
  <si>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</si>
  <si>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</si>
  <si>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</si>
  <si>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</si>
  <si>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</si>
  <si>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</si>
  <si>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</si>
  <si>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</si>
  <si>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</si>
  <si>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</si>
  <si>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</si>
  <si>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</si>
  <si>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</si>
  <si>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</si>
  <si>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</si>
  <si>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</si>
  <si>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</si>
  <si>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</si>
  <si>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</si>
  <si>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</si>
  <si>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</si>
  <si>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</si>
  <si>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</si>
  <si>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</si>
  <si>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</si>
  <si>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</si>
  <si>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</si>
  <si>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</si>
  <si>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</si>
  <si>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</si>
  <si>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</si>
  <si>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</si>
  <si>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</si>
  <si>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</si>
  <si>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</si>
  <si>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</si>
  <si>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</si>
  <si>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</si>
  <si>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</si>
  <si>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</si>
  <si>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</si>
  <si>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</si>
  <si>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</si>
  <si>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</si>
  <si>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</si>
  <si>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</si>
  <si>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</si>
  <si>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</si>
  <si>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</si>
  <si>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</si>
  <si>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</si>
  <si>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</si>
  <si>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</si>
  <si>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</si>
  <si>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</si>
  <si>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</si>
  <si>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</si>
  <si>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</si>
  <si>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</si>
  <si>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</si>
  <si>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</si>
  <si>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</si>
  <si>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</si>
  <si>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</si>
  <si>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</si>
  <si>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</si>
  <si>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</si>
  <si>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</si>
  <si>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</si>
  <si>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</si>
  <si>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</si>
  <si>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</si>
  <si>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</si>
  <si>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</si>
  <si>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</si>
  <si>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</si>
  <si>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</si>
  <si>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</si>
  <si>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</si>
  <si>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</si>
  <si>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</si>
  <si>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</si>
  <si>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</si>
  <si>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</si>
  <si>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</si>
  <si>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</si>
  <si>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</si>
  <si>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</si>
  <si>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</si>
  <si>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</si>
  <si>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</si>
  <si>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</si>
  <si>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</si>
  <si>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</si>
  <si>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</si>
  <si>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</si>
  <si>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</si>
  <si>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</si>
  <si>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</si>
  <si>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</si>
  <si>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</si>
  <si>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</si>
  <si>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</si>
  <si>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</si>
  <si>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</si>
  <si>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</si>
  <si>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</si>
  <si>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</si>
  <si>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</si>
  <si>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</si>
  <si>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</si>
  <si>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</si>
  <si>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</si>
  <si>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</si>
  <si>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</si>
  <si>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</si>
  <si>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</si>
  <si>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</si>
  <si>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</si>
  <si>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</si>
  <si>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</si>
  <si>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</si>
  <si>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</si>
  <si>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</si>
  <si>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</si>
  <si>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</si>
  <si>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</si>
  <si>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</si>
  <si>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</si>
  <si>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</si>
  <si>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</si>
  <si>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</si>
  <si>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</si>
  <si>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</si>
  <si>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</si>
  <si>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</si>
  <si>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</si>
  <si>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</si>
  <si>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</si>
  <si>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</si>
  <si>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</si>
  <si>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</si>
  <si>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</si>
  <si>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</si>
  <si>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</si>
  <si>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</si>
  <si>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</si>
  <si>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</si>
  <si>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</si>
  <si>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</si>
  <si>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</si>
  <si>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</si>
  <si>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</si>
  <si>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</si>
  <si>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</si>
  <si>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</si>
  <si>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</si>
  <si>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</si>
  <si>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</si>
  <si>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</si>
  <si>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</si>
  <si>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</si>
  <si>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</si>
  <si>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</si>
  <si>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</si>
  <si>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</si>
  <si>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</si>
  <si>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</si>
  <si>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</si>
  <si>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</si>
  <si>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</si>
  <si>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</si>
  <si>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</si>
  <si>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</si>
  <si>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</si>
  <si>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</si>
  <si>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</si>
  <si>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</si>
  <si>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</si>
  <si>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</si>
  <si>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</si>
  <si>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</si>
  <si>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</si>
  <si>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</si>
  <si>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</si>
  <si>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</si>
  <si>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</si>
  <si>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</si>
  <si>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</si>
  <si>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</si>
  <si>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</si>
  <si>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</si>
  <si>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</si>
  <si>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</si>
  <si>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</si>
  <si>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</si>
  <si>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</si>
  <si>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</si>
  <si>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</si>
  <si>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</si>
  <si>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</si>
  <si>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</si>
  <si>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</si>
  <si>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</si>
  <si>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</si>
  <si>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</si>
  <si>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</si>
  <si>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</si>
  <si>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</si>
  <si>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</si>
  <si>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</si>
  <si>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</si>
  <si>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</si>
  <si>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</si>
  <si>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</si>
  <si>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</si>
  <si>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</si>
  <si>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</si>
  <si>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</si>
  <si>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</si>
  <si>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</si>
  <si>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</si>
  <si>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</si>
  <si>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</si>
  <si>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</si>
  <si>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</si>
  <si>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</si>
  <si>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</si>
  <si>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</si>
  <si>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</si>
  <si>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</si>
  <si>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</si>
  <si>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</si>
  <si>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</si>
  <si>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</si>
  <si>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</si>
  <si>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</si>
  <si>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</si>
  <si>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</si>
  <si>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</si>
  <si>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</si>
  <si>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</si>
  <si>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</si>
  <si>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</si>
  <si>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</si>
  <si>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</si>
  <si>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</si>
  <si>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</si>
  <si>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</si>
  <si>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</si>
  <si>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</si>
  <si>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</si>
  <si>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</si>
  <si>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</si>
  <si>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</si>
  <si>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</si>
  <si>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</si>
  <si>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</si>
  <si>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</si>
  <si>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</si>
  <si>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</si>
  <si>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</si>
  <si>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</si>
  <si>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</si>
  <si>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</si>
  <si>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</si>
  <si>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</si>
  <si>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</si>
  <si>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</si>
  <si>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</si>
  <si>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</si>
  <si>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</si>
  <si>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</si>
  <si>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</si>
  <si>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</si>
  <si>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</si>
  <si>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</si>
  <si>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</si>
  <si>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</si>
  <si>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</si>
  <si>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</si>
  <si>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</si>
  <si>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</si>
  <si>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</si>
  <si>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</si>
  <si>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</si>
  <si>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</si>
  <si>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</si>
  <si>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</si>
  <si>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</si>
  <si>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</si>
  <si>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</si>
  <si>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</si>
  <si>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</si>
  <si>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</si>
  <si>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</si>
  <si>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</si>
  <si>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</si>
  <si>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</si>
  <si>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</si>
  <si>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</si>
  <si>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</si>
  <si>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</si>
  <si>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</si>
  <si>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</si>
  <si>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</si>
  <si>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</si>
  <si>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</si>
  <si>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</si>
  <si>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</si>
  <si>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</si>
  <si>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</si>
  <si>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</si>
  <si>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</si>
  <si>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</si>
  <si>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</si>
  <si>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</si>
  <si>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</si>
  <si>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</si>
  <si>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</si>
  <si>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</si>
  <si>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</si>
  <si>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</si>
  <si>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</si>
  <si>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</si>
  <si>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</si>
  <si>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</si>
  <si>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</si>
  <si>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</si>
  <si>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</si>
  <si>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</si>
  <si>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</si>
  <si>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</si>
  <si>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</si>
  <si>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</si>
  <si>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</si>
  <si>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</si>
  <si>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</si>
  <si>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</si>
  <si>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</si>
  <si>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</si>
  <si>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</si>
  <si>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</si>
  <si>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</si>
  <si>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</si>
  <si>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</si>
  <si>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</si>
  <si>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</si>
  <si>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</si>
  <si>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</si>
  <si>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</si>
  <si>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</si>
  <si>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</si>
  <si>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</si>
  <si>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</si>
  <si>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</si>
  <si>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</si>
  <si>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</si>
  <si>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</si>
  <si>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</si>
  <si>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</si>
  <si>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</si>
  <si>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</si>
  <si>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</si>
  <si>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</si>
  <si>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</si>
  <si>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</si>
  <si>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</si>
  <si>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</si>
  <si>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</si>
  <si>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</si>
  <si>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</si>
  <si>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</si>
  <si>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</si>
  <si>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</si>
  <si>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</si>
  <si>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</si>
  <si>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</si>
  <si>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</si>
  <si>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</si>
  <si>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</si>
  <si>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</si>
  <si>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</si>
  <si>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</si>
  <si>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</si>
  <si>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</si>
  <si>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</si>
  <si>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</si>
  <si>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</si>
  <si>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</si>
  <si>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</si>
  <si>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</si>
  <si>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</si>
  <si>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</si>
  <si>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</si>
  <si>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</si>
  <si>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</si>
  <si>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</si>
  <si>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</si>
  <si>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</si>
  <si>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</si>
  <si>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</si>
  <si>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</si>
  <si>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</si>
  <si>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</si>
  <si>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</si>
  <si>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</si>
  <si>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</si>
  <si>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</si>
  <si>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</si>
  <si>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</si>
  <si>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</si>
  <si>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</si>
  <si>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</si>
  <si>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</si>
  <si>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</si>
  <si>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</si>
  <si>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</si>
  <si>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</si>
  <si>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</si>
  <si>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</si>
  <si>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</si>
  <si>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</si>
  <si>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</si>
  <si>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</si>
  <si>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</si>
  <si>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</si>
  <si>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</si>
  <si>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</si>
  <si>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</si>
  <si>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</si>
  <si>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</si>
  <si>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</si>
  <si>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</si>
  <si>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</si>
  <si>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</si>
  <si>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</si>
  <si>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</si>
  <si>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</si>
  <si>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</si>
  <si>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</si>
  <si>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</si>
  <si>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</si>
  <si>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</si>
  <si>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</si>
  <si>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</si>
  <si>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</si>
  <si>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</si>
  <si>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</si>
  <si>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</si>
  <si>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</si>
  <si>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</si>
  <si>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</si>
  <si>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</si>
  <si>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</si>
  <si>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</si>
  <si>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</si>
  <si>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</si>
  <si>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</si>
  <si>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</si>
  <si>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</si>
  <si>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</si>
  <si>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</si>
  <si>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</si>
  <si>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</si>
  <si>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</si>
  <si>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</si>
  <si>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</si>
  <si>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</si>
  <si>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</si>
  <si>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</si>
  <si>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</si>
  <si>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</si>
  <si>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</si>
  <si>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</si>
  <si>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</si>
  <si>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</si>
  <si>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</si>
  <si>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</si>
  <si>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</si>
  <si>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</si>
  <si>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</si>
  <si>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</si>
  <si>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</si>
  <si>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</si>
  <si>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</si>
  <si>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</si>
  <si>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</si>
  <si>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</si>
  <si>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</si>
  <si>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</si>
  <si>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</si>
  <si>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</si>
  <si>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</si>
  <si>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</si>
  <si>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</si>
  <si>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</si>
  <si>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</si>
  <si>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</si>
  <si>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</si>
  <si>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</si>
  <si>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</si>
  <si>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</si>
  <si>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</si>
  <si>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</si>
  <si>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</si>
  <si>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</si>
  <si>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</si>
  <si>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</si>
  <si>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</si>
  <si>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</si>
  <si>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</si>
  <si>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</si>
  <si>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</si>
  <si>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</si>
  <si>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</si>
  <si>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</si>
  <si>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</si>
  <si>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</si>
  <si>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</si>
  <si>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</si>
  <si>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</si>
  <si>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</si>
  <si>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</si>
  <si>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</si>
  <si>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</si>
  <si>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</si>
  <si>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</si>
  <si>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</si>
  <si>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</si>
  <si>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</si>
  <si>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</si>
  <si>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</si>
  <si>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</si>
  <si>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</si>
  <si>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</si>
  <si>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</si>
  <si>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</si>
  <si>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</si>
  <si>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</si>
  <si>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</si>
  <si>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</si>
  <si>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</si>
  <si>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</si>
  <si>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</si>
  <si>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</si>
  <si>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</si>
  <si>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</si>
  <si>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</si>
  <si>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</si>
  <si>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</si>
  <si>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</si>
  <si>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</si>
  <si>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</si>
  <si>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</si>
  <si>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</si>
  <si>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</si>
  <si>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</si>
  <si>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</si>
  <si>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</si>
  <si>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</si>
  <si>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</si>
  <si>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</si>
  <si>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</si>
  <si>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</si>
  <si>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</si>
  <si>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</si>
  <si>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</si>
  <si>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</si>
  <si>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</si>
  <si>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</si>
  <si>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</si>
  <si>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</si>
  <si>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</si>
  <si>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</si>
  <si>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</si>
  <si>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</si>
  <si>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</si>
  <si>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</si>
  <si>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</si>
  <si>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</si>
  <si>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</si>
  <si>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</si>
  <si>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</si>
  <si>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</si>
  <si>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</si>
  <si>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</si>
  <si>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</si>
  <si>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</si>
  <si>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</si>
  <si>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</si>
  <si>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</si>
  <si>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</si>
  <si>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</si>
  <si>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</si>
  <si>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</si>
  <si>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</si>
  <si>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</si>
  <si>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</si>
  <si>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</si>
  <si>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</si>
  <si>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</si>
  <si>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</si>
  <si>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</si>
  <si>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</si>
  <si>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</si>
  <si>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</si>
  <si>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</si>
  <si>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</si>
  <si>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</si>
  <si>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</si>
  <si>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</si>
  <si>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</si>
  <si>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</si>
  <si>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</si>
  <si>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</si>
  <si>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</si>
  <si>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</si>
  <si>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</si>
  <si>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</si>
  <si>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</si>
  <si>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</si>
  <si>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</si>
  <si>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</si>
  <si>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</si>
  <si>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</si>
  <si>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</si>
  <si>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</si>
  <si>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</si>
  <si>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</si>
  <si>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</si>
  <si>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</si>
  <si>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</si>
  <si>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</si>
  <si>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</si>
  <si>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</si>
  <si>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</si>
  <si>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</si>
  <si>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</si>
  <si>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</si>
  <si>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</si>
  <si>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</si>
  <si>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</si>
  <si>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</si>
  <si>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</si>
  <si>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</si>
  <si>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</si>
  <si>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</si>
  <si>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</si>
  <si>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</si>
  <si>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</si>
  <si>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</si>
  <si>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</si>
  <si>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</si>
  <si>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</si>
  <si>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</si>
  <si>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</si>
  <si>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</si>
  <si>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</si>
  <si>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</si>
  <si>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</si>
  <si>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</si>
  <si>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</si>
  <si>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</si>
  <si>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</si>
  <si>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</si>
  <si>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</si>
  <si>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</si>
  <si>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</si>
  <si>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</si>
  <si>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</si>
  <si>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</si>
  <si>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</si>
  <si>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</si>
  <si>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</si>
  <si>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</si>
  <si>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</si>
  <si>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</si>
  <si>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</si>
  <si>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</si>
  <si>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</si>
  <si>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</si>
  <si>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</si>
  <si>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</si>
  <si>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</si>
  <si>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</si>
  <si>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</si>
  <si>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</si>
  <si>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</si>
  <si>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</si>
  <si>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</si>
  <si>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</si>
  <si>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</si>
  <si>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</si>
  <si>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</si>
  <si>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</si>
  <si>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</si>
  <si>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</si>
  <si>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</si>
  <si>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</si>
  <si>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</si>
  <si>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</si>
  <si>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</si>
  <si>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</si>
  <si>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</si>
  <si>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</si>
  <si>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</si>
  <si>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</si>
  <si>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</si>
  <si>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</si>
  <si>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</si>
  <si>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</si>
  <si>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</si>
  <si>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</si>
  <si>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</si>
  <si>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</si>
  <si>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</si>
  <si>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</si>
  <si>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</si>
  <si>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</si>
  <si>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</si>
  <si>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</si>
  <si>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</si>
  <si>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</si>
  <si>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</si>
  <si>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</si>
  <si>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</si>
  <si>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</si>
  <si>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</si>
  <si>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</si>
  <si>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</si>
  <si>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</si>
  <si>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</si>
  <si>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</si>
  <si>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</si>
  <si>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</si>
  <si>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</si>
  <si>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</si>
  <si>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</si>
  <si>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</si>
  <si>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</si>
  <si>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</si>
  <si>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</si>
  <si>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</si>
  <si>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</si>
  <si>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</si>
  <si>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</si>
  <si>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</si>
  <si>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</si>
  <si>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</si>
  <si>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</si>
  <si>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</si>
  <si>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</si>
  <si>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</si>
  <si>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</si>
  <si>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</si>
  <si>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</si>
  <si>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</si>
  <si>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</si>
  <si>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</si>
  <si>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</si>
  <si>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</si>
  <si>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</si>
  <si>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</si>
  <si>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</si>
  <si>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</si>
  <si>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</si>
  <si>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</si>
  <si>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</si>
  <si>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</si>
  <si>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</si>
  <si>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</si>
  <si>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</si>
  <si>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</si>
  <si>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</si>
  <si>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</si>
  <si>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</si>
  <si>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</si>
  <si>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</si>
  <si>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</si>
  <si>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</si>
  <si>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</si>
  <si>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</si>
  <si>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</si>
  <si>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</si>
  <si>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</si>
  <si>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</si>
  <si>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</si>
  <si>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</si>
  <si>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</si>
  <si>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</si>
  <si>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</si>
  <si>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</si>
  <si>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</si>
  <si>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</si>
  <si>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</si>
  <si>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</si>
  <si>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</si>
  <si>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</si>
  <si>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</si>
  <si>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</si>
  <si>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</si>
  <si>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</si>
  <si>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</si>
  <si>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</si>
  <si>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</si>
  <si>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</si>
  <si>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</si>
  <si>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</si>
  <si>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</si>
  <si>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</si>
  <si>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</si>
  <si>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</si>
  <si>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</si>
  <si>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</si>
  <si>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</si>
  <si>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</si>
  <si>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</si>
  <si>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</si>
  <si>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</si>
  <si>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</si>
  <si>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</si>
  <si>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</si>
  <si>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</si>
  <si>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</si>
  <si>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</si>
  <si>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</si>
  <si>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</si>
  <si>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</si>
  <si>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</si>
  <si>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</si>
  <si>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</si>
  <si>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</si>
  <si>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</si>
  <si>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</si>
  <si>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</si>
  <si>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</si>
  <si>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</si>
  <si>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</si>
  <si>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</si>
  <si>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</si>
  <si>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</si>
  <si>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</si>
  <si>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</si>
  <si>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</si>
  <si>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</si>
  <si>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</si>
  <si>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</si>
  <si>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</si>
  <si>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</si>
  <si>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</si>
  <si>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</si>
  <si>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</si>
  <si>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</si>
  <si>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</si>
  <si>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</si>
  <si>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</si>
  <si>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</si>
  <si>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</si>
  <si>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</si>
  <si>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</si>
  <si>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</si>
  <si>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</si>
  <si>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</si>
  <si>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</si>
  <si>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</si>
  <si>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</si>
  <si>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</si>
  <si>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</si>
  <si>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</si>
  <si>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</si>
  <si>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</si>
  <si>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</si>
  <si>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</si>
  <si>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</si>
  <si>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</si>
  <si>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</si>
  <si>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</si>
  <si>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</si>
  <si>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</si>
  <si>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</si>
  <si>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</si>
  <si>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</si>
  <si>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</si>
  <si>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</si>
  <si>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</si>
  <si>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</si>
  <si>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</si>
  <si>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</si>
  <si>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</si>
  <si>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</si>
  <si>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</si>
  <si>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</si>
  <si>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</si>
  <si>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</si>
  <si>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</si>
  <si>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</si>
  <si>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</si>
  <si>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</si>
  <si>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</si>
  <si>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</si>
  <si>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</si>
  <si>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</si>
  <si>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</si>
  <si>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</si>
  <si>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</si>
  <si>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</si>
  <si>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</si>
  <si>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</si>
  <si>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</si>
  <si>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</si>
  <si>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</si>
  <si>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</si>
  <si>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</si>
  <si>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</si>
  <si>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</si>
  <si>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</si>
  <si>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</si>
  <si>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</si>
  <si>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</si>
  <si>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</si>
  <si>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</si>
  <si>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</si>
  <si>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</si>
  <si>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</si>
  <si>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</si>
  <si>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</si>
  <si>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</si>
  <si>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</si>
  <si>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</si>
  <si>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</si>
  <si>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</si>
  <si>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</si>
  <si>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</si>
  <si>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</si>
  <si>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</si>
  <si>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</si>
  <si>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</si>
  <si>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</si>
  <si>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</si>
  <si>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</si>
  <si>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</si>
  <si>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</si>
  <si>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</si>
  <si>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</si>
  <si>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</si>
  <si>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</si>
  <si>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</si>
  <si>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</si>
  <si>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</si>
  <si>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</si>
  <si>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</si>
  <si>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</si>
  <si>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</si>
  <si>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</si>
  <si>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</si>
  <si>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</si>
  <si>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</si>
  <si>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</si>
  <si>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</si>
  <si>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</si>
  <si>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</si>
  <si>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</si>
  <si>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</si>
  <si>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</si>
  <si>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</si>
  <si>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</si>
  <si>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</si>
  <si>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</si>
  <si>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</si>
  <si>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</si>
  <si>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</si>
  <si>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</si>
  <si>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</si>
  <si>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</si>
  <si>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</si>
  <si>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</si>
  <si>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</si>
  <si>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</si>
  <si>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</si>
  <si>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</si>
  <si>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</si>
  <si>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</si>
  <si>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</si>
  <si>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</si>
  <si>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</si>
  <si>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</si>
  <si>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</si>
  <si>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</si>
  <si>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</si>
  <si>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</si>
  <si>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</si>
  <si>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</si>
  <si>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</si>
  <si>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</si>
  <si>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</si>
  <si>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</si>
  <si>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</si>
  <si>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</si>
  <si>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</si>
  <si>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</si>
  <si>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</si>
  <si>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</si>
  <si>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</si>
  <si>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</si>
  <si>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</si>
  <si>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</si>
  <si>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</si>
  <si>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</si>
  <si>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</si>
  <si>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</si>
  <si>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</si>
  <si>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</si>
  <si>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</si>
  <si>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</si>
  <si>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</si>
  <si>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</si>
  <si>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</si>
  <si>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</si>
  <si>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</si>
  <si>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</si>
  <si>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</si>
  <si>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</si>
  <si>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</si>
  <si>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</si>
  <si>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</si>
  <si>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</si>
  <si>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</si>
  <si>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</si>
  <si>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</si>
  <si>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</si>
  <si>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</si>
  <si>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</si>
  <si>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</si>
  <si>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</si>
  <si>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</si>
  <si>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</si>
  <si>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</si>
  <si>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</si>
  <si>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</si>
  <si>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</si>
  <si>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</si>
  <si>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</si>
  <si>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</si>
  <si>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</si>
  <si>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</si>
  <si>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</si>
  <si>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</si>
  <si>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</si>
  <si>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</si>
  <si>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</si>
  <si>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</si>
  <si>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</si>
  <si>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</si>
  <si>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</si>
  <si>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</si>
  <si>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</si>
  <si>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</si>
  <si>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</si>
  <si>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</si>
  <si>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</si>
  <si>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</si>
  <si>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</si>
  <si>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</si>
  <si>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</si>
  <si>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</si>
  <si>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</si>
  <si>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</si>
  <si>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</si>
  <si>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</si>
  <si>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</si>
  <si>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</si>
  <si>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</si>
  <si>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</si>
  <si>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</si>
  <si>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</si>
  <si>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</si>
  <si>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</si>
  <si>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</si>
  <si>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</si>
  <si>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</si>
  <si>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</si>
  <si>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</si>
  <si>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</si>
  <si>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</si>
  <si>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</si>
  <si>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</si>
  <si>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</si>
  <si>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</si>
  <si>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</si>
  <si>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</si>
  <si>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</si>
  <si>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</si>
  <si>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</si>
  <si>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</si>
  <si>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</si>
  <si>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</si>
  <si>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</si>
  <si>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</si>
  <si>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</si>
  <si>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</si>
  <si>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</si>
  <si>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</si>
  <si>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</si>
  <si>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</si>
  <si>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</si>
  <si>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</si>
  <si>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</si>
  <si>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</si>
  <si>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</si>
  <si>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</si>
  <si>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</si>
  <si>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</si>
  <si>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</si>
  <si>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</si>
  <si>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</si>
  <si>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</si>
  <si>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</si>
  <si>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</si>
  <si>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</si>
  <si>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</si>
  <si>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</si>
  <si>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</si>
  <si>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</si>
  <si>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</si>
  <si>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</si>
  <si>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</si>
  <si>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</si>
  <si>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</si>
  <si>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</si>
  <si>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</si>
  <si>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</si>
  <si>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</si>
  <si>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</si>
  <si>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</si>
  <si>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</si>
  <si>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</si>
  <si>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</si>
  <si>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</si>
  <si>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</si>
  <si>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</si>
  <si>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</si>
  <si>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</si>
  <si>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</si>
  <si>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</si>
  <si>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</si>
  <si>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</si>
  <si>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</si>
  <si>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</si>
  <si>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</si>
  <si>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</si>
  <si>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</si>
  <si>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</si>
  <si>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</si>
  <si>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</si>
  <si>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</si>
  <si>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</si>
  <si>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</si>
  <si>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</si>
  <si>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</si>
  <si>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</si>
  <si>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</si>
  <si>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</si>
  <si>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</si>
  <si>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</si>
  <si>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</si>
  <si>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</si>
  <si>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</si>
  <si>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</si>
  <si>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</si>
  <si>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</si>
  <si>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</si>
  <si>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</si>
  <si>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</si>
  <si>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</si>
  <si>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</si>
  <si>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</si>
  <si>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</si>
  <si>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</si>
  <si>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</si>
  <si>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</si>
  <si>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</si>
  <si>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</si>
  <si>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</si>
  <si>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</si>
  <si>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</si>
  <si>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</si>
  <si>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</si>
  <si>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</si>
  <si>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</si>
  <si>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</si>
  <si>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</si>
  <si>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</si>
  <si>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</si>
  <si>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</si>
  <si>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</si>
  <si>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</si>
  <si>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</si>
  <si>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</si>
  <si>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</si>
  <si>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</si>
  <si>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</si>
  <si>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</si>
  <si>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</si>
  <si>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</si>
  <si>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</si>
  <si>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</si>
  <si>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</si>
  <si>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</si>
  <si>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</si>
  <si>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</si>
  <si>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</si>
  <si>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</si>
  <si>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</si>
  <si>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</si>
  <si>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</si>
  <si>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</si>
  <si>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</si>
  <si>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</si>
  <si>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</si>
  <si>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</si>
  <si>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</si>
  <si>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</si>
  <si>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</si>
  <si>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</si>
  <si>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</si>
  <si>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</si>
  <si>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</si>
  <si>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</si>
  <si>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</si>
  <si>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</si>
  <si>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</si>
  <si>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</si>
  <si>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</si>
  <si>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</si>
  <si>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</si>
  <si>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</si>
  <si>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</si>
  <si>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</si>
  <si>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</si>
  <si>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</si>
  <si>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</si>
  <si>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</si>
  <si>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</si>
  <si>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</si>
  <si>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</si>
  <si>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</si>
  <si>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</si>
  <si>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</si>
  <si>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</si>
  <si>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</si>
  <si>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</si>
  <si>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</si>
  <si>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</si>
  <si>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</si>
  <si>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</si>
  <si>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</si>
  <si>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</si>
  <si>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</si>
  <si>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</si>
  <si>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</si>
  <si>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</si>
  <si>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</si>
  <si>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</si>
  <si>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</si>
  <si>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</si>
  <si>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</si>
  <si>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</si>
  <si>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</si>
  <si>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</si>
  <si>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</si>
  <si>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</si>
  <si>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</si>
  <si>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</si>
  <si>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</si>
  <si>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</si>
  <si>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</si>
  <si>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</si>
  <si>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</si>
  <si>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</si>
  <si>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</si>
  <si>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</si>
  <si>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</si>
  <si>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</si>
  <si>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</si>
  <si>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</si>
  <si>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</si>
  <si>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</si>
  <si>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</si>
  <si>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</si>
  <si>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</si>
  <si>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</si>
  <si>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</si>
  <si>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</si>
  <si>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</si>
  <si>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</si>
  <si>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</si>
  <si>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</si>
  <si>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</si>
  <si>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</si>
  <si>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</si>
  <si>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</si>
  <si>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</si>
  <si>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</si>
  <si>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</si>
  <si>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</si>
  <si>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</si>
  <si>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</si>
  <si>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</si>
  <si>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</si>
  <si>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</si>
  <si>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</si>
  <si>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</si>
  <si>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</si>
  <si>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</si>
  <si>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</si>
  <si>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</si>
  <si>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</si>
  <si>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</si>
  <si>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</si>
  <si>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</si>
  <si>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</si>
  <si>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</si>
  <si>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</si>
  <si>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</si>
  <si>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</si>
  <si>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</si>
  <si>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</si>
  <si>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</si>
  <si>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</si>
  <si>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</si>
  <si>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</si>
  <si>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</si>
  <si>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</si>
  <si>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</si>
  <si>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</si>
  <si>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</si>
  <si>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</si>
  <si>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</si>
  <si>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</si>
  <si>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</si>
  <si>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</si>
  <si>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</si>
  <si>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</si>
  <si>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</si>
  <si>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</si>
  <si>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</si>
  <si>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</si>
  <si>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</si>
  <si>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</si>
  <si>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</si>
  <si>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</si>
  <si>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</si>
  <si>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</si>
  <si>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</si>
  <si>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</si>
  <si>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</si>
  <si>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</si>
  <si>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</si>
  <si>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</si>
  <si>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</si>
  <si>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</si>
  <si>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</si>
  <si>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</si>
  <si>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</si>
  <si>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</si>
  <si>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</si>
  <si>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</si>
  <si>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</si>
  <si>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</si>
  <si>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</si>
  <si>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</si>
  <si>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</si>
  <si>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</si>
  <si>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</si>
  <si>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</si>
  <si>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</si>
  <si>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</si>
  <si>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</si>
  <si>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</si>
  <si>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</si>
  <si>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</si>
  <si>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</si>
  <si>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</si>
  <si>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</si>
  <si>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</si>
  <si>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</si>
  <si>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</si>
  <si>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</si>
  <si>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</si>
  <si>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</si>
  <si>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</si>
  <si>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</si>
  <si>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</si>
  <si>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</si>
  <si>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</si>
  <si>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</si>
  <si>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</si>
  <si>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</si>
  <si>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</si>
  <si>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</si>
  <si>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</si>
  <si>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</si>
  <si>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</si>
  <si>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</si>
  <si>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</si>
  <si>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</si>
  <si>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</si>
  <si>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</si>
  <si>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</si>
  <si>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</si>
  <si>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</si>
  <si>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</si>
  <si>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</si>
  <si>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</si>
  <si>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</si>
  <si>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</si>
  <si>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</si>
  <si>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</si>
  <si>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</si>
  <si>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</si>
  <si>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</si>
  <si>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</si>
  <si>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</si>
  <si>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</si>
  <si>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</si>
  <si>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</si>
  <si>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</si>
  <si>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</si>
  <si>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</si>
  <si>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</si>
  <si>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</si>
  <si>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</si>
  <si>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</si>
  <si>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</si>
  <si>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</si>
  <si>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</si>
  <si>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</si>
  <si>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</si>
  <si>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</si>
  <si>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</si>
  <si>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</si>
  <si>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</si>
  <si>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</si>
  <si>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</si>
  <si>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</si>
  <si>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</si>
  <si>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</si>
  <si>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</si>
  <si>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</si>
  <si>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</si>
  <si>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</si>
  <si>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</si>
  <si>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</si>
  <si>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</si>
  <si>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</si>
  <si>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</si>
  <si>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</si>
  <si>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</si>
  <si>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</si>
  <si>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</si>
  <si>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</si>
  <si>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</si>
  <si>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</si>
  <si>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</si>
  <si>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</si>
  <si>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</si>
  <si>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</si>
  <si>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</si>
  <si>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</si>
  <si>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</si>
  <si>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</si>
  <si>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</si>
  <si>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</si>
  <si>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</si>
  <si>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</si>
  <si>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</si>
  <si>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</si>
  <si>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</si>
  <si>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</si>
  <si>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</si>
  <si>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</si>
  <si>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</si>
  <si>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</si>
  <si>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</si>
  <si>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</si>
  <si>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</si>
  <si>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</si>
  <si>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</si>
  <si>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</si>
  <si>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</si>
  <si>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</si>
  <si>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</si>
  <si>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</si>
  <si>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</si>
  <si>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</si>
  <si>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</si>
  <si>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</si>
  <si>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</si>
  <si>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</si>
  <si>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</si>
  <si>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</si>
  <si>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</si>
  <si>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</si>
  <si>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</si>
  <si>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</si>
  <si>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</si>
  <si>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</si>
  <si>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</si>
  <si>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</si>
  <si>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</si>
  <si>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</si>
  <si>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</si>
  <si>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</si>
  <si>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</si>
  <si>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</si>
  <si>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</si>
  <si>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</si>
  <si>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</si>
  <si>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</si>
  <si>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</si>
  <si>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</si>
  <si>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</si>
  <si>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</si>
  <si>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</si>
  <si>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</si>
  <si>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</si>
  <si>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</si>
  <si>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</si>
  <si>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</si>
  <si>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</si>
  <si>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</si>
  <si>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</si>
  <si>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</si>
  <si>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</si>
  <si>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</si>
  <si>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</si>
  <si>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</si>
  <si>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</si>
  <si>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</si>
  <si>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</si>
  <si>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</si>
  <si>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</si>
  <si>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</si>
  <si>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</si>
  <si>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</si>
  <si>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</si>
  <si>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</si>
  <si>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</si>
  <si>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</si>
  <si>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</si>
  <si>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</si>
  <si>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</si>
  <si>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</si>
  <si>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</si>
  <si>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</si>
  <si>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</si>
  <si>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</si>
  <si>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</si>
  <si>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</si>
  <si>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</si>
  <si>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</si>
  <si>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</si>
  <si>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</si>
  <si>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</si>
  <si>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</si>
  <si>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</si>
  <si>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</si>
  <si>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</si>
  <si>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LaSalle</t>
  </si>
  <si>
    <t>400 S. Lane Street</t>
  </si>
  <si>
    <t>Ransom</t>
  </si>
  <si>
    <t>mpbaima@ransomgradeschool.net</t>
  </si>
  <si>
    <t>Mary Pat Baima</t>
  </si>
  <si>
    <t>815-586-4611</t>
  </si>
  <si>
    <t>815-586-4306</t>
  </si>
  <si>
    <t>Mack &amp; Associates, P.C.</t>
  </si>
  <si>
    <t>Tawnya Mack, CPA</t>
  </si>
  <si>
    <t>116 E. Washington St., Suite One</t>
  </si>
  <si>
    <t>Morris</t>
  </si>
  <si>
    <t>IL</t>
  </si>
  <si>
    <t>815-942-3306</t>
  </si>
  <si>
    <t>815-942-9430</t>
  </si>
  <si>
    <t>066-005100</t>
  </si>
  <si>
    <t>tmack@mackcpas.com</t>
  </si>
  <si>
    <t>PDF in Opinion Page with signature</t>
  </si>
  <si>
    <t>Working Cash Bond 2016</t>
  </si>
  <si>
    <t>Working Cash Bond 2018</t>
  </si>
  <si>
    <t>Shared Professional Development through ROE</t>
  </si>
  <si>
    <t>Fox River Foods through ROE</t>
  </si>
  <si>
    <t>LEASE for Special Education</t>
  </si>
  <si>
    <t>Share Social Working</t>
  </si>
  <si>
    <t>Illinois Central School Bus</t>
  </si>
  <si>
    <t>St. Michael's School-Athletic Program</t>
  </si>
  <si>
    <t>O&amp;M - O&amp;M PLANT - PURCHASED SERVICES</t>
  </si>
  <si>
    <t>20-2540-300</t>
  </si>
  <si>
    <t>SHERI LEROY</t>
  </si>
  <si>
    <t>WAHL TO WALL CLEANING</t>
  </si>
  <si>
    <t>OTTO BAUM COMPANY</t>
  </si>
  <si>
    <t>IFIBER</t>
  </si>
  <si>
    <t>Page 11, Line 107 - Educational Fund - Miscellaneous receipts</t>
  </si>
  <si>
    <t>Paeg 11, Line 107 - Operations and Maintenance - Miscellaneous receipts</t>
  </si>
  <si>
    <t>Page 16, Line 83 - Other Payments to In-State Govt. - Administrative payments to LEASE</t>
  </si>
  <si>
    <t>Page 9, Line 17 - Educational Fund - Livingston County 1% sales tax</t>
  </si>
  <si>
    <t>X</t>
  </si>
  <si>
    <t>ED-INSTRUCTION-PURCHASED SERVICES</t>
  </si>
  <si>
    <t>MARCO, INC</t>
  </si>
  <si>
    <t>10-1000-300</t>
  </si>
  <si>
    <t>40-2550-300</t>
  </si>
  <si>
    <t>T.W.A.P.T., INC.</t>
  </si>
  <si>
    <t>TRANS - PUPIL TRANS - PURCHASED SERVICES</t>
  </si>
  <si>
    <t>ED - INSTRUCTION - PURCHASED SERVICES</t>
  </si>
  <si>
    <t>LAURA MENTGEN</t>
  </si>
  <si>
    <t>IL CENTRAL SCHOOL BUS</t>
  </si>
  <si>
    <t>Allen-Otter Creek CCSD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</si>
</sst>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E0EFE28F-B68E-4CA9-94E3-C0EDFD4606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3"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5" t="s">
        <v>1685</v>
      </c>
      <c r="B3" s="156"/>
      <c r="C3" s="156"/>
      <c r="D3" s="157"/>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4" t="s">
        <v>2077</v>
      </c>
      <c r="C5" s="26" t="s">
        <v>966</v>
      </c>
      <c r="D5" s="84"/>
      <c r="E5" s="84"/>
      <c r="H5" s="38"/>
      <c r="I5" s="2046" t="s">
        <v>701</v>
      </c>
      <c r="J5" s="1991"/>
      <c r="K5" s="1991"/>
      <c r="L5" s="1991"/>
      <c r="M5" s="1991"/>
      <c r="N5" s="1991"/>
      <c r="O5" s="1991"/>
      <c r="P5" s="1991"/>
      <c r="Q5" s="1991"/>
      <c r="R5" s="1991"/>
      <c r="S5" s="1991"/>
    </row>
    <row r="6" spans="1:28" ht="14.1" customHeight="1" x14ac:dyDescent="0.2">
      <c r="B6" s="104"/>
      <c r="C6" s="26" t="s">
        <v>967</v>
      </c>
      <c r="D6" s="84"/>
      <c r="E6" s="84"/>
      <c r="I6" s="2045" t="s">
        <v>938</v>
      </c>
      <c r="J6" s="1991"/>
      <c r="K6" s="1991"/>
      <c r="L6" s="1991"/>
      <c r="M6" s="1991"/>
      <c r="N6" s="1991"/>
      <c r="O6" s="1991"/>
      <c r="P6" s="1991"/>
      <c r="Q6" s="1991"/>
      <c r="R6" s="1991"/>
      <c r="S6" s="1991"/>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8" t="s">
        <v>2077</v>
      </c>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7">
        <v>35050065004</v>
      </c>
      <c r="B13" s="2008"/>
      <c r="C13" s="2008"/>
      <c r="D13" s="2008"/>
      <c r="E13" s="2008"/>
      <c r="F13" s="2008"/>
      <c r="G13" s="2008"/>
      <c r="H13" s="2009"/>
      <c r="I13" s="31"/>
      <c r="J13" s="30"/>
      <c r="K13" s="28"/>
      <c r="L13" s="30"/>
      <c r="M13" s="30"/>
      <c r="N13" s="30"/>
      <c r="O13" s="30"/>
      <c r="P13" s="30"/>
      <c r="Q13" s="30"/>
      <c r="R13" s="30"/>
      <c r="S13" s="30"/>
      <c r="T13" s="2012" t="s">
        <v>2085</v>
      </c>
      <c r="U13" s="2013"/>
      <c r="V13" s="2013"/>
      <c r="W13" s="2013"/>
      <c r="X13" s="2013"/>
      <c r="Y13" s="2014"/>
      <c r="Z13" s="2014"/>
      <c r="AA13" s="201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5" t="s">
        <v>2078</v>
      </c>
      <c r="B15" s="2010"/>
      <c r="C15" s="2010"/>
      <c r="D15" s="2010"/>
      <c r="E15" s="2010"/>
      <c r="F15" s="2010"/>
      <c r="G15" s="2010"/>
      <c r="H15" s="2011"/>
      <c r="T15" s="1973" t="s">
        <v>2086</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5" t="s">
        <v>2123</v>
      </c>
      <c r="B17" s="2035"/>
      <c r="C17" s="2035"/>
      <c r="D17" s="2035"/>
      <c r="E17" s="2035"/>
      <c r="F17" s="2035"/>
      <c r="G17" s="2035"/>
      <c r="H17" s="2036"/>
      <c r="T17" s="2022" t="s">
        <v>2087</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9" t="s">
        <v>698</v>
      </c>
      <c r="AA18" s="46"/>
    </row>
    <row r="19" spans="1:27" ht="13.5" customHeight="1" x14ac:dyDescent="0.2">
      <c r="A19" s="2005" t="s">
        <v>2079</v>
      </c>
      <c r="B19" s="2006"/>
      <c r="C19" s="2006"/>
      <c r="D19" s="2006"/>
      <c r="E19" s="2006"/>
      <c r="F19" s="2006"/>
      <c r="G19" s="2006"/>
      <c r="H19" s="2004"/>
      <c r="I19" s="30"/>
      <c r="J19" s="99"/>
      <c r="K19" s="40"/>
      <c r="L19" s="38"/>
      <c r="M19" s="112" t="s">
        <v>333</v>
      </c>
      <c r="P19" s="27"/>
      <c r="Q19" s="27"/>
      <c r="R19" s="27"/>
      <c r="S19" s="31"/>
      <c r="T19" s="2005" t="s">
        <v>2088</v>
      </c>
      <c r="U19" s="2003"/>
      <c r="V19" s="2003"/>
      <c r="W19" s="2004"/>
      <c r="X19" s="2020" t="s">
        <v>2089</v>
      </c>
      <c r="Y19" s="2021"/>
      <c r="Z19" s="2018">
        <v>60450</v>
      </c>
      <c r="AA19" s="201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2" t="s">
        <v>2080</v>
      </c>
      <c r="B21" s="2003"/>
      <c r="C21" s="2003"/>
      <c r="D21" s="2003"/>
      <c r="E21" s="2003"/>
      <c r="F21" s="2003"/>
      <c r="G21" s="2003"/>
      <c r="H21" s="2004"/>
      <c r="I21" s="2028" t="s">
        <v>699</v>
      </c>
      <c r="J21" s="1991"/>
      <c r="K21" s="1991"/>
      <c r="L21" s="1991"/>
      <c r="M21" s="1991"/>
      <c r="N21" s="1991"/>
      <c r="O21" s="1991"/>
      <c r="P21" s="1991"/>
      <c r="Q21" s="1991"/>
      <c r="R21" s="1991"/>
      <c r="S21" s="1992"/>
      <c r="T21" s="1970" t="s">
        <v>2090</v>
      </c>
      <c r="U21" s="1971"/>
      <c r="V21" s="1971"/>
      <c r="W21" s="1971"/>
      <c r="X21" s="1984" t="s">
        <v>2091</v>
      </c>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5" t="s">
        <v>2081</v>
      </c>
      <c r="B23" s="2026"/>
      <c r="C23" s="2026"/>
      <c r="D23" s="2026"/>
      <c r="E23" s="2026"/>
      <c r="F23" s="2026"/>
      <c r="G23" s="2026"/>
      <c r="H23" s="2027"/>
      <c r="T23" s="1965" t="s">
        <v>2092</v>
      </c>
      <c r="U23" s="1966"/>
      <c r="V23" s="1966"/>
      <c r="W23" s="1966"/>
      <c r="X23" s="1981">
        <v>43434</v>
      </c>
      <c r="Y23" s="1982"/>
      <c r="Z23" s="1982"/>
      <c r="AA23" s="1983"/>
    </row>
    <row r="24" spans="1:27" ht="14.1" customHeight="1" x14ac:dyDescent="0.2">
      <c r="A24" s="88" t="s">
        <v>698</v>
      </c>
      <c r="B24" s="49"/>
      <c r="C24" s="49"/>
      <c r="D24" s="49"/>
      <c r="E24" s="49"/>
      <c r="F24" s="49"/>
      <c r="G24" s="49"/>
      <c r="H24" s="61"/>
      <c r="J24" s="2067" t="str">
        <f>IF(B5="x",IF(AUDITCHECK!D29="AFR form Incomplete.","",IF(AUDITCHECK!D29="Deficit reduction plan is required.","School District must complete a deficit reduction plan in the 2018-2019 Budget",)),"")</f>
        <v>School District must complete a deficit reduction plan in the 2018-2019 Budget</v>
      </c>
      <c r="K24" s="2067"/>
      <c r="L24" s="2067"/>
      <c r="M24" s="2067"/>
      <c r="N24" s="2067"/>
      <c r="O24" s="2067"/>
      <c r="P24" s="2067"/>
      <c r="Q24" s="2067"/>
      <c r="R24" s="2067"/>
      <c r="S24" s="2068"/>
      <c r="T24" s="105" t="s">
        <v>552</v>
      </c>
      <c r="U24" s="106"/>
      <c r="V24" s="106"/>
      <c r="W24" s="106"/>
      <c r="X24" s="107"/>
      <c r="Y24" s="107"/>
      <c r="Z24" s="107"/>
      <c r="AA24" s="108"/>
    </row>
    <row r="25" spans="1:27" ht="14.1" customHeight="1" x14ac:dyDescent="0.2">
      <c r="A25" s="2002"/>
      <c r="B25" s="2003"/>
      <c r="C25" s="2003"/>
      <c r="D25" s="2003"/>
      <c r="E25" s="2003"/>
      <c r="F25" s="2003"/>
      <c r="G25" s="2003"/>
      <c r="H25" s="2004"/>
      <c r="I25" s="113"/>
      <c r="J25" s="2069"/>
      <c r="K25" s="2069"/>
      <c r="L25" s="2069"/>
      <c r="M25" s="2069"/>
      <c r="N25" s="2069"/>
      <c r="O25" s="2069"/>
      <c r="P25" s="2069"/>
      <c r="Q25" s="2069"/>
      <c r="R25" s="2069"/>
      <c r="S25" s="2070"/>
      <c r="T25" s="1962" t="s">
        <v>2093</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0" t="s">
        <v>1591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5" t="s">
        <v>2082</v>
      </c>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t="s">
        <v>2081</v>
      </c>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2083</v>
      </c>
      <c r="B42" s="2052"/>
      <c r="C42" s="2053"/>
      <c r="D42" s="2066" t="s">
        <v>2084</v>
      </c>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4" t="s">
        <v>1905</v>
      </c>
      <c r="B2" s="1550" t="s">
        <v>2035</v>
      </c>
      <c r="C2" s="715" t="s">
        <v>1910</v>
      </c>
      <c r="D2" s="715" t="s">
        <v>1911</v>
      </c>
      <c r="E2" s="715" t="s">
        <v>1912</v>
      </c>
      <c r="F2" s="715" t="s">
        <v>1913</v>
      </c>
    </row>
    <row r="3" spans="1:6" ht="12" customHeight="1" x14ac:dyDescent="0.2">
      <c r="A3" s="2205"/>
      <c r="B3" s="1547"/>
      <c r="C3" s="1548"/>
      <c r="D3" s="1549" t="s">
        <v>274</v>
      </c>
      <c r="E3" s="1548"/>
      <c r="F3" s="1549" t="s">
        <v>275</v>
      </c>
    </row>
    <row r="4" spans="1:6" ht="13.7" customHeight="1" x14ac:dyDescent="0.2">
      <c r="A4" s="716" t="s">
        <v>1217</v>
      </c>
      <c r="B4" s="1771">
        <f>'Revenues 9-14'!C5</f>
        <v>772924</v>
      </c>
      <c r="C4" s="1546"/>
      <c r="D4" s="1774">
        <f>B4-C4</f>
        <v>772924</v>
      </c>
      <c r="E4" s="1546">
        <v>771602</v>
      </c>
      <c r="F4" s="1774">
        <f>E4-C4</f>
        <v>771602</v>
      </c>
    </row>
    <row r="5" spans="1:6" ht="13.7" customHeight="1" x14ac:dyDescent="0.2">
      <c r="A5" s="716" t="s">
        <v>925</v>
      </c>
      <c r="B5" s="1772">
        <f>'Revenues 9-14'!D5</f>
        <v>136364</v>
      </c>
      <c r="C5" s="585"/>
      <c r="D5" s="1775">
        <f t="shared" ref="D5:D18" si="0">B5-C5</f>
        <v>136364</v>
      </c>
      <c r="E5" s="585">
        <v>135903</v>
      </c>
      <c r="F5" s="1775">
        <f>E5-C5</f>
        <v>135903</v>
      </c>
    </row>
    <row r="6" spans="1:6" ht="13.7" customHeight="1" x14ac:dyDescent="0.2">
      <c r="A6" s="716" t="s">
        <v>431</v>
      </c>
      <c r="B6" s="1772">
        <f>'Revenues 9-14'!E5</f>
        <v>105709</v>
      </c>
      <c r="C6" s="585"/>
      <c r="D6" s="1775">
        <f t="shared" si="0"/>
        <v>105709</v>
      </c>
      <c r="E6" s="585">
        <v>104711</v>
      </c>
      <c r="F6" s="1775">
        <f t="shared" ref="F6:F18" si="1">E6-C6</f>
        <v>104711</v>
      </c>
    </row>
    <row r="7" spans="1:6" ht="13.7" customHeight="1" x14ac:dyDescent="0.2">
      <c r="A7" s="716" t="s">
        <v>157</v>
      </c>
      <c r="B7" s="1772">
        <f>'Revenues 9-14'!F5</f>
        <v>65317</v>
      </c>
      <c r="C7" s="585"/>
      <c r="D7" s="1775">
        <f t="shared" si="0"/>
        <v>65317</v>
      </c>
      <c r="E7" s="585">
        <v>65205</v>
      </c>
      <c r="F7" s="1775">
        <f t="shared" si="1"/>
        <v>65205</v>
      </c>
    </row>
    <row r="8" spans="1:6" ht="13.7" customHeight="1" x14ac:dyDescent="0.2">
      <c r="A8" s="716" t="s">
        <v>1241</v>
      </c>
      <c r="B8" s="1772">
        <f>'Revenues 9-14'!G5</f>
        <v>18484</v>
      </c>
      <c r="C8" s="585"/>
      <c r="D8" s="1775">
        <f t="shared" si="0"/>
        <v>18484</v>
      </c>
      <c r="E8" s="585">
        <v>20703</v>
      </c>
      <c r="F8" s="1775">
        <f t="shared" si="1"/>
        <v>20703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27216</v>
      </c>
      <c r="C10" s="585"/>
      <c r="D10" s="1775">
        <f t="shared" si="0"/>
        <v>27216</v>
      </c>
      <c r="E10" s="585">
        <v>27205</v>
      </c>
      <c r="F10" s="1775">
        <f t="shared" si="1"/>
        <v>27205</v>
      </c>
    </row>
    <row r="11" spans="1:6" x14ac:dyDescent="0.2">
      <c r="A11" s="716" t="s">
        <v>429</v>
      </c>
      <c r="B11" s="1772">
        <f>'Revenues 9-14'!J5</f>
        <v>37581</v>
      </c>
      <c r="C11" s="585"/>
      <c r="D11" s="1775">
        <f t="shared" si="0"/>
        <v>37581</v>
      </c>
      <c r="E11" s="585">
        <v>43505</v>
      </c>
      <c r="F11" s="1775">
        <f t="shared" si="1"/>
        <v>43505</v>
      </c>
    </row>
    <row r="12" spans="1:6" ht="13.7" customHeight="1" x14ac:dyDescent="0.2">
      <c r="A12" s="716" t="s">
        <v>159</v>
      </c>
      <c r="B12" s="1772">
        <f>'Revenues 9-14'!K5</f>
        <v>27215</v>
      </c>
      <c r="C12" s="585"/>
      <c r="D12" s="1775">
        <f t="shared" si="0"/>
        <v>27215</v>
      </c>
      <c r="E12" s="585">
        <v>27205</v>
      </c>
      <c r="F12" s="1775">
        <f t="shared" si="1"/>
        <v>27205</v>
      </c>
    </row>
    <row r="13" spans="1:6" ht="13.7" customHeight="1" x14ac:dyDescent="0.2">
      <c r="A13" s="716" t="s">
        <v>993</v>
      </c>
      <c r="B13" s="1772">
        <f>SUM('Revenues 9-14'!C6:D6)</f>
        <v>26659</v>
      </c>
      <c r="C13" s="585"/>
      <c r="D13" s="1775">
        <f t="shared" si="0"/>
        <v>26659</v>
      </c>
      <c r="E13" s="585">
        <v>27205</v>
      </c>
      <c r="F13" s="1775">
        <f t="shared" si="1"/>
        <v>27205</v>
      </c>
    </row>
    <row r="14" spans="1:6" ht="13.7" customHeight="1" x14ac:dyDescent="0.2">
      <c r="A14" s="716" t="s">
        <v>430</v>
      </c>
      <c r="B14" s="1772">
        <f>SUM('Revenues 9-14'!C7:D7,'Revenues 9-14'!F7:H7)</f>
        <v>25431</v>
      </c>
      <c r="C14" s="585"/>
      <c r="D14" s="1775">
        <f t="shared" si="0"/>
        <v>25431</v>
      </c>
      <c r="E14" s="585">
        <v>10905</v>
      </c>
      <c r="F14" s="1775">
        <f t="shared" si="1"/>
        <v>10905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v>20703</v>
      </c>
      <c r="F16" s="1775">
        <f t="shared" si="1"/>
        <v>20703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v>3</v>
      </c>
      <c r="F18" s="1775">
        <f t="shared" si="1"/>
        <v>3</v>
      </c>
    </row>
    <row r="19" spans="1:6" ht="13.7" customHeight="1" thickBot="1" x14ac:dyDescent="0.25">
      <c r="A19" s="1776" t="s">
        <v>1223</v>
      </c>
      <c r="B19" s="1773">
        <f>SUM(B4:B18)</f>
        <v>1242900</v>
      </c>
      <c r="C19" s="1773">
        <f>SUM(C4:C18)</f>
        <v>0</v>
      </c>
      <c r="D19" s="1773">
        <f>SUM(D4:D18)</f>
        <v>1242900</v>
      </c>
      <c r="E19" s="1773">
        <f>SUM(E4:E18)</f>
        <v>1254855</v>
      </c>
      <c r="F19" s="1773">
        <f>SUM(F4:F18)</f>
        <v>1254855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H34" sqref="H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650</v>
      </c>
      <c r="B1" s="2211"/>
      <c r="C1" s="722"/>
    </row>
    <row r="2" spans="1:7" ht="33.75" x14ac:dyDescent="0.2">
      <c r="A2" s="2219" t="s">
        <v>1905</v>
      </c>
      <c r="B2" s="2220"/>
      <c r="C2" s="1909" t="s">
        <v>2036</v>
      </c>
      <c r="D2" s="724" t="s">
        <v>2043</v>
      </c>
      <c r="E2" s="724" t="s">
        <v>2044</v>
      </c>
      <c r="F2" s="1909" t="s">
        <v>2037</v>
      </c>
    </row>
    <row r="3" spans="1:7" ht="15.75" customHeight="1" x14ac:dyDescent="0.2">
      <c r="A3" s="2223" t="s">
        <v>1176</v>
      </c>
      <c r="B3" s="2224"/>
      <c r="C3" s="2212"/>
      <c r="D3" s="2213"/>
      <c r="E3" s="2213"/>
      <c r="F3" s="2214"/>
    </row>
    <row r="4" spans="1:7" ht="12.75" customHeight="1" thickBot="1" x14ac:dyDescent="0.25">
      <c r="A4" s="2221" t="s">
        <v>651</v>
      </c>
      <c r="B4" s="2222"/>
      <c r="C4" s="581"/>
      <c r="D4" s="581"/>
      <c r="E4" s="581"/>
      <c r="F4" s="1777">
        <f>SUM(C4+D4)-E4</f>
        <v>0</v>
      </c>
    </row>
    <row r="5" spans="1:7" ht="15.75" customHeight="1" thickTop="1" x14ac:dyDescent="0.2">
      <c r="A5" s="2206" t="s">
        <v>1172</v>
      </c>
      <c r="B5" s="2207"/>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8" t="s">
        <v>652</v>
      </c>
      <c r="B15" s="2209"/>
      <c r="C15" s="1777">
        <f>SUM(C6:C14)</f>
        <v>0</v>
      </c>
      <c r="D15" s="1777">
        <f>SUM(D6:D14)</f>
        <v>0</v>
      </c>
      <c r="E15" s="1777">
        <f>SUM(E6:E14)</f>
        <v>0</v>
      </c>
      <c r="F15" s="1777">
        <f>SUM(F6:F14)</f>
        <v>0</v>
      </c>
      <c r="G15" s="552"/>
    </row>
    <row r="16" spans="1:7" s="202" customFormat="1" ht="15.75" customHeight="1" thickTop="1" x14ac:dyDescent="0.2">
      <c r="A16" s="2218" t="s">
        <v>1173</v>
      </c>
      <c r="B16" s="2207"/>
      <c r="C16" s="2215"/>
      <c r="D16" s="2216"/>
      <c r="E16" s="2216"/>
      <c r="F16" s="2217"/>
    </row>
    <row r="17" spans="1:11" ht="12.75" customHeight="1" thickBot="1" x14ac:dyDescent="0.25">
      <c r="A17" s="2231" t="s">
        <v>66</v>
      </c>
      <c r="B17" s="2232"/>
      <c r="C17" s="727"/>
      <c r="D17" s="585"/>
      <c r="E17" s="727"/>
      <c r="F17" s="1777">
        <f>SUM(C17+D17)-E17</f>
        <v>0</v>
      </c>
    </row>
    <row r="18" spans="1:11" ht="12.75" customHeight="1" thickTop="1" thickBot="1" x14ac:dyDescent="0.25">
      <c r="A18" s="2231" t="s">
        <v>6</v>
      </c>
      <c r="B18" s="2232"/>
      <c r="C18" s="727"/>
      <c r="D18" s="585"/>
      <c r="E18" s="727"/>
      <c r="F18" s="1777">
        <f>SUM(C18+D18)-E18</f>
        <v>0</v>
      </c>
    </row>
    <row r="19" spans="1:11" ht="12.75" customHeight="1" thickTop="1" thickBot="1" x14ac:dyDescent="0.25">
      <c r="A19" s="2231" t="s">
        <v>406</v>
      </c>
      <c r="B19" s="2232"/>
      <c r="C19" s="727"/>
      <c r="D19" s="585"/>
      <c r="E19" s="727"/>
      <c r="F19" s="1777">
        <f>SUM(C19+D19)-E19</f>
        <v>0</v>
      </c>
    </row>
    <row r="20" spans="1:11" ht="12.75" customHeight="1" thickTop="1" thickBot="1" x14ac:dyDescent="0.25">
      <c r="A20" s="2231" t="s">
        <v>468</v>
      </c>
      <c r="B20" s="2232"/>
      <c r="C20" s="727"/>
      <c r="D20" s="585"/>
      <c r="E20" s="727"/>
      <c r="F20" s="1777">
        <f>SUM(C20+D20)-E20</f>
        <v>0</v>
      </c>
    </row>
    <row r="21" spans="1:11" ht="14.25" thickTop="1" thickBot="1" x14ac:dyDescent="0.25">
      <c r="A21" s="2208" t="s">
        <v>653</v>
      </c>
      <c r="B21" s="2209"/>
      <c r="C21" s="1777">
        <f>SUM(C17:C20)</f>
        <v>0</v>
      </c>
      <c r="D21" s="1777">
        <f>SUM(D17:D20)</f>
        <v>0</v>
      </c>
      <c r="E21" s="1777">
        <f>SUM(E17:E20)</f>
        <v>0</v>
      </c>
      <c r="F21" s="1777">
        <f>SUM(F17:F20)</f>
        <v>0</v>
      </c>
      <c r="G21" s="552"/>
    </row>
    <row r="22" spans="1:11" ht="15.75" customHeight="1" thickTop="1" x14ac:dyDescent="0.2">
      <c r="A22" s="2233" t="s">
        <v>1174</v>
      </c>
      <c r="B22" s="2207"/>
      <c r="C22" s="2215"/>
      <c r="D22" s="2216"/>
      <c r="E22" s="2216"/>
      <c r="F22" s="2217"/>
    </row>
    <row r="23" spans="1:11" ht="13.5" thickBot="1" x14ac:dyDescent="0.25">
      <c r="A23" s="2221" t="s">
        <v>654</v>
      </c>
      <c r="B23" s="2222"/>
      <c r="C23" s="581"/>
      <c r="D23" s="581"/>
      <c r="E23" s="581"/>
      <c r="F23" s="1777">
        <f>SUM(C23+D23)-E23</f>
        <v>0</v>
      </c>
      <c r="G23" s="552"/>
    </row>
    <row r="24" spans="1:11" ht="15.75" customHeight="1" thickTop="1" x14ac:dyDescent="0.2">
      <c r="A24" s="2233" t="s">
        <v>1175</v>
      </c>
      <c r="B24" s="2207"/>
      <c r="C24" s="2215"/>
      <c r="D24" s="2216"/>
      <c r="E24" s="2216"/>
      <c r="F24" s="2217"/>
    </row>
    <row r="25" spans="1:11" ht="13.5" thickBot="1" x14ac:dyDescent="0.25">
      <c r="A25" s="2221" t="s">
        <v>655</v>
      </c>
      <c r="B25" s="2222"/>
      <c r="C25" s="581"/>
      <c r="D25" s="581"/>
      <c r="E25" s="581"/>
      <c r="F25" s="1777">
        <f>SUM(C25+D25)-E25</f>
        <v>0</v>
      </c>
      <c r="G25" s="552"/>
    </row>
    <row r="26" spans="1:11" ht="15.75" customHeight="1" thickTop="1" x14ac:dyDescent="0.2">
      <c r="A26" s="2206" t="s">
        <v>678</v>
      </c>
      <c r="B26" s="2207"/>
      <c r="C26" s="728"/>
      <c r="D26" s="728"/>
      <c r="E26" s="728"/>
      <c r="F26" s="729"/>
    </row>
    <row r="27" spans="1:11" ht="13.5" thickBot="1" x14ac:dyDescent="0.25">
      <c r="A27" s="2208" t="s">
        <v>1130</v>
      </c>
      <c r="B27" s="2209"/>
      <c r="C27" s="585"/>
      <c r="D27" s="585"/>
      <c r="E27" s="585"/>
      <c r="F27" s="1777">
        <f>SUM(C27+D27)-E27</f>
        <v>0</v>
      </c>
      <c r="G27" s="552"/>
    </row>
    <row r="28" spans="1:11" ht="7.5" customHeight="1" thickTop="1" x14ac:dyDescent="0.2">
      <c r="A28" s="594"/>
    </row>
    <row r="29" spans="1:11" ht="23.25" customHeight="1" x14ac:dyDescent="0.2">
      <c r="A29" s="2234" t="s">
        <v>603</v>
      </c>
      <c r="B29" s="221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2095</v>
      </c>
      <c r="B31" s="734">
        <v>42429</v>
      </c>
      <c r="C31" s="735">
        <v>200000</v>
      </c>
      <c r="D31" s="736">
        <v>1</v>
      </c>
      <c r="E31" s="735">
        <v>105000</v>
      </c>
      <c r="F31" s="735"/>
      <c r="G31" s="735"/>
      <c r="H31" s="735">
        <v>105000</v>
      </c>
      <c r="I31" s="1778">
        <f>((E31+F31)-H31)+G31</f>
        <v>0</v>
      </c>
      <c r="J31" s="735"/>
      <c r="K31" s="737"/>
    </row>
    <row r="32" spans="1:11" ht="12" customHeight="1" x14ac:dyDescent="0.2">
      <c r="A32" s="733" t="s">
        <v>2096</v>
      </c>
      <c r="B32" s="734">
        <v>43161</v>
      </c>
      <c r="C32" s="735">
        <v>300000</v>
      </c>
      <c r="D32" s="736">
        <v>1</v>
      </c>
      <c r="E32" s="735"/>
      <c r="F32" s="735">
        <v>300000</v>
      </c>
      <c r="G32" s="735"/>
      <c r="H32" s="735"/>
      <c r="I32" s="1778">
        <f>((E32+F32)-H32)+G32</f>
        <v>300000</v>
      </c>
      <c r="J32" s="735">
        <v>230195</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500000</v>
      </c>
      <c r="D49" s="746"/>
      <c r="E49" s="1778">
        <f t="shared" ref="E49:J49" si="2">SUM(E31:E48)</f>
        <v>105000</v>
      </c>
      <c r="F49" s="1778">
        <f t="shared" si="2"/>
        <v>300000</v>
      </c>
      <c r="G49" s="1778">
        <f t="shared" si="2"/>
        <v>0</v>
      </c>
      <c r="H49" s="1778">
        <f t="shared" si="2"/>
        <v>105000</v>
      </c>
      <c r="I49" s="1778">
        <f t="shared" si="2"/>
        <v>300000</v>
      </c>
      <c r="J49" s="1778">
        <f t="shared" si="2"/>
        <v>230195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c r="G52" s="2228"/>
      <c r="H52" s="737"/>
      <c r="I52" s="737"/>
      <c r="J52" s="747"/>
    </row>
    <row r="53" spans="1:11" ht="11.25" customHeight="1" x14ac:dyDescent="0.2">
      <c r="A53" s="751" t="s">
        <v>969</v>
      </c>
      <c r="B53" s="752" t="s">
        <v>1008</v>
      </c>
      <c r="C53" s="747"/>
      <c r="D53" s="738"/>
      <c r="E53" s="750" t="s">
        <v>518</v>
      </c>
      <c r="F53" s="2229"/>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911</v>
      </c>
      <c r="B1" s="2260"/>
      <c r="C1" s="2260"/>
      <c r="D1" s="2260"/>
      <c r="E1" s="2260"/>
      <c r="F1" s="2260"/>
      <c r="G1" s="2261"/>
      <c r="H1" s="1552"/>
      <c r="I1" s="761"/>
      <c r="J1" s="433"/>
    </row>
    <row r="2" spans="1:11" ht="26.25" x14ac:dyDescent="0.2">
      <c r="A2" s="2238" t="s">
        <v>1776</v>
      </c>
      <c r="B2" s="2239"/>
      <c r="C2" s="2239"/>
      <c r="D2" s="2239"/>
      <c r="E2" s="2240"/>
      <c r="F2" s="762" t="s">
        <v>960</v>
      </c>
      <c r="G2" s="763" t="s">
        <v>1773</v>
      </c>
      <c r="H2" s="763" t="s">
        <v>430</v>
      </c>
      <c r="I2" s="763" t="s">
        <v>1220</v>
      </c>
      <c r="J2" s="763" t="s">
        <v>1919</v>
      </c>
      <c r="K2" s="763" t="s">
        <v>140</v>
      </c>
    </row>
    <row r="3" spans="1:11" x14ac:dyDescent="0.2">
      <c r="A3" s="2241" t="s">
        <v>1698</v>
      </c>
      <c r="B3" s="2242"/>
      <c r="C3" s="2242"/>
      <c r="D3" s="2242"/>
      <c r="E3" s="2243"/>
      <c r="F3" s="764"/>
      <c r="G3" s="765"/>
      <c r="H3" s="765"/>
      <c r="I3" s="765"/>
      <c r="J3" s="766"/>
      <c r="K3" s="766"/>
    </row>
    <row r="4" spans="1:11" x14ac:dyDescent="0.2">
      <c r="A4" s="2244" t="s">
        <v>387</v>
      </c>
      <c r="B4" s="2245"/>
      <c r="C4" s="2245"/>
      <c r="D4" s="2245"/>
      <c r="E4" s="2226"/>
      <c r="F4" s="767"/>
      <c r="G4" s="768"/>
      <c r="H4" s="769"/>
      <c r="I4" s="768"/>
      <c r="J4" s="770"/>
      <c r="K4" s="770"/>
    </row>
    <row r="5" spans="1:11" x14ac:dyDescent="0.2">
      <c r="A5" s="2262" t="s">
        <v>1129</v>
      </c>
      <c r="B5" s="2235"/>
      <c r="C5" s="2235"/>
      <c r="D5" s="2235"/>
      <c r="E5" s="2263"/>
      <c r="F5" s="771" t="s">
        <v>903</v>
      </c>
      <c r="G5" s="772"/>
      <c r="H5" s="765">
        <v>10886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2" t="s">
        <v>1920</v>
      </c>
      <c r="B10" s="2235"/>
      <c r="C10" s="2235"/>
      <c r="D10" s="2235"/>
      <c r="E10" s="2264"/>
      <c r="F10" s="784" t="s">
        <v>917</v>
      </c>
      <c r="G10" s="783"/>
      <c r="H10" s="785"/>
      <c r="I10" s="765"/>
      <c r="J10" s="766"/>
      <c r="K10" s="766"/>
    </row>
    <row r="11" spans="1:11" x14ac:dyDescent="0.2">
      <c r="A11" s="2262" t="s">
        <v>162</v>
      </c>
      <c r="B11" s="2235"/>
      <c r="C11" s="2235"/>
      <c r="D11" s="2235"/>
      <c r="E11" s="2263"/>
      <c r="F11" s="771" t="s">
        <v>907</v>
      </c>
      <c r="G11" s="772"/>
      <c r="H11" s="765"/>
      <c r="I11" s="765"/>
      <c r="J11" s="766"/>
      <c r="K11" s="774"/>
    </row>
    <row r="12" spans="1:11" ht="13.5" thickBot="1" x14ac:dyDescent="0.25">
      <c r="A12" s="2252" t="s">
        <v>961</v>
      </c>
      <c r="B12" s="2253"/>
      <c r="C12" s="2253"/>
      <c r="D12" s="2253"/>
      <c r="E12" s="2254"/>
      <c r="F12" s="1779"/>
      <c r="G12" s="1780">
        <f>SUM(G5:G11)</f>
        <v>0</v>
      </c>
      <c r="H12" s="1780">
        <f>SUM(H5:H11)</f>
        <v>10886</v>
      </c>
      <c r="I12" s="1780">
        <f>SUM(I5:I11)</f>
        <v>0</v>
      </c>
      <c r="J12" s="1780">
        <f>SUM(J5:J11)</f>
        <v>0</v>
      </c>
      <c r="K12" s="1780">
        <f>SUM(K5:K11)</f>
        <v>0</v>
      </c>
    </row>
    <row r="13" spans="1:11" ht="13.5" thickTop="1" x14ac:dyDescent="0.2">
      <c r="A13" s="2246" t="s">
        <v>388</v>
      </c>
      <c r="B13" s="2247"/>
      <c r="C13" s="2247"/>
      <c r="D13" s="2247"/>
      <c r="E13" s="2248"/>
      <c r="F13" s="786"/>
      <c r="G13" s="787"/>
      <c r="H13" s="788"/>
      <c r="I13" s="789"/>
      <c r="J13" s="789"/>
      <c r="K13" s="789"/>
    </row>
    <row r="14" spans="1:11" x14ac:dyDescent="0.2">
      <c r="A14" s="2268" t="s">
        <v>476</v>
      </c>
      <c r="B14" s="2268"/>
      <c r="C14" s="2268"/>
      <c r="D14" s="2268"/>
      <c r="E14" s="2269"/>
      <c r="F14" s="790" t="s">
        <v>909</v>
      </c>
      <c r="G14" s="783"/>
      <c r="H14" s="765">
        <v>10886</v>
      </c>
      <c r="I14" s="772"/>
      <c r="J14" s="774"/>
      <c r="K14" s="766"/>
    </row>
    <row r="15" spans="1:11" x14ac:dyDescent="0.2">
      <c r="A15" s="2235" t="s">
        <v>4</v>
      </c>
      <c r="B15" s="2235"/>
      <c r="C15" s="2235"/>
      <c r="D15" s="2235"/>
      <c r="E15" s="2263"/>
      <c r="F15" s="790" t="s">
        <v>910</v>
      </c>
      <c r="G15" s="772"/>
      <c r="H15" s="765"/>
      <c r="I15" s="765"/>
      <c r="J15" s="766"/>
      <c r="K15" s="766"/>
    </row>
    <row r="16" spans="1:11" x14ac:dyDescent="0.2">
      <c r="A16" s="2235" t="s">
        <v>316</v>
      </c>
      <c r="B16" s="2235"/>
      <c r="C16" s="2235"/>
      <c r="D16" s="2235"/>
      <c r="E16" s="2263"/>
      <c r="F16" s="790" t="s">
        <v>980</v>
      </c>
      <c r="G16" s="773"/>
      <c r="H16" s="768"/>
      <c r="I16" s="768"/>
      <c r="J16" s="770"/>
      <c r="K16" s="770"/>
    </row>
    <row r="17" spans="1:11" x14ac:dyDescent="0.2">
      <c r="A17" s="2257" t="s">
        <v>992</v>
      </c>
      <c r="B17" s="2257"/>
      <c r="C17" s="2257"/>
      <c r="D17" s="2257"/>
      <c r="E17" s="2258"/>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70" t="s">
        <v>1916</v>
      </c>
      <c r="B19" s="2270"/>
      <c r="C19" s="2270"/>
      <c r="D19" s="2270"/>
      <c r="E19" s="2271"/>
      <c r="F19" s="790" t="s">
        <v>990</v>
      </c>
      <c r="G19" s="783"/>
      <c r="H19" s="783"/>
      <c r="I19" s="783"/>
      <c r="J19" s="766"/>
      <c r="K19" s="796"/>
    </row>
    <row r="20" spans="1:11" x14ac:dyDescent="0.2">
      <c r="A20" s="2249" t="s">
        <v>1921</v>
      </c>
      <c r="B20" s="2250"/>
      <c r="C20" s="2250"/>
      <c r="D20" s="2250"/>
      <c r="E20" s="2251"/>
      <c r="F20" s="790" t="s">
        <v>991</v>
      </c>
      <c r="G20" s="783"/>
      <c r="H20" s="783"/>
      <c r="I20" s="783"/>
      <c r="J20" s="766"/>
      <c r="K20" s="796"/>
    </row>
    <row r="21" spans="1:11" ht="13.5" thickBot="1" x14ac:dyDescent="0.25">
      <c r="A21" s="2255" t="s">
        <v>659</v>
      </c>
      <c r="B21" s="2255"/>
      <c r="C21" s="2255"/>
      <c r="D21" s="2255"/>
      <c r="E21" s="2255"/>
      <c r="F21" s="1781"/>
      <c r="G21" s="793"/>
      <c r="H21" s="797"/>
      <c r="I21" s="797"/>
      <c r="J21" s="1782">
        <f>SUM(J18:J20)</f>
        <v>0</v>
      </c>
      <c r="K21" s="794"/>
    </row>
    <row r="22" spans="1:11" ht="13.5" thickTop="1" x14ac:dyDescent="0.2">
      <c r="A22" s="2235" t="s">
        <v>1922</v>
      </c>
      <c r="B22" s="2235"/>
      <c r="C22" s="2235"/>
      <c r="D22" s="2235"/>
      <c r="E22" s="2263"/>
      <c r="F22" s="790" t="s">
        <v>917</v>
      </c>
      <c r="G22" s="783"/>
      <c r="H22" s="765"/>
      <c r="I22" s="765"/>
      <c r="J22" s="798"/>
      <c r="K22" s="766"/>
    </row>
    <row r="23" spans="1:11" ht="13.5" thickBot="1" x14ac:dyDescent="0.25">
      <c r="A23" s="2256" t="s">
        <v>962</v>
      </c>
      <c r="B23" s="2255"/>
      <c r="C23" s="2255"/>
      <c r="D23" s="2255"/>
      <c r="E23" s="2255"/>
      <c r="F23" s="1783"/>
      <c r="G23" s="1780">
        <f>SUM(G14:G16,G21,G22)</f>
        <v>0</v>
      </c>
      <c r="H23" s="1780">
        <f>SUM(H14:H16,H21,H22)</f>
        <v>10886</v>
      </c>
      <c r="I23" s="1780">
        <f>SUM(I14:I16,I21,I22)</f>
        <v>0</v>
      </c>
      <c r="J23" s="1780">
        <f>SUM(J14:J16,J21,J22)</f>
        <v>0</v>
      </c>
      <c r="K23" s="1780">
        <f>SUM(K14:K16,K21,K22)</f>
        <v>0</v>
      </c>
    </row>
    <row r="24" spans="1:11" ht="14.25" thickTop="1" thickBot="1" x14ac:dyDescent="0.25">
      <c r="A24" s="2256" t="s">
        <v>2024</v>
      </c>
      <c r="B24" s="2255"/>
      <c r="C24" s="2255"/>
      <c r="D24" s="2255"/>
      <c r="E24" s="225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5"/>
      <c r="I31" s="2266"/>
      <c r="J31" s="2266"/>
      <c r="K31" s="2266"/>
    </row>
    <row r="32" spans="1:11" x14ac:dyDescent="0.2">
      <c r="A32" s="810"/>
      <c r="B32" s="237"/>
      <c r="C32" s="237"/>
      <c r="D32" s="237"/>
      <c r="E32" s="806"/>
      <c r="F32" s="812" t="s">
        <v>561</v>
      </c>
      <c r="G32" s="765"/>
      <c r="H32" s="2267"/>
      <c r="I32" s="2266"/>
      <c r="J32" s="2266"/>
      <c r="K32" s="2266"/>
    </row>
    <row r="33" spans="1:11" ht="1.5" customHeight="1" x14ac:dyDescent="0.2">
      <c r="A33" s="813" t="s">
        <v>1231</v>
      </c>
      <c r="B33" s="364"/>
      <c r="C33" s="364"/>
      <c r="D33" s="364"/>
      <c r="E33" s="364"/>
      <c r="F33" s="364"/>
      <c r="G33" s="814"/>
      <c r="H33" s="2267"/>
      <c r="I33" s="2266"/>
      <c r="J33" s="2266"/>
      <c r="K33" s="226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36"/>
      <c r="C41" s="2236"/>
      <c r="D41" s="2236"/>
      <c r="E41" s="2236"/>
      <c r="F41" s="223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2" sqref="A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2033</v>
      </c>
      <c r="B1" s="2275"/>
      <c r="C1" s="2276"/>
      <c r="D1" s="827"/>
      <c r="E1" s="828"/>
      <c r="F1" s="828"/>
      <c r="G1" s="829"/>
      <c r="H1" s="830"/>
      <c r="I1" s="831"/>
      <c r="J1" s="2272"/>
      <c r="K1" s="2273"/>
      <c r="L1" s="2273"/>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201200</v>
      </c>
      <c r="D5" s="842"/>
      <c r="E5" s="842"/>
      <c r="F5" s="1782">
        <f>(C5+D5)-E5</f>
        <v>201200</v>
      </c>
      <c r="G5" s="838"/>
      <c r="H5" s="843"/>
      <c r="I5" s="843"/>
      <c r="J5" s="843"/>
      <c r="K5" s="794"/>
      <c r="L5" s="1791">
        <f>F5-K5</f>
        <v>201200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881270</v>
      </c>
      <c r="D8" s="845">
        <v>273994</v>
      </c>
      <c r="E8" s="845"/>
      <c r="F8" s="1782">
        <f>(C8+D8)-E8</f>
        <v>1155264</v>
      </c>
      <c r="G8" s="844">
        <v>50</v>
      </c>
      <c r="H8" s="766">
        <v>433631</v>
      </c>
      <c r="I8" s="766">
        <v>35215</v>
      </c>
      <c r="J8" s="766"/>
      <c r="K8" s="1791">
        <f>(H8+I8)-J8</f>
        <v>468846</v>
      </c>
      <c r="L8" s="1791">
        <f>F8-K8</f>
        <v>686418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343951</v>
      </c>
      <c r="D10" s="847"/>
      <c r="E10" s="847"/>
      <c r="F10" s="1786">
        <f>(C10+D10)-E10</f>
        <v>343951</v>
      </c>
      <c r="G10" s="844">
        <v>20</v>
      </c>
      <c r="H10" s="848">
        <v>268142</v>
      </c>
      <c r="I10" s="848">
        <v>14802</v>
      </c>
      <c r="J10" s="848"/>
      <c r="K10" s="1791">
        <f>(H10+I10)-J10</f>
        <v>282944</v>
      </c>
      <c r="L10" s="1791">
        <f>F10-K10</f>
        <v>61007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326363</v>
      </c>
      <c r="D12" s="845"/>
      <c r="E12" s="845">
        <v>58943</v>
      </c>
      <c r="F12" s="1782">
        <f>(C12+D12)-E12</f>
        <v>267420</v>
      </c>
      <c r="G12" s="844">
        <v>10</v>
      </c>
      <c r="H12" s="766">
        <v>191065</v>
      </c>
      <c r="I12" s="766">
        <v>29078</v>
      </c>
      <c r="J12" s="766">
        <v>58943</v>
      </c>
      <c r="K12" s="1791">
        <f>(H12+I12)-J12</f>
        <v>161200</v>
      </c>
      <c r="L12" s="1791">
        <f>F12-K12</f>
        <v>106220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112968</v>
      </c>
      <c r="D15" s="845"/>
      <c r="E15" s="845">
        <v>112968</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1865752</v>
      </c>
      <c r="D16" s="1782">
        <f>SUM(D3,D5:D6,D8:D10,D12:D15)</f>
        <v>273994</v>
      </c>
      <c r="E16" s="1782">
        <f>SUM(E3,E5:E6,E8:E10,E12:E15)</f>
        <v>171911</v>
      </c>
      <c r="F16" s="1782">
        <f>SUM(F3,F5:F6,F8:F10,F12:F15)</f>
        <v>1967835</v>
      </c>
      <c r="G16" s="844"/>
      <c r="H16" s="1782">
        <f>SUM(H3,H6,H8:H10,H12:H14,)</f>
        <v>892838</v>
      </c>
      <c r="I16" s="1782">
        <f>SUM(I3,I6,I8:I10,I12:I14,)</f>
        <v>79095</v>
      </c>
      <c r="J16" s="1782">
        <f>SUM(J3,J6,J8:J10,J12:J14,)</f>
        <v>58943</v>
      </c>
      <c r="K16" s="1782">
        <f>(H16+I16)-J16</f>
        <v>912990</v>
      </c>
      <c r="L16" s="1782">
        <f>F16-K16</f>
        <v>1054845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79095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1268025</v>
      </c>
      <c r="G8" s="866"/>
    </row>
    <row r="9" spans="1:7" x14ac:dyDescent="0.2">
      <c r="A9" s="870" t="s">
        <v>480</v>
      </c>
      <c r="B9" s="871" t="s">
        <v>1988</v>
      </c>
      <c r="C9" s="872"/>
      <c r="D9" s="870" t="s">
        <v>522</v>
      </c>
      <c r="E9" s="869"/>
      <c r="F9" s="1935">
        <f>'Expenditures 15-22'!K151</f>
        <v>396265</v>
      </c>
      <c r="G9" s="873"/>
    </row>
    <row r="10" spans="1:7" x14ac:dyDescent="0.2">
      <c r="A10" s="870" t="s">
        <v>520</v>
      </c>
      <c r="B10" s="871" t="s">
        <v>1989</v>
      </c>
      <c r="C10" s="872"/>
      <c r="D10" s="870" t="s">
        <v>522</v>
      </c>
      <c r="E10" s="869"/>
      <c r="F10" s="1935">
        <f>'Expenditures 15-22'!K174</f>
        <v>106314</v>
      </c>
      <c r="G10" s="873"/>
    </row>
    <row r="11" spans="1:7" x14ac:dyDescent="0.2">
      <c r="A11" s="870" t="s">
        <v>481</v>
      </c>
      <c r="B11" s="871" t="s">
        <v>1990</v>
      </c>
      <c r="C11" s="872"/>
      <c r="D11" s="870" t="s">
        <v>522</v>
      </c>
      <c r="E11" s="869"/>
      <c r="F11" s="1935">
        <f>'Expenditures 15-22'!K210</f>
        <v>150449</v>
      </c>
      <c r="G11" s="873"/>
    </row>
    <row r="12" spans="1:7" x14ac:dyDescent="0.2">
      <c r="A12" s="870" t="s">
        <v>482</v>
      </c>
      <c r="B12" s="871" t="s">
        <v>1991</v>
      </c>
      <c r="C12" s="872"/>
      <c r="D12" s="870" t="s">
        <v>522</v>
      </c>
      <c r="E12" s="869"/>
      <c r="F12" s="1935">
        <f>'Expenditures 15-22'!K295</f>
        <v>35973</v>
      </c>
      <c r="G12" s="873"/>
    </row>
    <row r="13" spans="1:7" x14ac:dyDescent="0.2">
      <c r="A13" s="870" t="s">
        <v>108</v>
      </c>
      <c r="B13" s="871" t="s">
        <v>1992</v>
      </c>
      <c r="C13" s="872"/>
      <c r="D13" s="870" t="s">
        <v>522</v>
      </c>
      <c r="E13" s="869"/>
      <c r="F13" s="1935">
        <f>'Expenditures 15-22'!K342</f>
        <v>49075</v>
      </c>
      <c r="G13" s="874"/>
    </row>
    <row r="14" spans="1:7" ht="12" customHeight="1" thickBot="1" x14ac:dyDescent="0.25">
      <c r="A14" s="1792"/>
      <c r="B14" s="1793"/>
      <c r="C14" s="1794"/>
      <c r="D14" s="1795" t="s">
        <v>522</v>
      </c>
      <c r="E14" s="1796" t="s">
        <v>1015</v>
      </c>
      <c r="F14" s="1797">
        <f>SUM(F8:F13)</f>
        <v>2006101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45335</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24572</v>
      </c>
      <c r="G53" s="866"/>
    </row>
    <row r="54" spans="1:7" x14ac:dyDescent="0.2">
      <c r="A54" s="870" t="s">
        <v>479</v>
      </c>
      <c r="B54" s="870" t="s">
        <v>1552</v>
      </c>
      <c r="C54" s="890" t="s">
        <v>1039</v>
      </c>
      <c r="D54" s="886" t="s">
        <v>1157</v>
      </c>
      <c r="E54" s="869"/>
      <c r="F54" s="1939">
        <f>'Expenditures 15-22'!G114</f>
        <v>549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197867</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105000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373323</v>
      </c>
      <c r="G76" s="866"/>
    </row>
    <row r="77" spans="1:8" s="894" customFormat="1" ht="12" customHeight="1" thickTop="1" thickBot="1" x14ac:dyDescent="0.25">
      <c r="A77" s="1801"/>
      <c r="B77" s="1798"/>
      <c r="C77" s="1794"/>
      <c r="D77" s="1799" t="s">
        <v>2011</v>
      </c>
      <c r="E77" s="1796"/>
      <c r="F77" s="1802">
        <f>(F14-F76)</f>
        <v>1632778</v>
      </c>
      <c r="G77" s="870"/>
    </row>
    <row r="78" spans="1:8" s="894" customFormat="1" ht="12" customHeight="1" thickTop="1" x14ac:dyDescent="0.2">
      <c r="A78" s="1803"/>
      <c r="B78" s="1798"/>
      <c r="C78" s="1794"/>
      <c r="D78" s="1799" t="s">
        <v>2057</v>
      </c>
      <c r="E78" s="1796"/>
      <c r="F78" s="899">
        <v>86.84</v>
      </c>
      <c r="G78" s="900"/>
      <c r="H78" s="870"/>
    </row>
    <row r="79" spans="1:8" s="894" customFormat="1" ht="12" customHeight="1" thickBot="1" x14ac:dyDescent="0.25">
      <c r="A79" s="1804"/>
      <c r="B79" s="1798"/>
      <c r="C79" s="1794"/>
      <c r="D79" s="1799" t="s">
        <v>2012</v>
      </c>
      <c r="E79" s="1796" t="s">
        <v>1015</v>
      </c>
      <c r="F79" s="1805">
        <f>IF(F78&gt;0,F77/F78," Complete Line 78")</f>
        <v>18802.141870105941</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18241</v>
      </c>
      <c r="G94" s="913"/>
    </row>
    <row r="95" spans="1:7" x14ac:dyDescent="0.2">
      <c r="A95" s="909" t="s">
        <v>142</v>
      </c>
      <c r="B95" s="909" t="s">
        <v>177</v>
      </c>
      <c r="C95" s="911">
        <v>1700</v>
      </c>
      <c r="D95" s="919" t="str">
        <f>'Revenues 9-14'!A82</f>
        <v>Total District/School Activity Income</v>
      </c>
      <c r="E95" s="907"/>
      <c r="F95" s="1811">
        <f>SUM('Revenues 9-14'!C82,'Revenues 9-14'!D82)</f>
        <v>3724</v>
      </c>
      <c r="G95" s="913"/>
    </row>
    <row r="96" spans="1:7" x14ac:dyDescent="0.2">
      <c r="A96" s="909" t="s">
        <v>479</v>
      </c>
      <c r="B96" s="909" t="s">
        <v>178</v>
      </c>
      <c r="C96" s="911">
        <f>'Revenues 9-14'!B84</f>
        <v>1811</v>
      </c>
      <c r="D96" s="912" t="str">
        <f>'Revenues 9-14'!A84</f>
        <v>Rentals - Regular Textbooks</v>
      </c>
      <c r="E96" s="907"/>
      <c r="F96" s="1811">
        <f>'Revenues 9-14'!C84</f>
        <v>5806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33378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316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74029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7574</v>
      </c>
      <c r="G128" s="931"/>
    </row>
    <row r="129" spans="1:7" x14ac:dyDescent="0.2">
      <c r="A129" s="928" t="s">
        <v>685</v>
      </c>
      <c r="B129" s="928" t="s">
        <v>803</v>
      </c>
      <c r="C129" s="933">
        <v>4200</v>
      </c>
      <c r="D129" s="930" t="str">
        <f>'Revenues 9-14'!A201</f>
        <v>Total Food Service</v>
      </c>
      <c r="E129" s="907"/>
      <c r="F129" s="1811">
        <f>SUM('Revenues 9-14'!C201,'Revenues 9-14'!G201)</f>
        <v>20875</v>
      </c>
      <c r="G129" s="931"/>
    </row>
    <row r="130" spans="1:7" x14ac:dyDescent="0.2">
      <c r="A130" s="928" t="s">
        <v>689</v>
      </c>
      <c r="B130" s="928" t="s">
        <v>804</v>
      </c>
      <c r="C130" s="933">
        <v>4300</v>
      </c>
      <c r="D130" s="934" t="str">
        <f>'Revenues 9-14'!A211</f>
        <v>Total Title I</v>
      </c>
      <c r="E130" s="907"/>
      <c r="F130" s="1811">
        <f>SUM('Revenues 9-14'!C211,'Revenues 9-14'!D211,'Revenues 9-14'!F211,'Revenues 9-14'!G211)</f>
        <v>48405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8514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7250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3160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231272</v>
      </c>
    </row>
    <row r="179" spans="1:7" ht="12" customHeight="1" x14ac:dyDescent="0.2">
      <c r="A179" s="1792"/>
      <c r="B179" s="1806"/>
      <c r="C179" s="1807"/>
      <c r="D179" s="1808" t="s">
        <v>2014</v>
      </c>
      <c r="E179" s="1809"/>
      <c r="F179" s="1811">
        <f>'PCTC-OEPP 27-28'!F77-F178</f>
        <v>1401506</v>
      </c>
    </row>
    <row r="180" spans="1:7" ht="12" customHeight="1" x14ac:dyDescent="0.2">
      <c r="A180" s="1792"/>
      <c r="B180" s="1806"/>
      <c r="C180" s="1807"/>
      <c r="D180" s="1808" t="s">
        <v>1924</v>
      </c>
      <c r="E180" s="1809"/>
      <c r="F180" s="1811">
        <f>'Cap Outlay Deprec 26'!I18</f>
        <v>79095</v>
      </c>
    </row>
    <row r="181" spans="1:7" ht="12" customHeight="1" x14ac:dyDescent="0.2">
      <c r="A181" s="1792"/>
      <c r="B181" s="1806"/>
      <c r="C181" s="1807"/>
      <c r="D181" s="1808" t="s">
        <v>2015</v>
      </c>
      <c r="E181" s="1809"/>
      <c r="F181" s="1811">
        <f>F179+F180</f>
        <v>1480601</v>
      </c>
    </row>
    <row r="182" spans="1:7" ht="12" customHeight="1" x14ac:dyDescent="0.2">
      <c r="A182" s="1792"/>
      <c r="B182" s="1812"/>
      <c r="C182" s="1807"/>
      <c r="D182" s="1808" t="str">
        <f>D78</f>
        <v>9 Month ADA from District Average Daily Attendance/Prior General State Aid Inquiry 2017-2018</v>
      </c>
      <c r="E182" s="1809"/>
      <c r="F182" s="1813">
        <f>'PCTC-OEPP 27-28'!F78</f>
        <v>86.84</v>
      </c>
      <c r="G182" s="931"/>
    </row>
    <row r="183" spans="1:7" ht="12" customHeight="1" thickBot="1" x14ac:dyDescent="0.25">
      <c r="A183" s="1792"/>
      <c r="B183" s="1812"/>
      <c r="C183" s="1807"/>
      <c r="D183" s="1808" t="s">
        <v>2016</v>
      </c>
      <c r="E183" s="1809" t="s">
        <v>1626</v>
      </c>
      <c r="F183" s="1814">
        <f>F181/F182</f>
        <v>17049.75817595578</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5" sqref="D25"/>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6" t="s">
        <v>1926</v>
      </c>
      <c r="B6" s="1557"/>
      <c r="C6" s="1557"/>
      <c r="D6" s="1557"/>
      <c r="E6" s="1557"/>
      <c r="F6" s="1557"/>
      <c r="G6" s="1558"/>
    </row>
    <row r="7" spans="1:7" ht="30.75" customHeight="1" x14ac:dyDescent="0.25">
      <c r="A7" s="2297" t="s">
        <v>2073</v>
      </c>
      <c r="B7" s="2298"/>
      <c r="C7" s="2298"/>
      <c r="D7" s="2298"/>
      <c r="E7" s="2298"/>
      <c r="F7" s="2298"/>
      <c r="G7" s="2299"/>
    </row>
    <row r="8" spans="1:7" ht="15.75" customHeight="1" x14ac:dyDescent="0.25">
      <c r="A8" s="2300" t="s">
        <v>2022</v>
      </c>
      <c r="B8" s="2301"/>
      <c r="C8" s="2301"/>
      <c r="D8" s="2301"/>
      <c r="E8" s="2301"/>
      <c r="F8" s="2301"/>
      <c r="G8" s="2302"/>
    </row>
    <row r="9" spans="1:7" ht="35.25" customHeight="1" x14ac:dyDescent="0.25">
      <c r="A9" s="2297" t="s">
        <v>2076</v>
      </c>
      <c r="B9" s="2298"/>
      <c r="C9" s="2298"/>
      <c r="D9" s="2298"/>
      <c r="E9" s="2298"/>
      <c r="F9" s="2298"/>
      <c r="G9" s="2299"/>
    </row>
    <row r="10" spans="1:7" ht="15" customHeight="1" x14ac:dyDescent="0.25">
      <c r="A10" s="1559" t="s">
        <v>1927</v>
      </c>
      <c r="B10" s="1560"/>
      <c r="C10" s="1560"/>
      <c r="D10" s="1560"/>
      <c r="E10" s="1560"/>
      <c r="F10" s="1560"/>
      <c r="G10" s="1561"/>
    </row>
    <row r="11" spans="1:7" ht="17.25" customHeight="1" x14ac:dyDescent="0.25">
      <c r="A11" s="2297" t="s">
        <v>2075</v>
      </c>
      <c r="B11" s="2298"/>
      <c r="C11" s="2298"/>
      <c r="D11" s="2298"/>
      <c r="E11" s="2298"/>
      <c r="F11" s="2298"/>
      <c r="G11" s="2299"/>
    </row>
    <row r="12" spans="1:7" ht="15" customHeight="1" x14ac:dyDescent="0.25">
      <c r="A12" s="1559" t="s">
        <v>1932</v>
      </c>
      <c r="B12" s="1560"/>
      <c r="C12" s="1560"/>
      <c r="D12" s="1560"/>
      <c r="E12" s="1560"/>
      <c r="F12" s="1560"/>
      <c r="G12" s="1561"/>
    </row>
    <row r="13" spans="1:7" ht="32.25" customHeight="1" x14ac:dyDescent="0.25">
      <c r="A13" s="2288" t="s">
        <v>1933</v>
      </c>
      <c r="B13" s="2289"/>
      <c r="C13" s="2289"/>
      <c r="D13" s="2289"/>
      <c r="E13" s="2289"/>
      <c r="F13" s="2289"/>
      <c r="G13" s="2290"/>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2103</v>
      </c>
      <c r="B17" s="1957" t="s">
        <v>2104</v>
      </c>
      <c r="C17" s="1958" t="s">
        <v>2105</v>
      </c>
      <c r="D17" s="1867">
        <f>31071-2054-557-750</f>
        <v>27710</v>
      </c>
      <c r="E17" s="1562">
        <f t="shared" ref="E17:E141" si="1">IF(D17&lt;=25000,D17,IF(D17&gt;25000,25000,0))</f>
        <v>25000</v>
      </c>
      <c r="F17" s="1815">
        <f t="shared" si="0"/>
        <v>25000</v>
      </c>
      <c r="G17" s="1816">
        <f>IF(F17=0,0,D17-F17)</f>
        <v>2710</v>
      </c>
      <c r="H17" s="1669"/>
    </row>
    <row r="18" spans="1:8" x14ac:dyDescent="0.25">
      <c r="A18" s="1956" t="s">
        <v>2103</v>
      </c>
      <c r="B18" s="1957" t="s">
        <v>2104</v>
      </c>
      <c r="C18" s="1958" t="s">
        <v>2106</v>
      </c>
      <c r="D18" s="1867">
        <f>2054+557</f>
        <v>2611</v>
      </c>
      <c r="E18" s="1562">
        <f t="shared" ref="E18:E140" si="2">IF(D18&lt;=25000,D18,IF(D18&gt;25000,25000,0))</f>
        <v>2611</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2611</v>
      </c>
      <c r="G18" s="1816">
        <f t="shared" ref="G18:G140" si="4">IF(F18=0,0,D18-F18)</f>
        <v>0</v>
      </c>
    </row>
    <row r="19" spans="1:8" x14ac:dyDescent="0.25">
      <c r="A19" s="1956" t="s">
        <v>2103</v>
      </c>
      <c r="B19" s="1957" t="s">
        <v>2104</v>
      </c>
      <c r="C19" s="1958" t="s">
        <v>2107</v>
      </c>
      <c r="D19" s="1867">
        <v>110781</v>
      </c>
      <c r="E19" s="1562">
        <f t="shared" si="2"/>
        <v>25000</v>
      </c>
      <c r="F19" s="1815">
        <f t="shared" si="3"/>
        <v>25000</v>
      </c>
      <c r="G19" s="1816">
        <f t="shared" si="4"/>
        <v>85781</v>
      </c>
    </row>
    <row r="20" spans="1:8" x14ac:dyDescent="0.25">
      <c r="A20" s="1956" t="s">
        <v>2103</v>
      </c>
      <c r="B20" s="1957" t="s">
        <v>2104</v>
      </c>
      <c r="C20" s="1958" t="s">
        <v>2108</v>
      </c>
      <c r="D20" s="1867">
        <f>1800*4</f>
        <v>7200</v>
      </c>
      <c r="E20" s="1562">
        <f t="shared" si="2"/>
        <v>7200</v>
      </c>
      <c r="F20" s="1815">
        <f t="shared" si="3"/>
        <v>7200</v>
      </c>
      <c r="G20" s="1816">
        <f t="shared" si="4"/>
        <v>0</v>
      </c>
    </row>
    <row r="21" spans="1:8" x14ac:dyDescent="0.25">
      <c r="A21" s="1959" t="s">
        <v>2114</v>
      </c>
      <c r="B21" s="1960" t="s">
        <v>2116</v>
      </c>
      <c r="C21" s="1961" t="s">
        <v>2115</v>
      </c>
      <c r="D21" s="1867">
        <v>4459</v>
      </c>
      <c r="E21" s="1562">
        <f t="shared" si="2"/>
        <v>4459</v>
      </c>
      <c r="F21" s="1815">
        <f t="shared" si="3"/>
        <v>4459</v>
      </c>
      <c r="G21" s="1816">
        <f t="shared" si="4"/>
        <v>0</v>
      </c>
    </row>
    <row r="22" spans="1:8" x14ac:dyDescent="0.25">
      <c r="A22" s="1959" t="s">
        <v>2119</v>
      </c>
      <c r="B22" s="1960" t="s">
        <v>2117</v>
      </c>
      <c r="C22" s="1961" t="s">
        <v>2118</v>
      </c>
      <c r="D22" s="1867">
        <v>61405</v>
      </c>
      <c r="E22" s="1562">
        <f t="shared" si="2"/>
        <v>25000</v>
      </c>
      <c r="F22" s="1815">
        <f t="shared" si="3"/>
        <v>25000</v>
      </c>
      <c r="G22" s="1816">
        <f t="shared" si="4"/>
        <v>36405</v>
      </c>
    </row>
    <row r="23" spans="1:8" x14ac:dyDescent="0.25">
      <c r="A23" s="1959" t="s">
        <v>2120</v>
      </c>
      <c r="B23" s="1960" t="s">
        <v>2116</v>
      </c>
      <c r="C23" s="1961" t="s">
        <v>2121</v>
      </c>
      <c r="D23" s="1867">
        <v>17601</v>
      </c>
      <c r="E23" s="1562">
        <f t="shared" si="2"/>
        <v>17601</v>
      </c>
      <c r="F23" s="1815">
        <f t="shared" si="3"/>
        <v>17601</v>
      </c>
      <c r="G23" s="1816">
        <f t="shared" si="4"/>
        <v>0</v>
      </c>
    </row>
    <row r="24" spans="1:8" x14ac:dyDescent="0.25">
      <c r="A24" s="1959" t="s">
        <v>2119</v>
      </c>
      <c r="B24" s="1960" t="s">
        <v>2117</v>
      </c>
      <c r="C24" s="1961" t="s">
        <v>2122</v>
      </c>
      <c r="D24" s="1867">
        <v>81919</v>
      </c>
      <c r="E24" s="1562">
        <f t="shared" si="2"/>
        <v>25000</v>
      </c>
      <c r="F24" s="1815">
        <f t="shared" si="3"/>
        <v>25000</v>
      </c>
      <c r="G24" s="1816">
        <f t="shared" si="4"/>
        <v>56919</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313686</v>
      </c>
      <c r="E141" s="1563">
        <f t="shared" si="1"/>
        <v>25000</v>
      </c>
      <c r="F141" s="1817">
        <f>SUM(F17:F140)</f>
        <v>131871</v>
      </c>
      <c r="G141" s="1818">
        <f>SUM(G17:G140)</f>
        <v>181815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+'Revenues 9-14'!C201</f>
        <v>20875</v>
      </c>
      <c r="F10" s="975"/>
      <c r="G10" s="976"/>
      <c r="H10" s="162"/>
      <c r="I10" s="162"/>
    </row>
    <row r="11" spans="1:9" s="669" customFormat="1" ht="22.5" customHeight="1" x14ac:dyDescent="0.2">
      <c r="A11" s="2308" t="s">
        <v>1944</v>
      </c>
      <c r="B11" s="2309"/>
      <c r="C11" s="2309"/>
      <c r="D11" s="2310"/>
      <c r="E11" s="978">
        <v>3744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930176</v>
      </c>
      <c r="F19" s="1822"/>
      <c r="G19" s="1824">
        <f>'Expenditures 15-22'!K33-SUM('Expenditures 15-22'!G33,'Expenditures 15-22'!I33)+'Expenditures 15-22'!D229</f>
        <v>930176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51060</v>
      </c>
      <c r="F21" s="1825"/>
      <c r="G21" s="1828">
        <f>'Expenditures 15-22'!K42-SUM('Expenditures 15-22'!G42,'Expenditures 15-22'!I42)+'Expenditures 15-22'!K120-SUM('Expenditures 15-22'!G120,'Expenditures 15-22'!I120)+'Expenditures 15-22'!K180-SUM('Expenditures 15-22'!G180,'Expenditures 15-22'!I180)+'Expenditures 15-22'!D238</f>
        <v>51060</v>
      </c>
      <c r="H21" s="988"/>
      <c r="I21" s="162"/>
    </row>
    <row r="22" spans="1:9" s="669" customFormat="1" ht="12" customHeight="1" x14ac:dyDescent="0.2">
      <c r="A22" s="995" t="s">
        <v>585</v>
      </c>
      <c r="B22" s="996"/>
      <c r="C22" s="994">
        <v>2200</v>
      </c>
      <c r="D22" s="1825"/>
      <c r="E22" s="1827">
        <f>'Expenditures 15-22'!K47-SUM('Expenditures 15-22'!G47,'Expenditures 15-22'!I47)+'Expenditures 15-22'!D243</f>
        <v>9260</v>
      </c>
      <c r="F22" s="1825"/>
      <c r="G22" s="1828">
        <f>'Expenditures 15-22'!K47-SUM('Expenditures 15-22'!G47,'Expenditures 15-22'!I47)+'Expenditures 15-22'!D243</f>
        <v>9260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136453</v>
      </c>
      <c r="F23" s="1825"/>
      <c r="G23" s="1827">
        <f>'Expenditures 15-22'!K53-SUM('Expenditures 15-22'!G53,'Expenditures 15-22'!I53)+'Expenditures 15-22'!D257+'Expenditures 15-22'!K330-SUM('Expenditures 15-22'!G330,'Expenditures 15-22'!I330)</f>
        <v>136453</v>
      </c>
      <c r="H23" s="988"/>
      <c r="I23" s="162"/>
    </row>
    <row r="24" spans="1:9" s="669" customFormat="1" ht="12" customHeight="1" x14ac:dyDescent="0.2">
      <c r="A24" s="995" t="s">
        <v>587</v>
      </c>
      <c r="B24" s="996"/>
      <c r="C24" s="994">
        <v>2400</v>
      </c>
      <c r="D24" s="1825"/>
      <c r="E24" s="1827">
        <f>'Expenditures 15-22'!K57-SUM('Expenditures 15-22'!G57,'Expenditures 15-22'!I57)+'Expenditures 15-22'!D261</f>
        <v>56062</v>
      </c>
      <c r="F24" s="1825"/>
      <c r="G24" s="1828">
        <f>'Expenditures 15-22'!K57-SUM('Expenditures 15-22'!G57,'Expenditures 15-22'!I57)+'Expenditures 15-22'!D261</f>
        <v>56062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73501</v>
      </c>
      <c r="E26" s="1827">
        <f>'Expenditures 15-22'!K122-SUM('Expenditures 15-22'!G122,'Expenditures 15-22'!I122)+E7</f>
        <v>0</v>
      </c>
      <c r="F26" s="1827">
        <f>'Expenditures 15-22'!K59-SUM('Expenditures 15-22'!G59,'Expenditures 15-22'!I59)+'Expenditures 15-22'!D263-E7</f>
        <v>73501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13290</v>
      </c>
      <c r="E27" s="1827">
        <f>E8</f>
        <v>0</v>
      </c>
      <c r="F27" s="1827">
        <f>'Expenditures 15-22'!K60-SUM('Expenditures 15-22'!G60,'Expenditures 15-22'!I60)+'Expenditures 15-22'!D264-E8</f>
        <v>13290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198551</v>
      </c>
      <c r="F28" s="1829">
        <f>'Expenditures 15-22'!K61-SUM('Expenditures 15-22'!G61,'Expenditures 15-22'!I61)+'Expenditures 15-22'!K124-SUM('Expenditures 15-22'!G124,'Expenditures 15-22'!I124)+'Expenditures 15-22'!D266-E9</f>
        <v>198551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150449</v>
      </c>
      <c r="F29" s="1825"/>
      <c r="G29" s="1828">
        <f>'Expenditures 15-22'!K62-SUM('Expenditures 15-22'!G62,'Expenditures 15-22'!I62)+'Expenditures 15-22'!K125-SUM('Expenditures 15-22'!G125,'Expenditures 15-22'!I125)+'Expenditures 15-22'!K182-SUM('Expenditures 15-22'!G182,'Expenditures 15-22'!I182)+'Expenditures 15-22'!D267</f>
        <v>150449</v>
      </c>
      <c r="H29" s="986"/>
    </row>
    <row r="30" spans="1:9" ht="12" customHeight="1" x14ac:dyDescent="0.2">
      <c r="A30" s="995" t="s">
        <v>102</v>
      </c>
      <c r="B30" s="998"/>
      <c r="C30" s="994">
        <v>2560</v>
      </c>
      <c r="D30" s="1825"/>
      <c r="E30" s="1827">
        <f>'Expenditures 15-22'!K63-SUM('Expenditures 15-22'!G63,'Expenditures 15-22'!I63)+'Expenditures 15-22'!D268-E10</f>
        <v>35893</v>
      </c>
      <c r="F30" s="1825"/>
      <c r="G30" s="1827">
        <f>'Expenditures 15-22'!K63-SUM('Expenditures 15-22'!G63,'Expenditures 15-22'!I63)+'Expenditures 15-22'!D268-E10</f>
        <v>35893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1229</v>
      </c>
      <c r="F38" s="1825"/>
      <c r="G38" s="1827">
        <f>'Expenditures 15-22'!K73-SUM('Expenditures 15-22'!G73,'Expenditures 15-22'!I73)+'Expenditures 15-22'!K128-SUM('Expenditures 15-22'!G128,'Expenditures 15-22'!I128)+'Expenditures 15-22'!K183-SUM('Expenditures 15-22'!G183,'Expenditures 15-22'!I183)+'Expenditures 15-22'!D278</f>
        <v>1229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-181815</v>
      </c>
      <c r="F40" s="1825"/>
      <c r="G40" s="1829">
        <f>-'Contracts Paid in CY 29'!G141</f>
        <v>-181815</v>
      </c>
    </row>
    <row r="41" spans="1:7" ht="12" customHeight="1" x14ac:dyDescent="0.2">
      <c r="A41" s="999" t="s">
        <v>158</v>
      </c>
      <c r="B41" s="1000"/>
      <c r="C41" s="1001"/>
      <c r="D41" s="1829">
        <f>SUM(D19:D39)</f>
        <v>86791</v>
      </c>
      <c r="E41" s="1829">
        <f>SUM(E19:E40)</f>
        <v>1387318</v>
      </c>
      <c r="F41" s="1829">
        <f>SUM(F19:F39)</f>
        <v>285342</v>
      </c>
      <c r="G41" s="1829">
        <f>SUM(G19:G40)</f>
        <v>1188767</v>
      </c>
    </row>
    <row r="42" spans="1:7" x14ac:dyDescent="0.2">
      <c r="A42" s="988"/>
      <c r="B42" s="162"/>
      <c r="C42" s="1002"/>
      <c r="D42" s="2306" t="s">
        <v>543</v>
      </c>
      <c r="E42" s="2307"/>
      <c r="F42" s="1003" t="s">
        <v>544</v>
      </c>
      <c r="G42" s="1004"/>
    </row>
    <row r="43" spans="1:7" ht="12" customHeight="1" x14ac:dyDescent="0.2">
      <c r="A43" s="988"/>
      <c r="B43" s="162"/>
      <c r="C43" s="1002"/>
      <c r="D43" s="1830" t="s">
        <v>493</v>
      </c>
      <c r="E43" s="1831">
        <f>D41</f>
        <v>86791</v>
      </c>
      <c r="F43" s="1830" t="s">
        <v>495</v>
      </c>
      <c r="G43" s="1831">
        <f>F41</f>
        <v>285342</v>
      </c>
    </row>
    <row r="44" spans="1:7" ht="12" customHeight="1" x14ac:dyDescent="0.2">
      <c r="A44" s="988"/>
      <c r="B44" s="162"/>
      <c r="C44" s="1002"/>
      <c r="D44" s="1830" t="s">
        <v>494</v>
      </c>
      <c r="E44" s="1831">
        <f>E41</f>
        <v>1387318</v>
      </c>
      <c r="F44" s="1830" t="s">
        <v>494</v>
      </c>
      <c r="G44" s="1831">
        <f>G41</f>
        <v>1188767</v>
      </c>
    </row>
    <row r="45" spans="1:7" ht="12" customHeight="1" x14ac:dyDescent="0.2">
      <c r="A45" s="988"/>
      <c r="B45" s="162"/>
      <c r="C45" s="162"/>
      <c r="D45" s="1832" t="s">
        <v>1063</v>
      </c>
      <c r="E45" s="1833">
        <f>(E43/E44)</f>
        <v>6.2560278177029346E-2</v>
      </c>
      <c r="F45" s="1832" t="s">
        <v>1063</v>
      </c>
      <c r="G45" s="1833">
        <f>(G43/G44)</f>
        <v>0.24003189859745433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H29" sqref="H29"/>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4" t="s">
        <v>1446</v>
      </c>
      <c r="B1" s="2314"/>
      <c r="C1" s="2314"/>
      <c r="D1" s="2314"/>
      <c r="E1" s="2314"/>
      <c r="F1" s="2314"/>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5" t="s">
        <v>1627</v>
      </c>
      <c r="B5" s="2316"/>
      <c r="C5" s="2317"/>
      <c r="D5" s="2317"/>
      <c r="E5" s="2317"/>
      <c r="F5" s="2317"/>
    </row>
    <row r="6" spans="1:10" ht="12" customHeight="1" x14ac:dyDescent="0.25">
      <c r="A6" s="1875"/>
      <c r="B6" s="1876"/>
      <c r="C6" s="2318" t="str">
        <f>COVER!A17</f>
        <v>Allen-Otter Creek CCSD 65</v>
      </c>
      <c r="D6" s="2318"/>
      <c r="E6" s="2318"/>
      <c r="F6" s="1877"/>
    </row>
    <row r="7" spans="1:10" ht="11.25" customHeight="1" thickBot="1" x14ac:dyDescent="0.3">
      <c r="A7" s="1875"/>
      <c r="B7" s="1876"/>
      <c r="C7" s="2319">
        <f>COVER!A13</f>
        <v>35050065004</v>
      </c>
      <c r="D7" s="2319"/>
      <c r="E7" s="2319"/>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t="s">
        <v>2113</v>
      </c>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2077</v>
      </c>
      <c r="D11" s="1890" t="s">
        <v>2077</v>
      </c>
      <c r="E11" s="1891"/>
      <c r="F11" s="1892" t="s">
        <v>2097</v>
      </c>
      <c r="H11" s="1903">
        <f>IF(C11="X",5,0)</f>
        <v>5</v>
      </c>
      <c r="I11" s="1903">
        <f>IF(D11="X",5,0)</f>
        <v>5</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c r="F16" s="1892" t="s">
        <v>2098</v>
      </c>
      <c r="H16" s="1903">
        <f t="shared" si="0"/>
        <v>5</v>
      </c>
      <c r="I16" s="1903">
        <f t="shared" si="1"/>
        <v>5</v>
      </c>
      <c r="J16" s="1903">
        <f t="shared" si="2"/>
        <v>0</v>
      </c>
    </row>
    <row r="17" spans="1:12" ht="12" customHeight="1" x14ac:dyDescent="0.2">
      <c r="A17" s="1888" t="s">
        <v>1456</v>
      </c>
      <c r="B17" s="1889"/>
      <c r="C17" s="1890" t="s">
        <v>2077</v>
      </c>
      <c r="D17" s="1890" t="s">
        <v>2077</v>
      </c>
      <c r="E17" s="1893"/>
      <c r="F17" s="1892" t="s">
        <v>2099</v>
      </c>
      <c r="H17" s="1903">
        <f t="shared" si="0"/>
        <v>5</v>
      </c>
      <c r="I17" s="1903">
        <f t="shared" si="1"/>
        <v>5</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c r="F24" s="1892" t="s">
        <v>2097</v>
      </c>
      <c r="H24" s="1903">
        <f t="shared" si="0"/>
        <v>5</v>
      </c>
      <c r="I24" s="1903">
        <f t="shared" si="1"/>
        <v>5</v>
      </c>
      <c r="J24" s="1903">
        <f t="shared" si="2"/>
        <v>0</v>
      </c>
    </row>
    <row r="25" spans="1:12" ht="12" customHeight="1" x14ac:dyDescent="0.2">
      <c r="A25" s="1888" t="s">
        <v>1614</v>
      </c>
      <c r="B25" s="1889"/>
      <c r="C25" s="1890" t="s">
        <v>2077</v>
      </c>
      <c r="D25" s="1890" t="s">
        <v>2077</v>
      </c>
      <c r="E25" s="1893"/>
      <c r="F25" s="1892" t="s">
        <v>2100</v>
      </c>
      <c r="H25" s="1903">
        <f t="shared" si="0"/>
        <v>5</v>
      </c>
      <c r="I25" s="1903">
        <f t="shared" si="1"/>
        <v>5</v>
      </c>
      <c r="J25" s="1903">
        <f t="shared" si="2"/>
        <v>0</v>
      </c>
    </row>
    <row r="26" spans="1:12" ht="12" customHeight="1" x14ac:dyDescent="0.2">
      <c r="A26" s="1888" t="s">
        <v>1615</v>
      </c>
      <c r="B26" s="1889"/>
      <c r="C26" s="1890" t="s">
        <v>2077</v>
      </c>
      <c r="D26" s="1890" t="s">
        <v>2077</v>
      </c>
      <c r="E26" s="1893"/>
      <c r="F26" s="1892" t="s">
        <v>2099</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2101</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c r="F32" s="1892" t="s">
        <v>2102</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0</v>
      </c>
      <c r="K34" s="1903">
        <f>SUM(H34:J34)</f>
        <v>80</v>
      </c>
    </row>
    <row r="35" spans="1:11" ht="12" customHeight="1" x14ac:dyDescent="0.2">
      <c r="A35" s="1896" t="s">
        <v>1459</v>
      </c>
      <c r="B35" s="1897"/>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98"/>
      <c r="B39" s="1898"/>
      <c r="C39" s="1898"/>
      <c r="D39" s="1898"/>
      <c r="E39" s="1898"/>
      <c r="F39" s="1898"/>
    </row>
    <row r="40" spans="1:11" s="1895" customFormat="1" ht="12" customHeight="1" x14ac:dyDescent="0.25">
      <c r="A40" s="1899" t="s">
        <v>1458</v>
      </c>
      <c r="B40" s="1900"/>
      <c r="C40" s="2328"/>
      <c r="D40" s="2328"/>
      <c r="E40" s="2328"/>
      <c r="F40" s="2329"/>
      <c r="H40" s="1904"/>
      <c r="I40" s="1904"/>
      <c r="J40" s="1904"/>
      <c r="K40" s="1904"/>
    </row>
    <row r="41" spans="1:11" s="1895" customFormat="1" ht="12" customHeight="1" x14ac:dyDescent="0.25">
      <c r="A41" s="2330"/>
      <c r="B41" s="2331"/>
      <c r="C41" s="2331"/>
      <c r="D41" s="2331"/>
      <c r="E41" s="2331"/>
      <c r="F41" s="2332"/>
      <c r="H41" s="1904"/>
      <c r="I41" s="1904"/>
      <c r="J41" s="1904"/>
      <c r="K41" s="1904"/>
    </row>
    <row r="42" spans="1:11" s="1895" customFormat="1" ht="12" customHeight="1" x14ac:dyDescent="0.25">
      <c r="A42" s="2330"/>
      <c r="B42" s="2331"/>
      <c r="C42" s="2331"/>
      <c r="D42" s="2331"/>
      <c r="E42" s="2331"/>
      <c r="F42" s="2332"/>
      <c r="H42" s="1904"/>
      <c r="I42" s="1904"/>
      <c r="J42" s="1904"/>
      <c r="K42" s="1904"/>
    </row>
    <row r="43" spans="1:11" s="1895" customFormat="1" ht="15" x14ac:dyDescent="0.25">
      <c r="A43" s="2322"/>
      <c r="B43" s="2323"/>
      <c r="C43" s="2323"/>
      <c r="D43" s="2323"/>
      <c r="E43" s="2323"/>
      <c r="F43" s="2324"/>
      <c r="H43" s="1904"/>
      <c r="I43" s="1904"/>
      <c r="J43" s="1904"/>
      <c r="K43" s="1904"/>
    </row>
    <row r="44" spans="1:11" s="1895" customFormat="1" ht="12" hidden="1" customHeight="1" x14ac:dyDescent="0.25">
      <c r="A44" s="2322"/>
      <c r="B44" s="2323"/>
      <c r="C44" s="2323"/>
      <c r="D44" s="2323"/>
      <c r="E44" s="2323"/>
      <c r="F44" s="2324"/>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8" t="str">
        <f>COVER!A17</f>
        <v>Allen-Otter Creek CCSD 65</v>
      </c>
      <c r="J6" s="2339"/>
      <c r="Q6" s="1686"/>
    </row>
    <row r="7" spans="1:17" x14ac:dyDescent="0.2">
      <c r="A7" s="2340" t="s">
        <v>924</v>
      </c>
      <c r="B7" s="2341"/>
      <c r="C7" s="2341"/>
      <c r="D7" s="2341"/>
      <c r="E7" s="2342"/>
      <c r="F7" s="1018"/>
      <c r="G7" s="1010"/>
      <c r="H7" s="1017" t="s">
        <v>390</v>
      </c>
      <c r="I7" s="2343">
        <f>COVER!A13</f>
        <v>35050065004</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73093</v>
      </c>
      <c r="F12" s="1040"/>
      <c r="G12" s="1834">
        <f t="shared" ref="G12:G18" si="0">SUM(E12:F12)</f>
        <v>73093</v>
      </c>
      <c r="H12" s="1041">
        <v>73400</v>
      </c>
      <c r="I12" s="1040"/>
      <c r="J12" s="1834">
        <f t="shared" ref="J12:J18" si="1">SUM(H12:I12)</f>
        <v>73400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73501</v>
      </c>
      <c r="F15" s="1834">
        <f>'Expenditures 15-22'!K122</f>
        <v>0</v>
      </c>
      <c r="G15" s="1834">
        <f t="shared" si="0"/>
        <v>73501</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146594</v>
      </c>
      <c r="F19" s="1836">
        <f t="shared" si="2"/>
        <v>0</v>
      </c>
      <c r="G19" s="1836">
        <f t="shared" si="2"/>
        <v>146594</v>
      </c>
      <c r="H19" s="1836">
        <f t="shared" si="2"/>
        <v>73400</v>
      </c>
      <c r="I19" s="1836">
        <f t="shared" si="2"/>
        <v>0</v>
      </c>
      <c r="J19" s="1836">
        <f t="shared" si="2"/>
        <v>73400</v>
      </c>
    </row>
    <row r="20" spans="1:10" ht="13.5" thickTop="1" x14ac:dyDescent="0.2">
      <c r="A20" s="1036">
        <v>9</v>
      </c>
      <c r="B20" s="2350" t="s">
        <v>1703</v>
      </c>
      <c r="C20" s="2350"/>
      <c r="D20" s="2351"/>
      <c r="E20" s="1047"/>
      <c r="F20" s="1047"/>
      <c r="G20" s="1047"/>
      <c r="H20" s="1047"/>
      <c r="I20" s="1047"/>
      <c r="J20" s="1837">
        <f>IF(AND(G19&gt;0,J19&gt;0),(((J19-G19)/G19)),"Enter Budget Data")</f>
        <v>-0.49929737915603639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1943</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2109</v>
      </c>
    </row>
    <row r="6" spans="1:2" x14ac:dyDescent="0.2">
      <c r="A6" s="1069">
        <v>2</v>
      </c>
      <c r="B6" s="329" t="s">
        <v>2110</v>
      </c>
    </row>
    <row r="7" spans="1:2" x14ac:dyDescent="0.2">
      <c r="A7" s="1069">
        <v>3</v>
      </c>
      <c r="B7" s="329" t="s">
        <v>2111</v>
      </c>
    </row>
    <row r="8" spans="1:2" x14ac:dyDescent="0.2">
      <c r="A8" s="1069">
        <v>4</v>
      </c>
      <c r="B8" s="329" t="s">
        <v>2112</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Allen-Otter Creek CCSD 65</v>
      </c>
    </row>
    <row r="65" spans="2:2" x14ac:dyDescent="0.2">
      <c r="B65" s="1071">
        <f>COVER!A13</f>
        <v>35050065004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2054</v>
      </c>
      <c r="B4" s="2378"/>
      <c r="C4" s="2378"/>
      <c r="D4" s="2378"/>
      <c r="E4" s="2378"/>
      <c r="F4" s="2379"/>
      <c r="G4" s="1075"/>
      <c r="H4" s="1075"/>
    </row>
    <row r="5" spans="1:8" ht="14.25" customHeight="1" x14ac:dyDescent="0.2">
      <c r="A5" s="2380" t="s">
        <v>2055</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1205567</v>
      </c>
      <c r="C8" s="1838">
        <f>'Acct Summary 7-8'!D8</f>
        <v>136835</v>
      </c>
      <c r="D8" s="1838">
        <f>'Acct Summary 7-8'!F8</f>
        <v>139436</v>
      </c>
      <c r="E8" s="1838">
        <f>'Acct Summary 7-8'!I8</f>
        <v>27544</v>
      </c>
      <c r="F8" s="1838">
        <f>SUM(B8:E8)</f>
        <v>1509382</v>
      </c>
    </row>
    <row r="9" spans="1:8" s="1080" customFormat="1" ht="14.25" customHeight="1" thickBot="1" x14ac:dyDescent="0.25">
      <c r="A9" s="1079" t="s">
        <v>1436</v>
      </c>
      <c r="B9" s="1839">
        <f>'Acct Summary 7-8'!C17</f>
        <v>1268025</v>
      </c>
      <c r="C9" s="1839">
        <f>'Acct Summary 7-8'!D17</f>
        <v>396265</v>
      </c>
      <c r="D9" s="1839">
        <f>'Acct Summary 7-8'!F17</f>
        <v>150449</v>
      </c>
      <c r="E9" s="1838"/>
      <c r="F9" s="1838">
        <f>SUM(B9:E9)</f>
        <v>1814739</v>
      </c>
    </row>
    <row r="10" spans="1:8" s="1080" customFormat="1" ht="14.25" thickTop="1" thickBot="1" x14ac:dyDescent="0.25">
      <c r="A10" s="1081" t="s">
        <v>1437</v>
      </c>
      <c r="B10" s="1840">
        <f>(B8-B9)</f>
        <v>-62458</v>
      </c>
      <c r="C10" s="1840">
        <f>(C8-C9)</f>
        <v>-259430</v>
      </c>
      <c r="D10" s="1840">
        <f>(D8-D9)</f>
        <v>-11013</v>
      </c>
      <c r="E10" s="1839">
        <f>(E8-E9)</f>
        <v>27544</v>
      </c>
      <c r="F10" s="1841">
        <f>SUM(F8-F9)</f>
        <v>-305357</v>
      </c>
    </row>
    <row r="11" spans="1:8" s="1080" customFormat="1" ht="14.25" thickTop="1" thickBot="1" x14ac:dyDescent="0.25">
      <c r="A11" s="1082" t="s">
        <v>1785</v>
      </c>
      <c r="B11" s="1842">
        <f>'Acct Summary 7-8'!C81</f>
        <v>552563</v>
      </c>
      <c r="C11" s="1842">
        <f>'Acct Summary 7-8'!D81</f>
        <v>67840</v>
      </c>
      <c r="D11" s="1842">
        <f>'Acct Summary 7-8'!F81</f>
        <v>52104</v>
      </c>
      <c r="E11" s="1842">
        <f>'Acct Summary 7-8'!I81</f>
        <v>195286</v>
      </c>
      <c r="F11" s="1843">
        <f>SUM(B11:E11)</f>
        <v>867793</v>
      </c>
    </row>
    <row r="12" spans="1:8" ht="16.5" customHeight="1" thickTop="1" x14ac:dyDescent="0.2">
      <c r="A12" s="1083"/>
      <c r="B12" s="1084"/>
      <c r="C12" s="236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35050065004</v>
      </c>
    </row>
    <row r="3" spans="1:2" x14ac:dyDescent="0.2">
      <c r="A3" t="s">
        <v>1013</v>
      </c>
      <c r="B3" s="138" t="str">
        <f>COVER!A15</f>
        <v>LaSalle</v>
      </c>
    </row>
    <row r="4" spans="1:2" x14ac:dyDescent="0.2">
      <c r="A4" t="s">
        <v>1064</v>
      </c>
      <c r="B4" s="138" t="str">
        <f>COVER!A17</f>
        <v>Allen-Otter Creek CCSD 65</v>
      </c>
    </row>
    <row r="5" spans="1:2" x14ac:dyDescent="0.2">
      <c r="A5" t="s">
        <v>728</v>
      </c>
      <c r="B5" s="138" t="str">
        <f>COVER!A38</f>
        <v>Mary Pat Baima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552563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354631</v>
      </c>
      <c r="D92" s="2" t="str">
        <f t="shared" si="0"/>
        <v>Error?</v>
      </c>
    </row>
    <row r="93" spans="1:4" x14ac:dyDescent="0.2">
      <c r="A93" s="5">
        <v>32</v>
      </c>
      <c r="B93" s="138">
        <f>'Assets-Liab 5-6'!C41</f>
        <v>552563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67840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67149</v>
      </c>
      <c r="D123" s="2" t="str">
        <f t="shared" si="0"/>
        <v>Error?</v>
      </c>
    </row>
    <row r="124" spans="1:4" x14ac:dyDescent="0.2">
      <c r="A124" s="5">
        <v>63</v>
      </c>
      <c r="B124" s="138">
        <f>'Assets-Liab 5-6'!D41</f>
        <v>67840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69805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69805</v>
      </c>
      <c r="D140" s="2" t="str">
        <f t="shared" si="1"/>
        <v>Error?</v>
      </c>
    </row>
    <row r="141" spans="1:4" x14ac:dyDescent="0.2">
      <c r="A141" s="5">
        <v>80</v>
      </c>
      <c r="B141" s="138">
        <f>'Assets-Liab 5-6'!E41</f>
        <v>69805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52104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52104</v>
      </c>
      <c r="D170" s="2" t="str">
        <f t="shared" si="1"/>
        <v>Error?</v>
      </c>
    </row>
    <row r="171" spans="1:4" x14ac:dyDescent="0.2">
      <c r="A171" s="5">
        <v>110</v>
      </c>
      <c r="B171" s="138">
        <f>'Assets-Liab 5-6'!F41</f>
        <v>52104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17631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17631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201200</v>
      </c>
      <c r="D273" s="2" t="str">
        <f t="shared" si="3"/>
        <v>Error?</v>
      </c>
    </row>
    <row r="274" spans="1:4" x14ac:dyDescent="0.2">
      <c r="A274" s="5">
        <v>213</v>
      </c>
      <c r="B274" s="138">
        <f>'Assets-Liab 5-6'!M17</f>
        <v>686418</v>
      </c>
      <c r="D274" s="2" t="str">
        <f t="shared" si="3"/>
        <v>Error?</v>
      </c>
    </row>
    <row r="275" spans="1:4" x14ac:dyDescent="0.2">
      <c r="A275" s="5">
        <v>214</v>
      </c>
      <c r="B275" s="138">
        <f>'Assets-Liab 5-6'!M18</f>
        <v>61007</v>
      </c>
      <c r="D275" s="2" t="str">
        <f t="shared" si="3"/>
        <v>Error?</v>
      </c>
    </row>
    <row r="276" spans="1:4" x14ac:dyDescent="0.2">
      <c r="A276" s="5">
        <v>215</v>
      </c>
      <c r="B276" s="138">
        <f>'Assets-Liab 5-6'!M19</f>
        <v>106220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1054845</v>
      </c>
      <c r="C279" s="2" t="s">
        <v>594</v>
      </c>
      <c r="D279" s="2" t="str">
        <f t="shared" si="3"/>
        <v>Error?</v>
      </c>
    </row>
    <row r="280" spans="1:4" x14ac:dyDescent="0.2">
      <c r="A280" s="5">
        <v>219</v>
      </c>
      <c r="B280" s="138">
        <f>'Assets-Liab 5-6'!M40</f>
        <v>1054845</v>
      </c>
      <c r="D280" s="2" t="str">
        <f t="shared" si="3"/>
        <v>Error?</v>
      </c>
    </row>
    <row r="281" spans="1:4" x14ac:dyDescent="0.2">
      <c r="A281" s="5">
        <v>220</v>
      </c>
      <c r="B281" s="138">
        <f>'Assets-Liab 5-6'!M41</f>
        <v>1054845</v>
      </c>
      <c r="C281" s="2" t="s">
        <v>594</v>
      </c>
      <c r="D281" s="2" t="str">
        <f t="shared" si="3"/>
        <v>Error?</v>
      </c>
    </row>
    <row r="282" spans="1:4" x14ac:dyDescent="0.2">
      <c r="A282" s="5">
        <v>221</v>
      </c>
      <c r="B282" s="138">
        <f>'Assets-Liab 5-6'!N21</f>
        <v>69805</v>
      </c>
      <c r="D282" s="2" t="str">
        <f t="shared" si="3"/>
        <v>Error?</v>
      </c>
    </row>
    <row r="283" spans="1:4" x14ac:dyDescent="0.2">
      <c r="A283" s="5">
        <v>222</v>
      </c>
      <c r="B283" s="138">
        <f>'Assets-Liab 5-6'!N22</f>
        <v>230195</v>
      </c>
      <c r="D283" s="2" t="str">
        <f t="shared" si="3"/>
        <v>Error?</v>
      </c>
    </row>
    <row r="284" spans="1:4" x14ac:dyDescent="0.2">
      <c r="A284" s="5">
        <v>223</v>
      </c>
      <c r="B284" s="138">
        <f>'Assets-Liab 5-6'!N23</f>
        <v>300000</v>
      </c>
      <c r="C284" s="2" t="s">
        <v>594</v>
      </c>
      <c r="D284" s="2" t="str">
        <f t="shared" si="3"/>
        <v>Error?</v>
      </c>
    </row>
    <row r="285" spans="1:4" x14ac:dyDescent="0.2">
      <c r="A285" s="5">
        <v>224</v>
      </c>
      <c r="B285" s="138">
        <f>'Assets-Liab 5-6'!N36</f>
        <v>300000</v>
      </c>
      <c r="D285" s="2" t="str">
        <f t="shared" si="3"/>
        <v>Error?</v>
      </c>
    </row>
    <row r="286" spans="1:4" x14ac:dyDescent="0.2">
      <c r="A286" s="10">
        <v>225</v>
      </c>
      <c r="D286" s="2" t="str">
        <f t="shared" si="3"/>
        <v>OK</v>
      </c>
    </row>
    <row r="287" spans="1:4" x14ac:dyDescent="0.2">
      <c r="A287" s="5">
        <v>226</v>
      </c>
      <c r="B287" s="138">
        <f>'Assets-Liab 5-6'!N37</f>
        <v>300000</v>
      </c>
      <c r="C287" s="2" t="s">
        <v>594</v>
      </c>
      <c r="D287" s="2" t="str">
        <f t="shared" si="3"/>
        <v>Error?</v>
      </c>
    </row>
    <row r="288" spans="1:4" x14ac:dyDescent="0.2">
      <c r="A288" s="5">
        <v>227</v>
      </c>
      <c r="B288" s="138">
        <f>'Assets-Liab 5-6'!N41</f>
        <v>300000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581387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643543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42095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42095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57472</v>
      </c>
      <c r="D733" s="2" t="str">
        <f t="shared" si="10"/>
        <v>Error?</v>
      </c>
    </row>
    <row r="734" spans="1:4" x14ac:dyDescent="0.2">
      <c r="A734" s="5">
        <v>673</v>
      </c>
      <c r="B734" s="138">
        <f>'Expenditures 15-22'!C53</f>
        <v>57472</v>
      </c>
      <c r="C734" s="2" t="s">
        <v>594</v>
      </c>
      <c r="D734" s="2" t="str">
        <f t="shared" si="10"/>
        <v>Error?</v>
      </c>
    </row>
    <row r="735" spans="1:4" x14ac:dyDescent="0.2">
      <c r="A735" s="5">
        <v>674</v>
      </c>
      <c r="B735" s="138">
        <f>'Expenditures 15-22'!C55</f>
        <v>54215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54215</v>
      </c>
      <c r="C737" s="2" t="s">
        <v>594</v>
      </c>
      <c r="D737" s="2" t="str">
        <f t="shared" si="10"/>
        <v>Error?</v>
      </c>
    </row>
    <row r="738" spans="1:4" x14ac:dyDescent="0.2">
      <c r="A738" s="5">
        <v>677</v>
      </c>
      <c r="B738" s="138">
        <f>'Expenditures 15-22'!C59</f>
        <v>68924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28852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97776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251558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895101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49882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65489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886</v>
      </c>
      <c r="D791" s="2" t="str">
        <f t="shared" si="11"/>
        <v>Error?</v>
      </c>
    </row>
    <row r="792" spans="1:4" x14ac:dyDescent="0.2">
      <c r="A792" s="5">
        <v>731</v>
      </c>
      <c r="B792" s="138">
        <f>'Expenditures 15-22'!D53</f>
        <v>886</v>
      </c>
      <c r="C792" s="2" t="s">
        <v>594</v>
      </c>
      <c r="D792" s="2" t="str">
        <f t="shared" si="11"/>
        <v>Error?</v>
      </c>
    </row>
    <row r="793" spans="1:4" x14ac:dyDescent="0.2">
      <c r="A793" s="5">
        <v>732</v>
      </c>
      <c r="B793" s="138">
        <f>'Expenditures 15-22'!D55</f>
        <v>886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886</v>
      </c>
      <c r="C795" s="2" t="s">
        <v>594</v>
      </c>
      <c r="D795" s="2" t="str">
        <f t="shared" si="11"/>
        <v>Error?</v>
      </c>
    </row>
    <row r="796" spans="1:4" x14ac:dyDescent="0.2">
      <c r="A796" s="5">
        <v>735</v>
      </c>
      <c r="B796" s="138">
        <f>'Expenditures 15-22'!D59</f>
        <v>4577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6349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71838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50627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70621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6983</v>
      </c>
      <c r="D838" s="2" t="str">
        <f t="shared" si="12"/>
        <v>Error?</v>
      </c>
    </row>
    <row r="839" spans="1:4" x14ac:dyDescent="0.2">
      <c r="A839" s="5">
        <v>778</v>
      </c>
      <c r="B839" s="138">
        <f>'Expenditures 15-22'!E38</f>
        <v>1372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8355</v>
      </c>
      <c r="C843" s="2" t="s">
        <v>594</v>
      </c>
      <c r="D843" s="2" t="str">
        <f t="shared" si="12"/>
        <v>Error?</v>
      </c>
    </row>
    <row r="844" spans="1:4" x14ac:dyDescent="0.2">
      <c r="A844" s="5">
        <v>783</v>
      </c>
      <c r="B844" s="138">
        <f>'Expenditures 15-22'!E44</f>
        <v>9260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9260</v>
      </c>
      <c r="C847" s="2" t="s">
        <v>594</v>
      </c>
      <c r="D847" s="2" t="str">
        <f t="shared" si="12"/>
        <v>Error?</v>
      </c>
    </row>
    <row r="848" spans="1:4" x14ac:dyDescent="0.2">
      <c r="A848" s="5">
        <v>787</v>
      </c>
      <c r="B848" s="138">
        <f>'Expenditures 15-22'!E49</f>
        <v>8050</v>
      </c>
      <c r="D848" s="2" t="str">
        <f t="shared" si="12"/>
        <v>Error?</v>
      </c>
    </row>
    <row r="849" spans="1:4" x14ac:dyDescent="0.2">
      <c r="A849" s="5">
        <v>788</v>
      </c>
      <c r="B849" s="138">
        <f>'Expenditures 15-22'!E50</f>
        <v>5313</v>
      </c>
      <c r="D849" s="2" t="str">
        <f t="shared" si="12"/>
        <v>Error?</v>
      </c>
    </row>
    <row r="850" spans="1:4" x14ac:dyDescent="0.2">
      <c r="A850" s="5">
        <v>789</v>
      </c>
      <c r="B850" s="138">
        <f>'Expenditures 15-22'!E53</f>
        <v>13363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31865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113194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29796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35509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3096</v>
      </c>
      <c r="D906" s="2" t="str">
        <f t="shared" si="13"/>
        <v>Error?</v>
      </c>
    </row>
    <row r="907" spans="1:4" x14ac:dyDescent="0.2">
      <c r="A907" s="5">
        <v>846</v>
      </c>
      <c r="B907" s="138">
        <f>'Expenditures 15-22'!F50</f>
        <v>4689</v>
      </c>
      <c r="D907" s="2" t="str">
        <f t="shared" si="13"/>
        <v>Error?</v>
      </c>
    </row>
    <row r="908" spans="1:4" x14ac:dyDescent="0.2">
      <c r="A908" s="5">
        <v>847</v>
      </c>
      <c r="B908" s="138">
        <f>'Expenditures 15-22'!F53</f>
        <v>7785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21349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21349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1229</v>
      </c>
      <c r="D928" s="2" t="str">
        <f t="shared" si="13"/>
        <v>Error?</v>
      </c>
    </row>
    <row r="929" spans="1:4" x14ac:dyDescent="0.2">
      <c r="A929" s="5">
        <v>868</v>
      </c>
      <c r="B929" s="138">
        <f>'Expenditures 15-22'!F74</f>
        <v>30363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65872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1505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4496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100475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2169</v>
      </c>
      <c r="D1022" s="2" t="str">
        <f t="shared" si="14"/>
        <v>Error?</v>
      </c>
    </row>
    <row r="1023" spans="1:4" x14ac:dyDescent="0.2">
      <c r="A1023" s="5">
        <v>962</v>
      </c>
      <c r="B1023" s="138">
        <f>'Expenditures 15-22'!H50</f>
        <v>4733</v>
      </c>
      <c r="D1023" s="2" t="str">
        <f t="shared" ref="D1023:D1086" si="15">IF(ISBLANK(B1023),"OK",IF(A1023-B1023=0,"OK","Error?"))</f>
        <v>Error?</v>
      </c>
    </row>
    <row r="1024" spans="1:4" x14ac:dyDescent="0.2">
      <c r="A1024" s="5">
        <v>963</v>
      </c>
      <c r="B1024" s="138">
        <f>'Expenditures 15-22'!H53</f>
        <v>6902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7132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13864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121471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713746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14077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916186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6983</v>
      </c>
      <c r="C1110" s="2" t="s">
        <v>594</v>
      </c>
      <c r="D1110" s="2" t="str">
        <f t="shared" si="16"/>
        <v>Error?</v>
      </c>
    </row>
    <row r="1111" spans="1:4" x14ac:dyDescent="0.2">
      <c r="A1111" s="5">
        <v>1050</v>
      </c>
      <c r="B1111" s="138">
        <f>'Expenditures 15-22'!K38</f>
        <v>1372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42095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50450</v>
      </c>
      <c r="C1115" s="2" t="s">
        <v>594</v>
      </c>
      <c r="D1115" s="2" t="str">
        <f t="shared" si="16"/>
        <v>Error?</v>
      </c>
    </row>
    <row r="1116" spans="1:4" x14ac:dyDescent="0.2">
      <c r="A1116" s="5">
        <v>1055</v>
      </c>
      <c r="B1116" s="138">
        <f>'Expenditures 15-22'!K44</f>
        <v>9260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9260</v>
      </c>
      <c r="C1119" s="2" t="s">
        <v>594</v>
      </c>
      <c r="D1119" s="2" t="str">
        <f t="shared" si="16"/>
        <v>Error?</v>
      </c>
    </row>
    <row r="1120" spans="1:4" x14ac:dyDescent="0.2">
      <c r="A1120" s="5">
        <v>1059</v>
      </c>
      <c r="B1120" s="138">
        <f>'Expenditures 15-22'!K49</f>
        <v>13315</v>
      </c>
      <c r="C1120" s="2" t="s">
        <v>594</v>
      </c>
      <c r="D1120" s="2" t="str">
        <f t="shared" si="16"/>
        <v>Error?</v>
      </c>
    </row>
    <row r="1121" spans="1:4" x14ac:dyDescent="0.2">
      <c r="A1121" s="5">
        <v>1060</v>
      </c>
      <c r="B1121" s="138">
        <f>'Expenditures 15-22'!K50</f>
        <v>73093</v>
      </c>
      <c r="C1121" s="2" t="s">
        <v>594</v>
      </c>
      <c r="D1121" s="2" t="str">
        <f t="shared" si="16"/>
        <v>Error?</v>
      </c>
    </row>
    <row r="1122" spans="1:4" x14ac:dyDescent="0.2">
      <c r="A1122" s="5">
        <v>1061</v>
      </c>
      <c r="B1122" s="138">
        <f>'Expenditures 15-22'!K53</f>
        <v>86408</v>
      </c>
      <c r="C1122" s="2" t="s">
        <v>594</v>
      </c>
      <c r="D1122" s="2" t="str">
        <f t="shared" si="16"/>
        <v>Error?</v>
      </c>
    </row>
    <row r="1123" spans="1:4" x14ac:dyDescent="0.2">
      <c r="A1123" s="5">
        <v>1062</v>
      </c>
      <c r="B1123" s="138">
        <f>'Expenditures 15-22'!K55</f>
        <v>55101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55101</v>
      </c>
      <c r="C1125" s="2" t="s">
        <v>594</v>
      </c>
      <c r="D1125" s="2" t="str">
        <f t="shared" si="16"/>
        <v>Error?</v>
      </c>
    </row>
    <row r="1126" spans="1:4" x14ac:dyDescent="0.2">
      <c r="A1126" s="5">
        <v>1065</v>
      </c>
      <c r="B1126" s="138">
        <f>'Expenditures 15-22'!K59</f>
        <v>73501</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51318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124819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1229</v>
      </c>
      <c r="C1142" s="2" t="s">
        <v>594</v>
      </c>
      <c r="D1142" s="2" t="str">
        <f t="shared" si="16"/>
        <v>Error?</v>
      </c>
    </row>
    <row r="1143" spans="1:4" x14ac:dyDescent="0.2">
      <c r="A1143" s="5">
        <v>1082</v>
      </c>
      <c r="B1143" s="138">
        <f>'Expenditures 15-22'!K74</f>
        <v>327267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24572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1268025</v>
      </c>
      <c r="C1152" s="2" t="s">
        <v>594</v>
      </c>
      <c r="D1152" s="2" t="str">
        <f t="shared" si="17"/>
        <v>Error?</v>
      </c>
    </row>
    <row r="1153" spans="1:4" x14ac:dyDescent="0.2">
      <c r="A1153" s="5">
        <v>1092</v>
      </c>
      <c r="B1153" s="138">
        <f>'Expenditures 15-22'!K115</f>
        <v>-62458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2000</v>
      </c>
      <c r="D1221" s="2" t="str">
        <f t="shared" si="18"/>
        <v>Error?</v>
      </c>
    </row>
    <row r="1222" spans="1:4" x14ac:dyDescent="0.2">
      <c r="A1222" s="10">
        <v>1161</v>
      </c>
      <c r="D1222" s="2" t="str">
        <f t="shared" si="18"/>
        <v>OK</v>
      </c>
    </row>
    <row r="1223" spans="1:4" x14ac:dyDescent="0.2">
      <c r="A1223" s="5">
        <v>1162</v>
      </c>
      <c r="B1223" s="138">
        <f>'Expenditures 15-22'!C127</f>
        <v>2000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2000</v>
      </c>
      <c r="C1225" s="2" t="s">
        <v>594</v>
      </c>
      <c r="D1225" s="2" t="str">
        <f t="shared" si="18"/>
        <v>Error?</v>
      </c>
    </row>
    <row r="1226" spans="1:4" x14ac:dyDescent="0.2">
      <c r="A1226" s="5">
        <v>1165</v>
      </c>
      <c r="B1226" s="138">
        <f>'Expenditures 15-22'!C151</f>
        <v>2000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177736</v>
      </c>
      <c r="D1237" s="2" t="str">
        <f t="shared" si="18"/>
        <v>Error?</v>
      </c>
    </row>
    <row r="1238" spans="1:4" x14ac:dyDescent="0.2">
      <c r="A1238" s="10">
        <v>1177</v>
      </c>
      <c r="D1238" s="2" t="str">
        <f t="shared" si="18"/>
        <v>OK</v>
      </c>
    </row>
    <row r="1239" spans="1:4" x14ac:dyDescent="0.2">
      <c r="A1239" s="5">
        <v>1178</v>
      </c>
      <c r="B1239" s="138">
        <f>'Expenditures 15-22'!E127</f>
        <v>177736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177736</v>
      </c>
      <c r="C1241" s="2" t="s">
        <v>594</v>
      </c>
      <c r="D1241" s="2" t="str">
        <f t="shared" si="18"/>
        <v>Error?</v>
      </c>
    </row>
    <row r="1242" spans="1:4" x14ac:dyDescent="0.2">
      <c r="A1242" s="5">
        <v>1181</v>
      </c>
      <c r="B1242" s="138">
        <f>'Expenditures 15-22'!E151</f>
        <v>177736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18662</v>
      </c>
      <c r="D1245" s="2" t="str">
        <f t="shared" si="18"/>
        <v>Error?</v>
      </c>
    </row>
    <row r="1246" spans="1:4" x14ac:dyDescent="0.2">
      <c r="A1246" s="10">
        <v>1185</v>
      </c>
      <c r="D1246" s="2" t="str">
        <f t="shared" si="18"/>
        <v>OK</v>
      </c>
    </row>
    <row r="1247" spans="1:4" x14ac:dyDescent="0.2">
      <c r="A1247" s="5">
        <v>1186</v>
      </c>
      <c r="B1247" s="138">
        <f>'Expenditures 15-22'!F127</f>
        <v>18662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18662</v>
      </c>
      <c r="C1249" s="2" t="s">
        <v>594</v>
      </c>
      <c r="D1249" s="2" t="str">
        <f t="shared" si="18"/>
        <v>Error?</v>
      </c>
    </row>
    <row r="1250" spans="1:4" x14ac:dyDescent="0.2">
      <c r="A1250" s="5">
        <v>1189</v>
      </c>
      <c r="B1250" s="138">
        <f>'Expenditures 15-22'!F151</f>
        <v>18662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197867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197867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197867</v>
      </c>
      <c r="C1258" s="2" t="s">
        <v>594</v>
      </c>
      <c r="D1258" s="2" t="str">
        <f t="shared" si="18"/>
        <v>Error?</v>
      </c>
    </row>
    <row r="1259" spans="1:4" x14ac:dyDescent="0.2">
      <c r="A1259" s="5">
        <v>1198</v>
      </c>
      <c r="B1259" s="138">
        <f>'Expenditures 15-22'!G151</f>
        <v>197867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396265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396265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396265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396265</v>
      </c>
      <c r="C1288" s="2" t="s">
        <v>594</v>
      </c>
      <c r="D1288" s="2" t="str">
        <f t="shared" si="19"/>
        <v>Error?</v>
      </c>
    </row>
    <row r="1289" spans="1:4" x14ac:dyDescent="0.2">
      <c r="A1289" s="5">
        <v>1228</v>
      </c>
      <c r="B1289" s="138">
        <f>'Expenditures 15-22'!K152</f>
        <v>-259430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106314</v>
      </c>
      <c r="C1317" s="2" t="s">
        <v>594</v>
      </c>
      <c r="D1317" s="2" t="str">
        <f t="shared" si="19"/>
        <v>Error?</v>
      </c>
    </row>
    <row r="1318" spans="1:4" x14ac:dyDescent="0.2">
      <c r="A1318" s="5">
        <v>1257</v>
      </c>
      <c r="B1318" s="138">
        <f>'Expenditures 15-22'!H174</f>
        <v>106314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1314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106314</v>
      </c>
      <c r="C1331" s="2" t="s">
        <v>594</v>
      </c>
      <c r="D1331" s="2" t="str">
        <f t="shared" si="19"/>
        <v>Error?</v>
      </c>
    </row>
    <row r="1332" spans="1:4" x14ac:dyDescent="0.2">
      <c r="A1332" s="5">
        <v>1271</v>
      </c>
      <c r="B1332" s="138">
        <f>'Expenditures 15-22'!K174</f>
        <v>106314</v>
      </c>
      <c r="C1332" s="2" t="s">
        <v>594</v>
      </c>
      <c r="D1332" s="2" t="str">
        <f t="shared" si="19"/>
        <v>Error?</v>
      </c>
    </row>
    <row r="1333" spans="1:4" x14ac:dyDescent="0.2">
      <c r="A1333" s="5">
        <v>1272</v>
      </c>
      <c r="B1333" s="138">
        <f>'Expenditures 15-22'!K175</f>
        <v>-353</v>
      </c>
      <c r="C1333" s="2" t="s">
        <v>594</v>
      </c>
      <c r="D1333" s="2" t="str">
        <f t="shared" si="19"/>
        <v>Error?</v>
      </c>
    </row>
    <row r="1334" spans="1:4" x14ac:dyDescent="0.2">
      <c r="A1334" s="10">
        <v>1273</v>
      </c>
      <c r="D1334" s="2" t="str">
        <f t="shared" si="19"/>
        <v>OK</v>
      </c>
    </row>
    <row r="1335" spans="1:4" x14ac:dyDescent="0.2">
      <c r="A1335" s="5">
        <v>1274</v>
      </c>
      <c r="B1335" s="138">
        <f>'Expenditures 15-22'!C182</f>
        <v>1920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1920</v>
      </c>
      <c r="C1339" s="2" t="s">
        <v>594</v>
      </c>
      <c r="D1339" s="2" t="str">
        <f t="shared" si="19"/>
        <v>Error?</v>
      </c>
    </row>
    <row r="1340" spans="1:4" x14ac:dyDescent="0.2">
      <c r="A1340" s="5">
        <v>1279</v>
      </c>
      <c r="B1340" s="138">
        <f>'Expenditures 15-22'!C210</f>
        <v>1920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148529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148529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148529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150449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150449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150449</v>
      </c>
      <c r="C1388" s="2" t="s">
        <v>594</v>
      </c>
      <c r="D1388" s="2" t="str">
        <f t="shared" si="20"/>
        <v>Error?</v>
      </c>
    </row>
    <row r="1389" spans="1:4" x14ac:dyDescent="0.2">
      <c r="A1389" s="5">
        <v>1328</v>
      </c>
      <c r="B1389" s="138">
        <f>'Expenditures 15-22'!K211</f>
        <v>-11013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14539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610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970</v>
      </c>
      <c r="D1423" s="2" t="str">
        <f t="shared" si="21"/>
        <v>Error?</v>
      </c>
    </row>
    <row r="1424" spans="1:4" x14ac:dyDescent="0.2">
      <c r="A1424" s="5">
        <v>1363</v>
      </c>
      <c r="B1424" s="138">
        <f>'Expenditures 15-22'!D257</f>
        <v>970</v>
      </c>
      <c r="C1424" s="2" t="s">
        <v>594</v>
      </c>
      <c r="D1424" s="2" t="str">
        <f t="shared" si="21"/>
        <v>Error?</v>
      </c>
    </row>
    <row r="1425" spans="1:4" x14ac:dyDescent="0.2">
      <c r="A1425" s="5">
        <v>1364</v>
      </c>
      <c r="B1425" s="138">
        <f>'Expenditures 15-22'!D259</f>
        <v>961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13290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5450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18893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21434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35973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14539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610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610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970</v>
      </c>
      <c r="C1487" s="2" t="s">
        <v>594</v>
      </c>
      <c r="D1487" s="2" t="str">
        <f t="shared" si="22"/>
        <v>Error?</v>
      </c>
    </row>
    <row r="1488" spans="1:4" x14ac:dyDescent="0.2">
      <c r="A1488" s="5">
        <v>1427</v>
      </c>
      <c r="B1488" s="138">
        <f>'Expenditures 15-22'!K257</f>
        <v>970</v>
      </c>
      <c r="C1488" s="2" t="s">
        <v>594</v>
      </c>
      <c r="D1488" s="2" t="str">
        <f t="shared" si="22"/>
        <v>Error?</v>
      </c>
    </row>
    <row r="1489" spans="1:4" x14ac:dyDescent="0.2">
      <c r="A1489" s="5">
        <v>1428</v>
      </c>
      <c r="B1489" s="138">
        <f>'Expenditures 15-22'!K259</f>
        <v>961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961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13290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5450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18893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21434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35973</v>
      </c>
      <c r="C1517" s="2" t="s">
        <v>594</v>
      </c>
      <c r="D1517" s="2" t="str">
        <f t="shared" si="22"/>
        <v>Error?</v>
      </c>
    </row>
    <row r="1518" spans="1:4" x14ac:dyDescent="0.2">
      <c r="A1518" s="5">
        <v>1457</v>
      </c>
      <c r="B1518" s="138">
        <f>'Expenditures 15-22'!K296</f>
        <v>-2861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435256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552563</v>
      </c>
      <c r="C1630" s="2" t="s">
        <v>594</v>
      </c>
      <c r="D1630" s="2" t="str">
        <f t="shared" si="24"/>
        <v>Error?</v>
      </c>
    </row>
    <row r="1631" spans="1:4" x14ac:dyDescent="0.2">
      <c r="A1631" s="5">
        <v>1570</v>
      </c>
      <c r="B1631" s="138">
        <f>'Acct Summary 7-8'!D79</f>
        <v>277270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67840</v>
      </c>
      <c r="C1644" s="2" t="s">
        <v>594</v>
      </c>
      <c r="D1644" s="2" t="str">
        <f t="shared" si="24"/>
        <v>Error?</v>
      </c>
    </row>
    <row r="1645" spans="1:4" x14ac:dyDescent="0.2">
      <c r="A1645" s="5">
        <v>1584</v>
      </c>
      <c r="B1645" s="138">
        <f>'Acct Summary 7-8'!E79</f>
        <v>70158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69805</v>
      </c>
      <c r="C1658" s="2" t="s">
        <v>594</v>
      </c>
      <c r="D1658" s="2" t="str">
        <f t="shared" si="24"/>
        <v>Error?</v>
      </c>
    </row>
    <row r="1659" spans="1:4" x14ac:dyDescent="0.2">
      <c r="A1659" s="5">
        <v>1598</v>
      </c>
      <c r="B1659" s="138">
        <f>'Acct Summary 7-8'!F79</f>
        <v>13117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52104</v>
      </c>
      <c r="C1672" s="2" t="s">
        <v>594</v>
      </c>
      <c r="D1672" s="2" t="str">
        <f t="shared" si="25"/>
        <v>Error?</v>
      </c>
    </row>
    <row r="1673" spans="1:4" x14ac:dyDescent="0.2">
      <c r="A1673" s="5">
        <v>1612</v>
      </c>
      <c r="B1673" s="138">
        <f>'Acct Summary 7-8'!G79</f>
        <v>20492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17631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772924</v>
      </c>
      <c r="C1744" s="2" t="s">
        <v>594</v>
      </c>
      <c r="D1744" s="2" t="str">
        <f t="shared" si="26"/>
        <v>Error?</v>
      </c>
    </row>
    <row r="1745" spans="1:5" x14ac:dyDescent="0.2">
      <c r="A1745" s="5">
        <v>1684</v>
      </c>
      <c r="B1745" s="138">
        <f>'Tax Sched 23'!B5</f>
        <v>136364</v>
      </c>
      <c r="C1745" s="2" t="s">
        <v>594</v>
      </c>
      <c r="D1745" s="2" t="str">
        <f t="shared" si="26"/>
        <v>Error?</v>
      </c>
    </row>
    <row r="1746" spans="1:5" x14ac:dyDescent="0.2">
      <c r="A1746" s="5">
        <v>1685</v>
      </c>
      <c r="B1746" s="138">
        <f>'Tax Sched 23'!B6</f>
        <v>105709</v>
      </c>
      <c r="C1746" s="2" t="s">
        <v>594</v>
      </c>
      <c r="D1746" s="2" t="str">
        <f t="shared" si="26"/>
        <v>Error?</v>
      </c>
    </row>
    <row r="1747" spans="1:5" x14ac:dyDescent="0.2">
      <c r="A1747" s="5">
        <v>1686</v>
      </c>
      <c r="B1747" s="138">
        <f>'Tax Sched 23'!B7</f>
        <v>65317</v>
      </c>
      <c r="C1747" s="2" t="s">
        <v>594</v>
      </c>
      <c r="D1747" s="2" t="str">
        <f t="shared" si="26"/>
        <v>Error?</v>
      </c>
    </row>
    <row r="1748" spans="1:5" x14ac:dyDescent="0.2">
      <c r="A1748" s="5">
        <v>1687</v>
      </c>
      <c r="B1748" s="138">
        <f>'Tax Sched 23'!B8</f>
        <v>18484</v>
      </c>
      <c r="C1748" s="2" t="s">
        <v>594</v>
      </c>
      <c r="D1748" s="2" t="str">
        <f t="shared" si="26"/>
        <v>Error?</v>
      </c>
    </row>
    <row r="1749" spans="1:5" x14ac:dyDescent="0.2">
      <c r="A1749" s="5">
        <v>1688</v>
      </c>
      <c r="B1749" s="138">
        <f>'Tax Sched 23'!B10</f>
        <v>27216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37581</v>
      </c>
      <c r="C1752" s="2" t="s">
        <v>594</v>
      </c>
      <c r="D1752" s="2" t="str">
        <f t="shared" si="26"/>
        <v>Error?</v>
      </c>
    </row>
    <row r="1753" spans="1:5" x14ac:dyDescent="0.2">
      <c r="A1753" s="5">
        <v>1692</v>
      </c>
      <c r="B1753" s="138">
        <f>'Tax Sched 23'!B12</f>
        <v>27215</v>
      </c>
      <c r="C1753" s="2" t="s">
        <v>594</v>
      </c>
      <c r="D1753" s="2" t="str">
        <f t="shared" si="26"/>
        <v>Error?</v>
      </c>
    </row>
    <row r="1754" spans="1:5" x14ac:dyDescent="0.2">
      <c r="A1754" s="5">
        <v>1693</v>
      </c>
      <c r="B1754" s="138">
        <f>'Tax Sched 23'!B14</f>
        <v>25431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1242900</v>
      </c>
      <c r="C1759" s="2" t="s">
        <v>594</v>
      </c>
      <c r="D1759" s="2" t="str">
        <f t="shared" si="26"/>
        <v>Error?</v>
      </c>
    </row>
    <row r="1760" spans="1:5" x14ac:dyDescent="0.2">
      <c r="A1760" s="5">
        <v>1699</v>
      </c>
      <c r="B1760" s="138">
        <f>'Tax Sched 23'!D4</f>
        <v>772924</v>
      </c>
      <c r="C1760" s="2" t="s">
        <v>594</v>
      </c>
      <c r="D1760" s="2" t="str">
        <f t="shared" si="26"/>
        <v>Error?</v>
      </c>
    </row>
    <row r="1761" spans="1:5" x14ac:dyDescent="0.2">
      <c r="A1761" s="5">
        <v>1700</v>
      </c>
      <c r="B1761" s="138">
        <f>'Tax Sched 23'!D5</f>
        <v>136364</v>
      </c>
      <c r="C1761" s="2" t="s">
        <v>594</v>
      </c>
      <c r="D1761" s="2" t="str">
        <f t="shared" si="26"/>
        <v>Error?</v>
      </c>
    </row>
    <row r="1762" spans="1:5" s="8" customFormat="1" x14ac:dyDescent="0.2">
      <c r="A1762" s="5">
        <v>1701</v>
      </c>
      <c r="B1762" s="138">
        <f>'Tax Sched 23'!D6</f>
        <v>105709</v>
      </c>
      <c r="C1762" s="2" t="s">
        <v>594</v>
      </c>
      <c r="D1762" s="2" t="str">
        <f t="shared" si="26"/>
        <v>Error?</v>
      </c>
      <c r="E1762" s="9"/>
    </row>
    <row r="1763" spans="1:5" x14ac:dyDescent="0.2">
      <c r="A1763" s="5">
        <v>1702</v>
      </c>
      <c r="B1763" s="138">
        <f>'Tax Sched 23'!D7</f>
        <v>65317</v>
      </c>
      <c r="C1763" s="2" t="s">
        <v>594</v>
      </c>
      <c r="D1763" s="2" t="str">
        <f t="shared" si="26"/>
        <v>Error?</v>
      </c>
    </row>
    <row r="1764" spans="1:5" x14ac:dyDescent="0.2">
      <c r="A1764" s="5">
        <v>1703</v>
      </c>
      <c r="B1764" s="138">
        <f>'Tax Sched 23'!D8</f>
        <v>18484</v>
      </c>
      <c r="C1764" s="2" t="s">
        <v>594</v>
      </c>
      <c r="D1764" s="2" t="str">
        <f t="shared" si="26"/>
        <v>Error?</v>
      </c>
    </row>
    <row r="1765" spans="1:5" x14ac:dyDescent="0.2">
      <c r="A1765" s="5">
        <v>1704</v>
      </c>
      <c r="B1765" s="138">
        <f>'Tax Sched 23'!D10</f>
        <v>27216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37581</v>
      </c>
      <c r="C1768" s="2" t="s">
        <v>594</v>
      </c>
      <c r="D1768" s="2" t="str">
        <f t="shared" si="26"/>
        <v>Error?</v>
      </c>
    </row>
    <row r="1769" spans="1:5" x14ac:dyDescent="0.2">
      <c r="A1769" s="5">
        <v>1708</v>
      </c>
      <c r="B1769" s="138">
        <f>'Tax Sched 23'!D12</f>
        <v>27215</v>
      </c>
      <c r="C1769" s="2" t="s">
        <v>594</v>
      </c>
      <c r="D1769" s="2" t="str">
        <f t="shared" si="26"/>
        <v>Error?</v>
      </c>
    </row>
    <row r="1770" spans="1:5" x14ac:dyDescent="0.2">
      <c r="A1770" s="5">
        <v>1709</v>
      </c>
      <c r="B1770" s="138">
        <f>'Tax Sched 23'!D14</f>
        <v>25431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1242900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771602</v>
      </c>
      <c r="C1792" s="2" t="s">
        <v>594</v>
      </c>
      <c r="D1792" s="2" t="str">
        <f t="shared" si="27"/>
        <v>Error?</v>
      </c>
    </row>
    <row r="1793" spans="1:4" x14ac:dyDescent="0.2">
      <c r="A1793" s="5">
        <v>1732</v>
      </c>
      <c r="B1793" s="138">
        <f>'Tax Sched 23'!F5</f>
        <v>135903</v>
      </c>
      <c r="C1793" s="2" t="s">
        <v>594</v>
      </c>
      <c r="D1793" s="2" t="str">
        <f t="shared" si="27"/>
        <v>Error?</v>
      </c>
    </row>
    <row r="1794" spans="1:4" x14ac:dyDescent="0.2">
      <c r="A1794" s="5">
        <v>1733</v>
      </c>
      <c r="B1794" s="138">
        <f>'Tax Sched 23'!F6</f>
        <v>104711</v>
      </c>
      <c r="C1794" s="2" t="s">
        <v>594</v>
      </c>
      <c r="D1794" s="2" t="str">
        <f t="shared" si="27"/>
        <v>Error?</v>
      </c>
    </row>
    <row r="1795" spans="1:4" x14ac:dyDescent="0.2">
      <c r="A1795" s="5">
        <v>1734</v>
      </c>
      <c r="B1795" s="138">
        <f>'Tax Sched 23'!F7</f>
        <v>65205</v>
      </c>
      <c r="C1795" s="2" t="s">
        <v>594</v>
      </c>
      <c r="D1795" s="2" t="str">
        <f t="shared" si="27"/>
        <v>Error?</v>
      </c>
    </row>
    <row r="1796" spans="1:4" x14ac:dyDescent="0.2">
      <c r="A1796" s="5">
        <v>1735</v>
      </c>
      <c r="B1796" s="138">
        <f>'Tax Sched 23'!F8</f>
        <v>20703</v>
      </c>
      <c r="C1796" s="2" t="s">
        <v>594</v>
      </c>
      <c r="D1796" s="2" t="str">
        <f t="shared" si="27"/>
        <v>Error?</v>
      </c>
    </row>
    <row r="1797" spans="1:4" x14ac:dyDescent="0.2">
      <c r="A1797" s="5">
        <v>1736</v>
      </c>
      <c r="B1797" s="138">
        <f>'Tax Sched 23'!F10</f>
        <v>27205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43505</v>
      </c>
      <c r="C1800" s="2" t="s">
        <v>594</v>
      </c>
      <c r="D1800" s="2" t="str">
        <f t="shared" si="27"/>
        <v>Error?</v>
      </c>
    </row>
    <row r="1801" spans="1:4" x14ac:dyDescent="0.2">
      <c r="A1801" s="5">
        <v>1740</v>
      </c>
      <c r="B1801" s="138">
        <f>'Tax Sched 23'!F12</f>
        <v>27205</v>
      </c>
      <c r="C1801" s="2" t="s">
        <v>594</v>
      </c>
      <c r="D1801" s="2" t="str">
        <f t="shared" si="27"/>
        <v>Error?</v>
      </c>
    </row>
    <row r="1802" spans="1:4" x14ac:dyDescent="0.2">
      <c r="A1802" s="5">
        <v>1741</v>
      </c>
      <c r="B1802" s="138">
        <f>'Tax Sched 23'!F14</f>
        <v>10905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1254855</v>
      </c>
      <c r="C1807" s="2" t="s">
        <v>594</v>
      </c>
      <c r="D1807" s="2" t="str">
        <f t="shared" si="27"/>
        <v>Error?</v>
      </c>
    </row>
    <row r="1808" spans="1:4" x14ac:dyDescent="0.2">
      <c r="A1808" s="5">
        <v>1747</v>
      </c>
      <c r="B1808" s="138">
        <f>'Tax Sched 23'!E4</f>
        <v>771602</v>
      </c>
      <c r="D1808" s="2" t="str">
        <f t="shared" si="27"/>
        <v>Error?</v>
      </c>
    </row>
    <row r="1809" spans="1:4" x14ac:dyDescent="0.2">
      <c r="A1809" s="5">
        <v>1748</v>
      </c>
      <c r="B1809" s="138">
        <f>'Tax Sched 23'!E5</f>
        <v>135903</v>
      </c>
      <c r="D1809" s="2" t="str">
        <f t="shared" si="27"/>
        <v>Error?</v>
      </c>
    </row>
    <row r="1810" spans="1:4" x14ac:dyDescent="0.2">
      <c r="A1810" s="5">
        <v>1749</v>
      </c>
      <c r="B1810" s="138">
        <f>'Tax Sched 23'!E6</f>
        <v>104711</v>
      </c>
      <c r="D1810" s="2" t="str">
        <f t="shared" si="27"/>
        <v>Error?</v>
      </c>
    </row>
    <row r="1811" spans="1:4" x14ac:dyDescent="0.2">
      <c r="A1811" s="5">
        <v>1750</v>
      </c>
      <c r="B1811" s="138">
        <f>'Tax Sched 23'!E7</f>
        <v>65205</v>
      </c>
      <c r="D1811" s="2" t="str">
        <f t="shared" si="27"/>
        <v>Error?</v>
      </c>
    </row>
    <row r="1812" spans="1:4" x14ac:dyDescent="0.2">
      <c r="A1812" s="5">
        <v>1751</v>
      </c>
      <c r="B1812" s="138">
        <f>'Tax Sched 23'!E8</f>
        <v>20703</v>
      </c>
      <c r="D1812" s="2" t="str">
        <f t="shared" si="27"/>
        <v>Error?</v>
      </c>
    </row>
    <row r="1813" spans="1:4" x14ac:dyDescent="0.2">
      <c r="A1813" s="5">
        <v>1752</v>
      </c>
      <c r="B1813" s="138">
        <f>'Tax Sched 23'!E10</f>
        <v>27205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43505</v>
      </c>
      <c r="D1816" s="2" t="str">
        <f t="shared" si="27"/>
        <v>Error?</v>
      </c>
    </row>
    <row r="1817" spans="1:4" x14ac:dyDescent="0.2">
      <c r="A1817" s="5">
        <v>1756</v>
      </c>
      <c r="B1817" s="138">
        <f>'Tax Sched 23'!E12</f>
        <v>27205</v>
      </c>
      <c r="D1817" s="2" t="str">
        <f t="shared" si="27"/>
        <v>Error?</v>
      </c>
    </row>
    <row r="1818" spans="1:4" x14ac:dyDescent="0.2">
      <c r="A1818" s="5">
        <v>1757</v>
      </c>
      <c r="B1818" s="138">
        <f>'Tax Sched 23'!E14</f>
        <v>10905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1254855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105000</v>
      </c>
      <c r="C1939" s="2" t="s">
        <v>594</v>
      </c>
      <c r="D1939" s="2" t="str">
        <f t="shared" si="29"/>
        <v>Error?</v>
      </c>
    </row>
    <row r="1940" spans="1:5" x14ac:dyDescent="0.2">
      <c r="A1940" s="5">
        <v>1879</v>
      </c>
      <c r="B1940" s="138">
        <f>'Short-Term Long-Term Debt 24'!F49</f>
        <v>300000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10886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10886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10886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201200</v>
      </c>
      <c r="D2008" s="2" t="str">
        <f t="shared" si="30"/>
        <v>Error?</v>
      </c>
    </row>
    <row r="2009" spans="1:4" x14ac:dyDescent="0.2">
      <c r="A2009" s="5">
        <v>1948</v>
      </c>
      <c r="B2009" s="138">
        <f>'Cap Outlay Deprec 26'!C8</f>
        <v>881270</v>
      </c>
      <c r="D2009" s="2" t="str">
        <f t="shared" si="30"/>
        <v>Error?</v>
      </c>
    </row>
    <row r="2010" spans="1:4" x14ac:dyDescent="0.2">
      <c r="A2010" s="5">
        <v>1949</v>
      </c>
      <c r="B2010" s="138">
        <f>'Cap Outlay Deprec 26'!C10</f>
        <v>343951</v>
      </c>
      <c r="D2010" s="2" t="str">
        <f t="shared" si="30"/>
        <v>Error?</v>
      </c>
    </row>
    <row r="2011" spans="1:4" x14ac:dyDescent="0.2">
      <c r="A2011" s="5">
        <v>1950</v>
      </c>
      <c r="B2011" s="138">
        <f>'Cap Outlay Deprec 26'!C12</f>
        <v>326363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1865752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273994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273994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58943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171911</v>
      </c>
      <c r="C2025" s="2" t="s">
        <v>594</v>
      </c>
      <c r="D2025" s="2" t="str">
        <f t="shared" si="30"/>
        <v>Error?</v>
      </c>
    </row>
    <row r="2026" spans="1:4" x14ac:dyDescent="0.2">
      <c r="A2026" s="5">
        <v>1965</v>
      </c>
      <c r="B2026" s="138">
        <f>'Cap Outlay Deprec 26'!F5</f>
        <v>201200</v>
      </c>
      <c r="C2026" s="2" t="s">
        <v>594</v>
      </c>
      <c r="D2026" s="2" t="str">
        <f t="shared" si="30"/>
        <v>Error?</v>
      </c>
    </row>
    <row r="2027" spans="1:4" x14ac:dyDescent="0.2">
      <c r="A2027" s="5">
        <v>1966</v>
      </c>
      <c r="B2027" s="138">
        <f>'Cap Outlay Deprec 26'!F8</f>
        <v>1155264</v>
      </c>
      <c r="C2027" s="2" t="s">
        <v>594</v>
      </c>
      <c r="D2027" s="2" t="str">
        <f t="shared" si="30"/>
        <v>Error?</v>
      </c>
    </row>
    <row r="2028" spans="1:4" x14ac:dyDescent="0.2">
      <c r="A2028" s="5">
        <v>1967</v>
      </c>
      <c r="B2028" s="138">
        <f>'Cap Outlay Deprec 26'!F10</f>
        <v>343951</v>
      </c>
      <c r="C2028" s="2" t="s">
        <v>594</v>
      </c>
      <c r="D2028" s="2" t="str">
        <f t="shared" si="30"/>
        <v>Error?</v>
      </c>
    </row>
    <row r="2029" spans="1:4" x14ac:dyDescent="0.2">
      <c r="A2029" s="5">
        <v>1968</v>
      </c>
      <c r="B2029" s="138">
        <f>'Cap Outlay Deprec 26'!F12</f>
        <v>267420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1967835</v>
      </c>
      <c r="C2031" s="2" t="s">
        <v>594</v>
      </c>
      <c r="D2031" s="2" t="str">
        <f t="shared" si="30"/>
        <v>Error?</v>
      </c>
    </row>
    <row r="2032" spans="1:4" x14ac:dyDescent="0.2">
      <c r="A2032" s="10">
        <v>1971</v>
      </c>
      <c r="D2032" s="2" t="str">
        <f t="shared" si="30"/>
        <v>OK</v>
      </c>
    </row>
    <row r="2033" spans="1:4" x14ac:dyDescent="0.2">
      <c r="A2033" s="5">
        <v>1972</v>
      </c>
      <c r="B2033" s="138">
        <f>'Cap Outlay Deprec 26'!H8</f>
        <v>433631</v>
      </c>
      <c r="D2033" s="2" t="str">
        <f t="shared" si="30"/>
        <v>Error?</v>
      </c>
    </row>
    <row r="2034" spans="1:4" x14ac:dyDescent="0.2">
      <c r="A2034" s="5">
        <v>1973</v>
      </c>
      <c r="B2034" s="138">
        <f>'Cap Outlay Deprec 26'!H10</f>
        <v>268142</v>
      </c>
      <c r="D2034" s="2" t="str">
        <f t="shared" si="30"/>
        <v>Error?</v>
      </c>
    </row>
    <row r="2035" spans="1:4" x14ac:dyDescent="0.2">
      <c r="A2035" s="5">
        <v>1974</v>
      </c>
      <c r="B2035" s="138">
        <f>'Cap Outlay Deprec 26'!H12</f>
        <v>191065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892838</v>
      </c>
      <c r="C2037" s="2" t="s">
        <v>594</v>
      </c>
      <c r="D2037" s="2" t="str">
        <f t="shared" si="30"/>
        <v>Error?</v>
      </c>
    </row>
    <row r="2038" spans="1:4" x14ac:dyDescent="0.2">
      <c r="A2038" s="10">
        <v>1977</v>
      </c>
      <c r="D2038" s="2" t="str">
        <f t="shared" si="30"/>
        <v>OK</v>
      </c>
    </row>
    <row r="2039" spans="1:4" x14ac:dyDescent="0.2">
      <c r="A2039" s="5">
        <v>1978</v>
      </c>
      <c r="B2039" s="138">
        <f>'Cap Outlay Deprec 26'!I8</f>
        <v>35215</v>
      </c>
      <c r="D2039" s="2" t="str">
        <f t="shared" si="30"/>
        <v>Error?</v>
      </c>
    </row>
    <row r="2040" spans="1:4" x14ac:dyDescent="0.2">
      <c r="A2040" s="5">
        <v>1979</v>
      </c>
      <c r="B2040" s="138">
        <f>'Cap Outlay Deprec 26'!I10</f>
        <v>14802</v>
      </c>
      <c r="D2040" s="2" t="str">
        <f t="shared" si="30"/>
        <v>Error?</v>
      </c>
    </row>
    <row r="2041" spans="1:4" x14ac:dyDescent="0.2">
      <c r="A2041" s="5">
        <v>1980</v>
      </c>
      <c r="B2041" s="138">
        <f>'Cap Outlay Deprec 26'!I12</f>
        <v>29078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79095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58943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58943</v>
      </c>
      <c r="C2049" s="2" t="s">
        <v>594</v>
      </c>
      <c r="D2049" s="2" t="str">
        <f t="shared" si="31"/>
        <v>Error?</v>
      </c>
    </row>
    <row r="2050" spans="1:4" x14ac:dyDescent="0.2">
      <c r="A2050" s="10">
        <v>1989</v>
      </c>
      <c r="D2050" s="2" t="str">
        <f t="shared" si="31"/>
        <v>OK</v>
      </c>
    </row>
    <row r="2051" spans="1:4" x14ac:dyDescent="0.2">
      <c r="A2051" s="5">
        <v>1990</v>
      </c>
      <c r="B2051" s="138">
        <f>'Cap Outlay Deprec 26'!K8</f>
        <v>468846</v>
      </c>
      <c r="C2051" s="2" t="s">
        <v>594</v>
      </c>
      <c r="D2051" s="2" t="str">
        <f t="shared" si="31"/>
        <v>Error?</v>
      </c>
    </row>
    <row r="2052" spans="1:4" x14ac:dyDescent="0.2">
      <c r="A2052" s="5">
        <v>1991</v>
      </c>
      <c r="B2052" s="138">
        <f>'Cap Outlay Deprec 26'!K10</f>
        <v>282944</v>
      </c>
      <c r="C2052" s="2" t="s">
        <v>594</v>
      </c>
      <c r="D2052" s="2" t="str">
        <f t="shared" si="31"/>
        <v>Error?</v>
      </c>
    </row>
    <row r="2053" spans="1:4" x14ac:dyDescent="0.2">
      <c r="A2053" s="5">
        <v>1992</v>
      </c>
      <c r="B2053" s="138">
        <f>'Cap Outlay Deprec 26'!K12</f>
        <v>161200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912990</v>
      </c>
      <c r="C2055" s="2" t="s">
        <v>594</v>
      </c>
      <c r="D2055" s="2" t="str">
        <f t="shared" si="31"/>
        <v>Error?</v>
      </c>
    </row>
    <row r="2056" spans="1:4" x14ac:dyDescent="0.2">
      <c r="A2056" s="5">
        <v>1995</v>
      </c>
      <c r="B2056" s="138">
        <f>'Cap Outlay Deprec 26'!L5</f>
        <v>201200</v>
      </c>
      <c r="C2056" s="2" t="s">
        <v>594</v>
      </c>
      <c r="D2056" s="2" t="str">
        <f t="shared" si="31"/>
        <v>Error?</v>
      </c>
    </row>
    <row r="2057" spans="1:4" x14ac:dyDescent="0.2">
      <c r="A2057" s="5">
        <v>1996</v>
      </c>
      <c r="B2057" s="138">
        <f>'Cap Outlay Deprec 26'!L8</f>
        <v>686418</v>
      </c>
      <c r="C2057" s="2" t="s">
        <v>594</v>
      </c>
      <c r="D2057" s="2" t="str">
        <f t="shared" si="31"/>
        <v>Error?</v>
      </c>
    </row>
    <row r="2058" spans="1:4" x14ac:dyDescent="0.2">
      <c r="A2058" s="5">
        <v>1997</v>
      </c>
      <c r="B2058" s="138">
        <f>'Cap Outlay Deprec 26'!L10</f>
        <v>61007</v>
      </c>
      <c r="C2058" s="2" t="s">
        <v>594</v>
      </c>
      <c r="D2058" s="2" t="str">
        <f t="shared" si="31"/>
        <v>Error?</v>
      </c>
    </row>
    <row r="2059" spans="1:4" x14ac:dyDescent="0.2">
      <c r="A2059" s="5">
        <v>1998</v>
      </c>
      <c r="B2059" s="138">
        <f>'Cap Outlay Deprec 26'!L12</f>
        <v>106220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1054845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13864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24572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279765</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197932</v>
      </c>
      <c r="D2435" s="2" t="str">
        <f t="shared" si="37"/>
        <v>Error?</v>
      </c>
    </row>
    <row r="2436" spans="1:4" x14ac:dyDescent="0.2">
      <c r="A2436" s="10">
        <v>2375</v>
      </c>
      <c r="D2436" s="2" t="str">
        <f t="shared" si="37"/>
        <v>OK</v>
      </c>
    </row>
    <row r="2437" spans="1:4" x14ac:dyDescent="0.2">
      <c r="A2437" s="5">
        <v>2376</v>
      </c>
      <c r="B2437" s="138">
        <f>'Assets-Liab 5-6'!D38</f>
        <v>691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17631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1013719</v>
      </c>
      <c r="C2551" s="2" t="s">
        <v>594</v>
      </c>
      <c r="D2551" s="2" t="str">
        <f t="shared" si="38"/>
        <v>Error?</v>
      </c>
    </row>
    <row r="2552" spans="1:4" x14ac:dyDescent="0.2">
      <c r="A2552" s="10">
        <v>2491</v>
      </c>
      <c r="D2552" s="2" t="str">
        <f t="shared" si="38"/>
        <v>OK</v>
      </c>
    </row>
    <row r="2553" spans="1:4" x14ac:dyDescent="0.2">
      <c r="A2553" s="5">
        <v>2492</v>
      </c>
      <c r="B2553" s="138">
        <f>'Acct Summary 7-8'!C6</f>
        <v>96070</v>
      </c>
      <c r="C2553" s="2" t="s">
        <v>594</v>
      </c>
      <c r="D2553" s="2" t="str">
        <f t="shared" si="38"/>
        <v>Error?</v>
      </c>
    </row>
    <row r="2554" spans="1:4" x14ac:dyDescent="0.2">
      <c r="A2554" s="5">
        <v>2493</v>
      </c>
      <c r="B2554" s="138">
        <f>'Acct Summary 7-8'!C7</f>
        <v>95778</v>
      </c>
      <c r="C2554" s="2" t="s">
        <v>594</v>
      </c>
      <c r="D2554" s="2" t="str">
        <f t="shared" si="38"/>
        <v>Error?</v>
      </c>
    </row>
    <row r="2555" spans="1:4" x14ac:dyDescent="0.2">
      <c r="A2555" s="5">
        <v>2494</v>
      </c>
      <c r="B2555" s="138">
        <f>'Acct Summary 7-8'!C8</f>
        <v>1205567</v>
      </c>
      <c r="C2555" s="2" t="s">
        <v>594</v>
      </c>
      <c r="D2555" s="2" t="str">
        <f t="shared" si="38"/>
        <v>Error?</v>
      </c>
    </row>
    <row r="2556" spans="1:4" x14ac:dyDescent="0.2">
      <c r="A2556" s="5">
        <v>2495</v>
      </c>
      <c r="B2556" s="138">
        <f>'Acct Summary 7-8'!C12</f>
        <v>916186</v>
      </c>
      <c r="C2556" s="2" t="s">
        <v>594</v>
      </c>
      <c r="D2556" s="2" t="str">
        <f t="shared" si="38"/>
        <v>Error?</v>
      </c>
    </row>
    <row r="2557" spans="1:4" x14ac:dyDescent="0.2">
      <c r="A2557" s="5">
        <v>2496</v>
      </c>
      <c r="B2557" s="138">
        <f>'Acct Summary 7-8'!C13</f>
        <v>327267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24572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1268025</v>
      </c>
      <c r="C2561" s="2" t="s">
        <v>594</v>
      </c>
      <c r="D2561" s="2" t="str">
        <f t="shared" si="39"/>
        <v>Error?</v>
      </c>
    </row>
    <row r="2562" spans="1:4" x14ac:dyDescent="0.2">
      <c r="A2562" s="5">
        <v>2501</v>
      </c>
      <c r="B2562" s="138">
        <f>'Acct Summary 7-8'!C20</f>
        <v>-62458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136835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136835</v>
      </c>
      <c r="C2568" s="2" t="s">
        <v>594</v>
      </c>
      <c r="D2568" s="2" t="str">
        <f t="shared" si="39"/>
        <v>Error?</v>
      </c>
    </row>
    <row r="2569" spans="1:4" x14ac:dyDescent="0.2">
      <c r="A2569" s="5">
        <v>2508</v>
      </c>
      <c r="B2569" s="138">
        <f>'Acct Summary 7-8'!D13</f>
        <v>396265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396265</v>
      </c>
      <c r="C2573" s="2" t="s">
        <v>594</v>
      </c>
      <c r="D2573" s="2" t="str">
        <f t="shared" si="39"/>
        <v>Error?</v>
      </c>
    </row>
    <row r="2574" spans="1:4" x14ac:dyDescent="0.2">
      <c r="A2574" s="5">
        <v>2513</v>
      </c>
      <c r="B2574" s="138">
        <f>'Acct Summary 7-8'!D20</f>
        <v>-259430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65407</v>
      </c>
      <c r="C2591" s="2" t="s">
        <v>594</v>
      </c>
      <c r="D2591" s="2" t="str">
        <f t="shared" si="39"/>
        <v>Error?</v>
      </c>
    </row>
    <row r="2592" spans="1:4" x14ac:dyDescent="0.2">
      <c r="A2592" s="10">
        <v>2531</v>
      </c>
      <c r="D2592" s="2" t="str">
        <f t="shared" si="39"/>
        <v>OK</v>
      </c>
    </row>
    <row r="2593" spans="1:4" x14ac:dyDescent="0.2">
      <c r="A2593" s="5">
        <v>2532</v>
      </c>
      <c r="B2593" s="138">
        <f>'Acct Summary 7-8'!F6</f>
        <v>74029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139436</v>
      </c>
      <c r="C2595" s="2" t="s">
        <v>594</v>
      </c>
      <c r="D2595" s="2" t="str">
        <f t="shared" si="39"/>
        <v>Error?</v>
      </c>
    </row>
    <row r="2596" spans="1:4" x14ac:dyDescent="0.2">
      <c r="A2596" s="5">
        <v>2535</v>
      </c>
      <c r="B2596" s="138">
        <f>'Acct Summary 7-8'!F13</f>
        <v>150449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150449</v>
      </c>
      <c r="C2600" s="2" t="s">
        <v>594</v>
      </c>
      <c r="D2600" s="2" t="str">
        <f t="shared" si="39"/>
        <v>Error?</v>
      </c>
    </row>
    <row r="2601" spans="1:4" x14ac:dyDescent="0.2">
      <c r="A2601" s="5">
        <v>2540</v>
      </c>
      <c r="B2601" s="138">
        <f>'Acct Summary 7-8'!F20</f>
        <v>-11013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33112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33112</v>
      </c>
      <c r="C2606" s="2" t="s">
        <v>594</v>
      </c>
      <c r="D2606" s="2" t="str">
        <f t="shared" si="39"/>
        <v>Error?</v>
      </c>
    </row>
    <row r="2607" spans="1:4" x14ac:dyDescent="0.2">
      <c r="A2607" s="5">
        <v>2546</v>
      </c>
      <c r="B2607" s="138">
        <f>'Acct Summary 7-8'!G12</f>
        <v>14539</v>
      </c>
      <c r="C2607" s="2" t="s">
        <v>594</v>
      </c>
      <c r="D2607" s="2" t="str">
        <f t="shared" si="39"/>
        <v>Error?</v>
      </c>
    </row>
    <row r="2608" spans="1:4" x14ac:dyDescent="0.2">
      <c r="A2608" s="5">
        <v>2547</v>
      </c>
      <c r="B2608" s="138">
        <f>'Acct Summary 7-8'!G13</f>
        <v>21434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35973</v>
      </c>
      <c r="C2612" s="2" t="s">
        <v>594</v>
      </c>
      <c r="D2612" s="2" t="str">
        <f t="shared" si="39"/>
        <v>Error?</v>
      </c>
    </row>
    <row r="2613" spans="1:4" x14ac:dyDescent="0.2">
      <c r="A2613" s="5">
        <v>2552</v>
      </c>
      <c r="B2613" s="138">
        <f>'Acct Summary 7-8'!G20</f>
        <v>-2861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105961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105961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106314</v>
      </c>
      <c r="C2634" s="2" t="s">
        <v>594</v>
      </c>
      <c r="D2634" s="2" t="str">
        <f t="shared" si="40"/>
        <v>Error?</v>
      </c>
    </row>
    <row r="2635" spans="1:4" x14ac:dyDescent="0.2">
      <c r="A2635" s="5">
        <v>2574</v>
      </c>
      <c r="B2635" s="138">
        <f>'Acct Summary 7-8'!E17</f>
        <v>106314</v>
      </c>
      <c r="C2635" s="2" t="s">
        <v>594</v>
      </c>
      <c r="D2635" s="2" t="str">
        <f t="shared" si="40"/>
        <v>Error?</v>
      </c>
    </row>
    <row r="2636" spans="1:4" x14ac:dyDescent="0.2">
      <c r="A2636" s="5">
        <v>2575</v>
      </c>
      <c r="B2636" s="138">
        <f>'Acct Summary 7-8'!E20</f>
        <v>-353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10708</v>
      </c>
      <c r="C2789" s="2" t="s">
        <v>594</v>
      </c>
      <c r="D2789" s="2" t="str">
        <f t="shared" si="42"/>
        <v>Error?</v>
      </c>
    </row>
    <row r="2790" spans="1:4" x14ac:dyDescent="0.2">
      <c r="A2790" s="5">
        <v>2729</v>
      </c>
      <c r="B2790" s="138">
        <f>'Expenditures 15-22'!E102</f>
        <v>10708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195286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195286</v>
      </c>
      <c r="D2912" s="2" t="str">
        <f t="shared" si="44"/>
        <v>Error?</v>
      </c>
    </row>
    <row r="2913" spans="1:4" x14ac:dyDescent="0.2">
      <c r="A2913" s="5">
        <v>2852</v>
      </c>
      <c r="B2913" s="138">
        <f>'Assets-Liab 5-6'!I41</f>
        <v>195286</v>
      </c>
      <c r="C2913" s="2" t="s">
        <v>594</v>
      </c>
      <c r="D2913" s="2" t="str">
        <f t="shared" si="44"/>
        <v>Error?</v>
      </c>
    </row>
    <row r="2914" spans="1:4" x14ac:dyDescent="0.2">
      <c r="A2914" s="5">
        <v>2853</v>
      </c>
      <c r="B2914" s="138">
        <f>'Assets-Liab 5-6'!L33</f>
        <v>344</v>
      </c>
      <c r="D2914" s="2" t="str">
        <f t="shared" si="44"/>
        <v>Error?</v>
      </c>
    </row>
    <row r="2915" spans="1:4" x14ac:dyDescent="0.2">
      <c r="A2915" s="10">
        <v>2854</v>
      </c>
      <c r="D2915" s="2" t="str">
        <f t="shared" si="44"/>
        <v>OK</v>
      </c>
    </row>
    <row r="2916" spans="1:4" x14ac:dyDescent="0.2">
      <c r="A2916" s="5">
        <v>2855</v>
      </c>
      <c r="B2916" s="138">
        <f>'Assets-Liab 5-6'!L34</f>
        <v>344</v>
      </c>
      <c r="C2916" s="2" t="s">
        <v>594</v>
      </c>
      <c r="D2916" s="2" t="str">
        <f t="shared" si="44"/>
        <v>Error?</v>
      </c>
    </row>
    <row r="2917" spans="1:4" x14ac:dyDescent="0.2">
      <c r="A2917" s="5">
        <v>2856</v>
      </c>
      <c r="B2917" s="138">
        <f>'Assets-Liab 5-6'!L41</f>
        <v>344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9208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13864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15364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9208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343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27544</v>
      </c>
      <c r="C3225" s="2" t="s">
        <v>594</v>
      </c>
      <c r="D3225" s="2" t="str">
        <f t="shared" si="49"/>
        <v>Error?</v>
      </c>
    </row>
    <row r="3226" spans="1:4" x14ac:dyDescent="0.2">
      <c r="A3226" s="5">
        <v>3165</v>
      </c>
      <c r="B3226" s="138">
        <f>'Acct Summary 7-8'!I8</f>
        <v>27544</v>
      </c>
      <c r="C3226" s="2" t="s">
        <v>594</v>
      </c>
      <c r="D3226" s="2" t="str">
        <f t="shared" si="49"/>
        <v>Error?</v>
      </c>
    </row>
    <row r="3227" spans="1:4" x14ac:dyDescent="0.2">
      <c r="A3227" s="5">
        <v>3166</v>
      </c>
      <c r="B3227" s="138">
        <f>'Acct Summary 7-8'!I20</f>
        <v>27544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279765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100000</v>
      </c>
      <c r="C3231" s="2" t="s">
        <v>594</v>
      </c>
      <c r="D3231" s="2" t="str">
        <f t="shared" si="49"/>
        <v>Error?</v>
      </c>
    </row>
    <row r="3232" spans="1:4" x14ac:dyDescent="0.2">
      <c r="A3232" s="5">
        <v>3171</v>
      </c>
      <c r="B3232" s="138">
        <f>'Acct Summary 7-8'!C77</f>
        <v>179765</v>
      </c>
      <c r="C3232" s="2" t="s">
        <v>594</v>
      </c>
      <c r="D3232" s="2" t="str">
        <f t="shared" si="49"/>
        <v>Error?</v>
      </c>
    </row>
    <row r="3233" spans="1:4" x14ac:dyDescent="0.2">
      <c r="A3233" s="5">
        <v>3172</v>
      </c>
      <c r="B3233" s="138">
        <f>'Acct Summary 7-8'!C78</f>
        <v>117307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50000</v>
      </c>
      <c r="C3238" s="2" t="s">
        <v>594</v>
      </c>
      <c r="D3238" s="2" t="str">
        <f t="shared" si="49"/>
        <v>Error?</v>
      </c>
    </row>
    <row r="3239" spans="1:4" x14ac:dyDescent="0.2">
      <c r="A3239" s="5">
        <v>3178</v>
      </c>
      <c r="B3239" s="138">
        <f>'Acct Summary 7-8'!D78</f>
        <v>-209430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50000</v>
      </c>
      <c r="C3255" s="2" t="s">
        <v>594</v>
      </c>
      <c r="D3255" s="2" t="str">
        <f t="shared" si="49"/>
        <v>Error?</v>
      </c>
    </row>
    <row r="3256" spans="1:4" x14ac:dyDescent="0.2">
      <c r="A3256" s="5">
        <v>3195</v>
      </c>
      <c r="B3256" s="138">
        <f>'Acct Summary 7-8'!F78</f>
        <v>38987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-353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300000</v>
      </c>
      <c r="C3317" s="2" t="s">
        <v>594</v>
      </c>
      <c r="D3317" s="2" t="str">
        <f t="shared" si="50"/>
        <v>Error?</v>
      </c>
    </row>
    <row r="3318" spans="1:4" x14ac:dyDescent="0.2">
      <c r="A3318" s="5">
        <v>3257</v>
      </c>
      <c r="B3318" s="138">
        <f>'Acct Summary 7-8'!I76</f>
        <v>300000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27544</v>
      </c>
      <c r="C3320" s="2" t="s">
        <v>594</v>
      </c>
      <c r="D3320" s="2" t="str">
        <f t="shared" si="50"/>
        <v>Error?</v>
      </c>
    </row>
    <row r="3321" spans="1:4" x14ac:dyDescent="0.2">
      <c r="A3321" s="5">
        <v>3260</v>
      </c>
      <c r="B3321" s="138">
        <f>'Acct Summary 7-8'!I79</f>
        <v>167742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195286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60451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15582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16790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49139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142685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11547</v>
      </c>
      <c r="D3387" s="2" t="str">
        <f t="shared" si="51"/>
        <v>Error?</v>
      </c>
    </row>
    <row r="3388" spans="1:4" x14ac:dyDescent="0.2">
      <c r="A3388" s="5">
        <v>3327</v>
      </c>
      <c r="B3388" s="138">
        <f>'Expenditures 15-22'!D217</f>
        <v>2967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11547</v>
      </c>
      <c r="C3390" s="2" t="s">
        <v>594</v>
      </c>
      <c r="D3390" s="2" t="str">
        <f t="shared" si="51"/>
        <v>Error?</v>
      </c>
    </row>
    <row r="3391" spans="1:4" x14ac:dyDescent="0.2">
      <c r="A3391" s="5">
        <v>3330</v>
      </c>
      <c r="B3391" s="138">
        <f>'Expenditures 15-22'!K217</f>
        <v>2967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552563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67840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69805</v>
      </c>
      <c r="D3417" s="2" t="str">
        <f t="shared" si="52"/>
        <v>Error?</v>
      </c>
    </row>
    <row r="3418" spans="1:4" x14ac:dyDescent="0.2">
      <c r="A3418" s="10">
        <v>3357</v>
      </c>
      <c r="D3418" s="2" t="str">
        <f t="shared" si="52"/>
        <v>OK</v>
      </c>
    </row>
    <row r="3419" spans="1:4" x14ac:dyDescent="0.2">
      <c r="A3419" s="5">
        <v>3358</v>
      </c>
      <c r="B3419" s="138">
        <f>'Assets-Liab 5-6'!F4</f>
        <v>52104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195286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20703</v>
      </c>
      <c r="C3449" s="2" t="s">
        <v>594</v>
      </c>
      <c r="D3449" s="2" t="str">
        <f t="shared" si="52"/>
        <v>Error?</v>
      </c>
    </row>
    <row r="3450" spans="1:4" x14ac:dyDescent="0.2">
      <c r="A3450" s="5">
        <v>3389</v>
      </c>
      <c r="B3450" s="138">
        <f>'Tax Sched 23'!E16</f>
        <v>20703</v>
      </c>
      <c r="D3450" s="2" t="str">
        <f t="shared" si="52"/>
        <v>Error?</v>
      </c>
    </row>
    <row r="3451" spans="1:4" x14ac:dyDescent="0.2">
      <c r="A3451" s="5">
        <v>3390</v>
      </c>
      <c r="B3451" s="138">
        <f>'Cap Outlay Deprec 26'!C15</f>
        <v>112968</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112968</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3194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3194</v>
      </c>
      <c r="D3567" s="2" t="str">
        <f t="shared" si="54"/>
        <v>Error?</v>
      </c>
    </row>
    <row r="3568" spans="1:4" x14ac:dyDescent="0.2">
      <c r="A3568" s="5">
        <v>3507</v>
      </c>
      <c r="B3568" s="138">
        <f>'Assets-Liab 5-6'!K41</f>
        <v>3194</v>
      </c>
      <c r="C3568" s="2" t="s">
        <v>594</v>
      </c>
      <c r="D3568" s="2" t="str">
        <f t="shared" si="54"/>
        <v>Error?</v>
      </c>
    </row>
    <row r="3569" spans="1:4" x14ac:dyDescent="0.2">
      <c r="A3569" s="5">
        <v>3508</v>
      </c>
      <c r="B3569" s="138">
        <f>'Acct Summary 7-8'!K4</f>
        <v>27238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27238</v>
      </c>
      <c r="C3571" s="2" t="s">
        <v>594</v>
      </c>
      <c r="D3571" s="2" t="str">
        <f t="shared" si="54"/>
        <v>Error?</v>
      </c>
    </row>
    <row r="3572" spans="1:4" x14ac:dyDescent="0.2">
      <c r="A3572" s="5">
        <v>3511</v>
      </c>
      <c r="B3572" s="138">
        <f>'Acct Summary 7-8'!K13</f>
        <v>26409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26409</v>
      </c>
      <c r="C3575" s="2" t="s">
        <v>594</v>
      </c>
      <c r="D3575" s="2" t="str">
        <f t="shared" si="54"/>
        <v>Error?</v>
      </c>
    </row>
    <row r="3576" spans="1:4" x14ac:dyDescent="0.2">
      <c r="A3576" s="5">
        <v>3515</v>
      </c>
      <c r="B3576" s="138">
        <f>'Acct Summary 7-8'!K20</f>
        <v>829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829</v>
      </c>
      <c r="C3588" s="2" t="s">
        <v>594</v>
      </c>
      <c r="D3588" s="2" t="str">
        <f t="shared" si="55"/>
        <v>Error?</v>
      </c>
    </row>
    <row r="3589" spans="1:4" x14ac:dyDescent="0.2">
      <c r="A3589" s="5">
        <v>3528</v>
      </c>
      <c r="B3589" s="138">
        <f>'Acct Summary 7-8'!K79</f>
        <v>2365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3194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26409</v>
      </c>
      <c r="D3632" s="2" t="str">
        <f t="shared" si="55"/>
        <v>Error?</v>
      </c>
    </row>
    <row r="3633" spans="1:4" x14ac:dyDescent="0.2">
      <c r="A3633" s="5">
        <v>3572</v>
      </c>
      <c r="B3633" s="138">
        <f>'Expenditures 15-22'!E350</f>
        <v>26409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26409</v>
      </c>
      <c r="C3635" s="2" t="s">
        <v>594</v>
      </c>
      <c r="D3635" s="2" t="str">
        <f t="shared" si="55"/>
        <v>Error?</v>
      </c>
    </row>
    <row r="3636" spans="1:4" x14ac:dyDescent="0.2">
      <c r="A3636" s="5">
        <v>3575</v>
      </c>
      <c r="B3636" s="138">
        <f>'Expenditures 15-22'!E367</f>
        <v>26409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26409</v>
      </c>
      <c r="C3669" s="2" t="s">
        <v>594</v>
      </c>
      <c r="D3669" s="2" t="str">
        <f t="shared" si="56"/>
        <v>Error?</v>
      </c>
    </row>
    <row r="3670" spans="1:4" x14ac:dyDescent="0.2">
      <c r="A3670" s="5">
        <v>3609</v>
      </c>
      <c r="B3670" s="138">
        <f>'Expenditures 15-22'!K350</f>
        <v>26409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26409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26409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829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26659</v>
      </c>
      <c r="C3725" s="2" t="s">
        <v>594</v>
      </c>
      <c r="D3725" s="2" t="str">
        <f t="shared" si="57"/>
        <v>Error?</v>
      </c>
    </row>
    <row r="3726" spans="1:4" x14ac:dyDescent="0.2">
      <c r="A3726" s="5">
        <v>3665</v>
      </c>
      <c r="B3726" s="138">
        <f>'Tax Sched 23'!D13</f>
        <v>26659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27205</v>
      </c>
      <c r="C3728" s="2" t="s">
        <v>594</v>
      </c>
      <c r="D3728" s="2" t="str">
        <f t="shared" si="57"/>
        <v>Error?</v>
      </c>
    </row>
    <row r="3729" spans="1:4" x14ac:dyDescent="0.2">
      <c r="A3729" s="5">
        <v>3668</v>
      </c>
      <c r="B3729" s="138">
        <f>'Tax Sched 23'!E13</f>
        <v>27205</v>
      </c>
      <c r="D3729" s="2" t="str">
        <f t="shared" si="57"/>
        <v>Error?</v>
      </c>
    </row>
    <row r="3730" spans="1:4" x14ac:dyDescent="0.2">
      <c r="A3730" s="5">
        <v>3669</v>
      </c>
      <c r="B3730" s="138">
        <f>'ICR Computation 30'!E10</f>
        <v>20875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3</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3</v>
      </c>
      <c r="D4111" s="2" t="str">
        <f t="shared" si="63"/>
        <v>Error?</v>
      </c>
    </row>
    <row r="4112" spans="1:4" x14ac:dyDescent="0.2">
      <c r="A4112" s="10">
        <v>4051</v>
      </c>
      <c r="D4112" s="2" t="str">
        <f t="shared" si="63"/>
        <v>OK</v>
      </c>
    </row>
    <row r="4113" spans="1:4" x14ac:dyDescent="0.2">
      <c r="A4113" s="5">
        <v>4052</v>
      </c>
      <c r="B4113" s="138">
        <f>'Acct Summary 7-8'!C9</f>
        <v>88359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1293926</v>
      </c>
      <c r="C4122" s="2" t="s">
        <v>594</v>
      </c>
      <c r="D4122" s="2" t="str">
        <f t="shared" si="63"/>
        <v>Error?</v>
      </c>
    </row>
    <row r="4123" spans="1:4" x14ac:dyDescent="0.2">
      <c r="A4123" s="5">
        <v>4062</v>
      </c>
      <c r="B4123" s="138">
        <f>'Acct Summary 7-8'!D10</f>
        <v>136835</v>
      </c>
      <c r="C4123" s="2" t="s">
        <v>594</v>
      </c>
      <c r="D4123" s="2" t="str">
        <f t="shared" si="63"/>
        <v>Error?</v>
      </c>
    </row>
    <row r="4124" spans="1:4" x14ac:dyDescent="0.2">
      <c r="A4124" s="5">
        <v>4063</v>
      </c>
      <c r="B4124" s="138">
        <f>'Acct Summary 7-8'!E10</f>
        <v>105961</v>
      </c>
      <c r="C4124" s="2" t="s">
        <v>594</v>
      </c>
      <c r="D4124" s="2" t="str">
        <f t="shared" si="63"/>
        <v>Error?</v>
      </c>
    </row>
    <row r="4125" spans="1:4" x14ac:dyDescent="0.2">
      <c r="A4125" s="5">
        <v>4064</v>
      </c>
      <c r="B4125" s="138">
        <f>'Acct Summary 7-8'!F10</f>
        <v>139436</v>
      </c>
      <c r="C4125" s="2" t="s">
        <v>594</v>
      </c>
      <c r="D4125" s="2" t="str">
        <f t="shared" si="63"/>
        <v>Error?</v>
      </c>
    </row>
    <row r="4126" spans="1:4" x14ac:dyDescent="0.2">
      <c r="A4126" s="5">
        <v>4065</v>
      </c>
      <c r="B4126" s="138">
        <f>'Acct Summary 7-8'!G10</f>
        <v>33112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27544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27238</v>
      </c>
      <c r="C4130" s="2" t="s">
        <v>594</v>
      </c>
      <c r="D4130" s="2" t="str">
        <f t="shared" si="63"/>
        <v>Error?</v>
      </c>
    </row>
    <row r="4131" spans="1:4" x14ac:dyDescent="0.2">
      <c r="A4131" s="5">
        <v>4070</v>
      </c>
      <c r="B4131" s="138">
        <f>'Acct Summary 7-8'!C18</f>
        <v>88359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1356384</v>
      </c>
      <c r="C4136" s="2" t="s">
        <v>594</v>
      </c>
      <c r="D4136" s="2" t="str">
        <f t="shared" si="63"/>
        <v>Error?</v>
      </c>
    </row>
    <row r="4137" spans="1:4" x14ac:dyDescent="0.2">
      <c r="A4137" s="5">
        <v>4076</v>
      </c>
      <c r="B4137" s="138">
        <f>'Acct Summary 7-8'!D19</f>
        <v>396265</v>
      </c>
      <c r="C4137" s="2" t="s">
        <v>594</v>
      </c>
      <c r="D4137" s="2" t="str">
        <f t="shared" si="63"/>
        <v>Error?</v>
      </c>
    </row>
    <row r="4138" spans="1:4" x14ac:dyDescent="0.2">
      <c r="A4138" s="5">
        <v>4077</v>
      </c>
      <c r="B4138" s="138">
        <f>'Acct Summary 7-8'!E19</f>
        <v>106314</v>
      </c>
      <c r="C4138" s="2" t="s">
        <v>594</v>
      </c>
      <c r="D4138" s="2" t="str">
        <f t="shared" si="63"/>
        <v>Error?</v>
      </c>
    </row>
    <row r="4139" spans="1:4" x14ac:dyDescent="0.2">
      <c r="A4139" s="5">
        <v>4078</v>
      </c>
      <c r="B4139" s="138">
        <f>'Acct Summary 7-8'!F19</f>
        <v>150449</v>
      </c>
      <c r="C4139" s="2" t="s">
        <v>594</v>
      </c>
      <c r="D4139" s="2" t="str">
        <f t="shared" si="63"/>
        <v>Error?</v>
      </c>
    </row>
    <row r="4140" spans="1:4" x14ac:dyDescent="0.2">
      <c r="A4140" s="5">
        <v>4079</v>
      </c>
      <c r="B4140" s="138">
        <f>'Acct Summary 7-8'!G19</f>
        <v>35973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26409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300000</v>
      </c>
      <c r="C4171" s="2" t="s">
        <v>594</v>
      </c>
      <c r="D4171" s="2" t="str">
        <f t="shared" si="64"/>
        <v>Error?</v>
      </c>
    </row>
    <row r="4172" spans="1:4" x14ac:dyDescent="0.2">
      <c r="A4172" s="5">
        <v>4111</v>
      </c>
      <c r="B4172" s="138">
        <f>'Short-Term Long-Term Debt 24'!J49</f>
        <v>230195</v>
      </c>
      <c r="C4172" s="2" t="s">
        <v>594</v>
      </c>
      <c r="D4172" s="2" t="str">
        <f t="shared" si="64"/>
        <v>Error?</v>
      </c>
    </row>
    <row r="4173" spans="1:4" x14ac:dyDescent="0.2">
      <c r="A4173" s="5">
        <v>4112</v>
      </c>
      <c r="B4173" s="138">
        <f>'Short-Term Long-Term Debt 24'!H49</f>
        <v>105000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1408.8</v>
      </c>
      <c r="C4265" s="2" t="s">
        <v>594</v>
      </c>
      <c r="D4265" s="2" t="str">
        <f t="shared" si="65"/>
        <v>Error?</v>
      </c>
      <c r="E4265" s="128"/>
    </row>
    <row r="4266" spans="1:5" x14ac:dyDescent="0.2">
      <c r="A4266" s="12">
        <v>4205</v>
      </c>
      <c r="B4266" s="138">
        <f>('FP Info 3'!F10)*100000</f>
        <v>248.10000000000002</v>
      </c>
      <c r="C4266" s="2" t="s">
        <v>594</v>
      </c>
      <c r="D4266" s="2" t="str">
        <f t="shared" si="65"/>
        <v>Error?</v>
      </c>
      <c r="E4266" s="128"/>
    </row>
    <row r="4267" spans="1:5" x14ac:dyDescent="0.2">
      <c r="A4267" s="12">
        <v>4206</v>
      </c>
      <c r="B4267" s="138">
        <f>('FP Info 3'!H10)*100000</f>
        <v>119.1</v>
      </c>
      <c r="C4267" s="2" t="s">
        <v>594</v>
      </c>
      <c r="D4267" s="2" t="str">
        <f t="shared" si="65"/>
        <v>Error?</v>
      </c>
      <c r="E4267" s="128"/>
    </row>
    <row r="4268" spans="1:5" x14ac:dyDescent="0.2">
      <c r="A4268" s="12">
        <v>4207</v>
      </c>
      <c r="B4268" s="138">
        <f>('FP Info 3'!J10)*100000</f>
        <v>1776.0000000000002</v>
      </c>
      <c r="C4268" s="2" t="s">
        <v>594</v>
      </c>
      <c r="D4268" s="2" t="str">
        <f t="shared" si="65"/>
        <v>Error?</v>
      </c>
    </row>
    <row r="4269" spans="1:5" x14ac:dyDescent="0.2">
      <c r="A4269" s="12">
        <v>4208</v>
      </c>
      <c r="B4269" s="138">
        <f>'FP Info 3'!J16</f>
        <v>867793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3160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7574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7574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8514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7250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54770953</v>
      </c>
      <c r="D4995" s="2" t="str">
        <f t="shared" si="77"/>
        <v>Error?</v>
      </c>
    </row>
    <row r="4996" spans="1:4" x14ac:dyDescent="0.2">
      <c r="A4996" s="12">
        <v>4935</v>
      </c>
      <c r="B4996" s="138">
        <f>'FP Info 3'!H31</f>
        <v>3779195.7570000002</v>
      </c>
      <c r="D4996" s="2" t="str">
        <f t="shared" si="77"/>
        <v>Error?</v>
      </c>
    </row>
    <row r="4997" spans="1:4" x14ac:dyDescent="0.2">
      <c r="A4997" s="12">
        <v>4936</v>
      </c>
      <c r="B4997" s="138">
        <f>'FP Info 3'!H37</f>
        <v>300000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v>
      </c>
      <c r="D5013" s="2" t="str">
        <f t="shared" si="77"/>
        <v>Error?</v>
      </c>
    </row>
    <row r="5014" spans="1:4" x14ac:dyDescent="0.2">
      <c r="A5014" s="5">
        <v>4953</v>
      </c>
      <c r="B5014" s="138">
        <f>'Acct Summary 7-8'!F27</f>
        <v>50000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26659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772924</v>
      </c>
      <c r="D5061" s="2" t="str">
        <f t="shared" si="78"/>
        <v>Error?</v>
      </c>
    </row>
    <row r="5062" spans="1:4" x14ac:dyDescent="0.2">
      <c r="A5062" s="10">
        <v>5001</v>
      </c>
      <c r="D5062" s="2" t="str">
        <f t="shared" si="78"/>
        <v>OK</v>
      </c>
    </row>
    <row r="5063" spans="1:4" x14ac:dyDescent="0.2">
      <c r="A5063" s="5">
        <v>5002</v>
      </c>
      <c r="B5063" s="138">
        <f>'Revenues 9-14'!C7</f>
        <v>10886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810469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58858</v>
      </c>
      <c r="D5069" s="2" t="str">
        <f t="shared" si="78"/>
        <v>Error?</v>
      </c>
    </row>
    <row r="5070" spans="1:4" x14ac:dyDescent="0.2">
      <c r="A5070" s="5">
        <v>5009</v>
      </c>
      <c r="B5070" s="138">
        <f>'Revenues 9-14'!C17</f>
        <v>4091</v>
      </c>
      <c r="D5070" s="2" t="str">
        <f t="shared" si="78"/>
        <v>Error?</v>
      </c>
    </row>
    <row r="5071" spans="1:4" x14ac:dyDescent="0.2">
      <c r="A5071" s="5">
        <v>5010</v>
      </c>
      <c r="B5071" s="138">
        <f>'Revenues 9-14'!C18</f>
        <v>62949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3893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3893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18241</v>
      </c>
      <c r="C5096" s="2" t="s">
        <v>594</v>
      </c>
      <c r="D5096" s="2" t="str">
        <f t="shared" si="78"/>
        <v>Error?</v>
      </c>
    </row>
    <row r="5097" spans="1:4" x14ac:dyDescent="0.2">
      <c r="A5097" s="5">
        <v>5036</v>
      </c>
      <c r="B5097" s="138">
        <f>'Revenues 9-14'!C77</f>
        <v>2210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3724</v>
      </c>
      <c r="C5102" s="2" t="s">
        <v>594</v>
      </c>
      <c r="D5102" s="2" t="str">
        <f t="shared" si="78"/>
        <v>Error?</v>
      </c>
    </row>
    <row r="5103" spans="1:4" x14ac:dyDescent="0.2">
      <c r="A5103" s="5">
        <v>5042</v>
      </c>
      <c r="B5103" s="138">
        <f>'Revenues 9-14'!C84</f>
        <v>5806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5806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75024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25555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8058</v>
      </c>
      <c r="D5119" s="2" t="str">
        <f t="shared" ref="D5119:D5182" si="79">IF(ISBLANK(B5119),"OK",IF(A5119-B5119=0,"OK","Error?"))</f>
        <v>Error?</v>
      </c>
    </row>
    <row r="5120" spans="1:4" x14ac:dyDescent="0.2">
      <c r="A5120" s="5">
        <v>5059</v>
      </c>
      <c r="B5120" s="138">
        <f>'Revenues 9-14'!C108</f>
        <v>108637</v>
      </c>
      <c r="C5120" s="2" t="s">
        <v>594</v>
      </c>
      <c r="D5120" s="2" t="str">
        <f t="shared" si="79"/>
        <v>Error?</v>
      </c>
    </row>
    <row r="5121" spans="1:4" x14ac:dyDescent="0.2">
      <c r="A5121" s="5">
        <v>5060</v>
      </c>
      <c r="B5121" s="138">
        <f>'Revenues 9-14'!C109</f>
        <v>1013719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62376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62376</v>
      </c>
      <c r="C5132" s="2" t="s">
        <v>594</v>
      </c>
      <c r="D5132" s="2" t="str">
        <f t="shared" si="79"/>
        <v>Error?</v>
      </c>
    </row>
    <row r="5133" spans="1:4" x14ac:dyDescent="0.2">
      <c r="A5133" s="5">
        <v>5072</v>
      </c>
      <c r="B5133" s="138">
        <f>'Revenues 9-14'!C124</f>
        <v>18161</v>
      </c>
      <c r="D5133" s="2" t="str">
        <f t="shared" si="79"/>
        <v>Error?</v>
      </c>
    </row>
    <row r="5134" spans="1:4" x14ac:dyDescent="0.2">
      <c r="A5134" s="5">
        <v>5073</v>
      </c>
      <c r="B5134" s="138">
        <f>'Revenues 9-14'!C125</f>
        <v>6449</v>
      </c>
      <c r="D5134" s="2" t="str">
        <f t="shared" si="79"/>
        <v>Error?</v>
      </c>
    </row>
    <row r="5135" spans="1:4" x14ac:dyDescent="0.2">
      <c r="A5135" s="5">
        <v>5074</v>
      </c>
      <c r="B5135" s="138">
        <f>'Revenues 9-14'!C126</f>
        <v>8768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33378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33694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96070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15514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5361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20875</v>
      </c>
      <c r="C5246" s="2" t="s">
        <v>594</v>
      </c>
      <c r="D5246" s="2" t="str">
        <f t="shared" si="80"/>
        <v>Error?</v>
      </c>
    </row>
    <row r="5247" spans="1:4" x14ac:dyDescent="0.2">
      <c r="A5247" s="5">
        <v>5186</v>
      </c>
      <c r="B5247" s="138">
        <f>'Revenues 9-14'!C203</f>
        <v>48405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8514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48405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95778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95778</v>
      </c>
      <c r="C5326" s="2" t="s">
        <v>594</v>
      </c>
      <c r="D5326" s="2" t="str">
        <f t="shared" si="82"/>
        <v>Error?</v>
      </c>
    </row>
    <row r="5327" spans="1:4" x14ac:dyDescent="0.2">
      <c r="A5327" s="5">
        <v>5266</v>
      </c>
      <c r="B5327" s="138">
        <f>'Revenues 9-14'!C275</f>
        <v>1205567</v>
      </c>
      <c r="C5327" s="2" t="s">
        <v>594</v>
      </c>
      <c r="D5327" s="2" t="str">
        <f t="shared" si="82"/>
        <v>Error?</v>
      </c>
    </row>
    <row r="5328" spans="1:4" x14ac:dyDescent="0.2">
      <c r="A5328" s="5">
        <v>5267</v>
      </c>
      <c r="B5328" s="138">
        <f>'Revenues 9-14'!D5</f>
        <v>136364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136364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82</v>
      </c>
      <c r="D5354" s="2" t="str">
        <f t="shared" si="82"/>
        <v>Error?</v>
      </c>
    </row>
    <row r="5355" spans="1:4" x14ac:dyDescent="0.2">
      <c r="A5355" s="5">
        <v>5294</v>
      </c>
      <c r="B5355" s="138">
        <f>'Revenues 9-14'!D108</f>
        <v>82</v>
      </c>
      <c r="C5355" s="2" t="s">
        <v>594</v>
      </c>
      <c r="D5355" s="2" t="str">
        <f t="shared" si="82"/>
        <v>Error?</v>
      </c>
    </row>
    <row r="5356" spans="1:4" x14ac:dyDescent="0.2">
      <c r="A5356" s="5">
        <v>5295</v>
      </c>
      <c r="B5356" s="138">
        <f>'Revenues 9-14'!D109</f>
        <v>136835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136835</v>
      </c>
      <c r="C5508" s="2" t="s">
        <v>594</v>
      </c>
      <c r="D5508" s="2" t="str">
        <f t="shared" si="85"/>
        <v>Error?</v>
      </c>
    </row>
    <row r="5509" spans="1:4" x14ac:dyDescent="0.2">
      <c r="A5509" s="5">
        <v>5448</v>
      </c>
      <c r="B5509" s="138">
        <f>'Revenues 9-14'!E5</f>
        <v>105709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105709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105961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105961</v>
      </c>
      <c r="C5552" s="2" t="s">
        <v>594</v>
      </c>
      <c r="D5552" s="2" t="str">
        <f t="shared" si="85"/>
        <v>Error?</v>
      </c>
    </row>
    <row r="5553" spans="1:4" x14ac:dyDescent="0.2">
      <c r="A5553" s="5">
        <v>5492</v>
      </c>
      <c r="B5553" s="138">
        <f>'Revenues 9-14'!F5</f>
        <v>65317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65317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65407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37197</v>
      </c>
      <c r="D5615" s="2" t="str">
        <f t="shared" si="86"/>
        <v>Error?</v>
      </c>
    </row>
    <row r="5616" spans="1:4" x14ac:dyDescent="0.2">
      <c r="A5616" s="10">
        <v>5555</v>
      </c>
      <c r="D5616" s="2" t="str">
        <f t="shared" si="86"/>
        <v>OK</v>
      </c>
    </row>
    <row r="5617" spans="1:4" x14ac:dyDescent="0.2">
      <c r="A5617" s="5">
        <v>5556</v>
      </c>
      <c r="B5617" s="138">
        <f>'Revenues 9-14'!F152</f>
        <v>36832</v>
      </c>
      <c r="D5617" s="2" t="str">
        <f t="shared" si="86"/>
        <v>Error?</v>
      </c>
    </row>
    <row r="5618" spans="1:4" x14ac:dyDescent="0.2">
      <c r="A5618" s="5">
        <v>5557</v>
      </c>
      <c r="B5618" s="138">
        <f>'Revenues 9-14'!F154</f>
        <v>74029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74029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74029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139436</v>
      </c>
      <c r="C5720" s="2" t="s">
        <v>594</v>
      </c>
      <c r="D5720" s="2" t="str">
        <f t="shared" si="88"/>
        <v>Error?</v>
      </c>
    </row>
    <row r="5721" spans="1:4" x14ac:dyDescent="0.2">
      <c r="A5721" s="5">
        <v>5660</v>
      </c>
      <c r="B5721" s="138">
        <f>'Revenues 9-14'!G5</f>
        <v>18484</v>
      </c>
      <c r="D5721" s="2" t="str">
        <f t="shared" si="88"/>
        <v>Error?</v>
      </c>
    </row>
    <row r="5722" spans="1:4" x14ac:dyDescent="0.2">
      <c r="A5722" s="5">
        <v>5661</v>
      </c>
      <c r="B5722" s="138">
        <f>'Revenues 9-14'!G7</f>
        <v>14545</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33029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33112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27216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27216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27544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27215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27215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27238</v>
      </c>
      <c r="C6023" s="2" t="s">
        <v>594</v>
      </c>
      <c r="D6023" s="2" t="str">
        <f t="shared" si="93"/>
        <v>Error?</v>
      </c>
    </row>
    <row r="6024" spans="1:5" x14ac:dyDescent="0.2">
      <c r="A6024" s="5">
        <v>5963</v>
      </c>
      <c r="B6024" s="138">
        <f>'Revenues 9-14'!G109</f>
        <v>33112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27544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27238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17478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3744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86.84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59564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59564</v>
      </c>
      <c r="D6215" s="2" t="str">
        <f t="shared" si="96"/>
        <v>Error?</v>
      </c>
      <c r="E6215" s="2" t="s">
        <v>199</v>
      </c>
    </row>
    <row r="6216" spans="1:5" x14ac:dyDescent="0.2">
      <c r="A6216">
        <v>6155</v>
      </c>
      <c r="B6216" s="138">
        <f>'Assets-Liab 5-6'!J41</f>
        <v>59564</v>
      </c>
      <c r="D6216" s="2" t="str">
        <f t="shared" si="96"/>
        <v>Error?</v>
      </c>
      <c r="E6216" s="2" t="s">
        <v>199</v>
      </c>
    </row>
    <row r="6217" spans="1:5" x14ac:dyDescent="0.2">
      <c r="A6217">
        <v>6156</v>
      </c>
      <c r="B6217" s="138">
        <f>'Assets-Liab 5-6'!J4</f>
        <v>59564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44260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44260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44260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49075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49075</v>
      </c>
      <c r="D6229" s="2" t="str">
        <f t="shared" si="96"/>
        <v>Error?</v>
      </c>
      <c r="E6229" s="2" t="s">
        <v>199</v>
      </c>
    </row>
    <row r="6230" spans="1:5" x14ac:dyDescent="0.2">
      <c r="A6230">
        <v>6169</v>
      </c>
      <c r="B6230" s="138">
        <f>'Acct Summary 7-8'!J20</f>
        <v>-4815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20235</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-4815</v>
      </c>
      <c r="D6263" s="2" t="str">
        <f t="shared" si="96"/>
        <v>Error?</v>
      </c>
      <c r="E6263" s="2" t="s">
        <v>199</v>
      </c>
    </row>
    <row r="6264" spans="1:5" x14ac:dyDescent="0.2">
      <c r="A6264">
        <v>6203</v>
      </c>
      <c r="B6264" s="138">
        <f>'Acct Summary 7-8'!J79</f>
        <v>64379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59564</v>
      </c>
      <c r="D6266" s="2" t="str">
        <f t="shared" si="96"/>
        <v>Error?</v>
      </c>
      <c r="E6266" s="2" t="s">
        <v>199</v>
      </c>
    </row>
    <row r="6267" spans="1:5" x14ac:dyDescent="0.2">
      <c r="A6267">
        <v>6206</v>
      </c>
      <c r="B6267" s="138">
        <f>'Acct Summary 7-8'!C82</f>
        <v>117307</v>
      </c>
      <c r="D6267" s="2" t="str">
        <f t="shared" si="96"/>
        <v>Error?</v>
      </c>
      <c r="E6267" s="2" t="s">
        <v>199</v>
      </c>
    </row>
    <row r="6268" spans="1:5" x14ac:dyDescent="0.2">
      <c r="A6268">
        <v>6207</v>
      </c>
      <c r="B6268" s="138">
        <f>'Acct Summary 7-8'!D82</f>
        <v>-209430</v>
      </c>
      <c r="D6268" s="2" t="str">
        <f t="shared" si="96"/>
        <v>Error?</v>
      </c>
      <c r="E6268" s="2" t="s">
        <v>199</v>
      </c>
    </row>
    <row r="6269" spans="1:5" x14ac:dyDescent="0.2">
      <c r="A6269">
        <v>6208</v>
      </c>
      <c r="B6269" s="138">
        <f>'Acct Summary 7-8'!E82</f>
        <v>-353</v>
      </c>
      <c r="D6269" s="2" t="str">
        <f t="shared" si="96"/>
        <v>Error?</v>
      </c>
      <c r="E6269" s="2" t="s">
        <v>199</v>
      </c>
    </row>
    <row r="6270" spans="1:5" x14ac:dyDescent="0.2">
      <c r="A6270">
        <v>6209</v>
      </c>
      <c r="B6270" s="138">
        <f>'Acct Summary 7-8'!F82</f>
        <v>38987</v>
      </c>
      <c r="D6270" s="2" t="str">
        <f t="shared" si="96"/>
        <v>Error?</v>
      </c>
      <c r="E6270" s="2" t="s">
        <v>199</v>
      </c>
    </row>
    <row r="6271" spans="1:5" x14ac:dyDescent="0.2">
      <c r="A6271">
        <v>6210</v>
      </c>
      <c r="B6271" s="138">
        <f>'Acct Summary 7-8'!G82</f>
        <v>-2861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27544</v>
      </c>
      <c r="D6273" s="2" t="str">
        <f t="shared" si="97"/>
        <v>Error?</v>
      </c>
      <c r="E6273" s="2" t="s">
        <v>199</v>
      </c>
    </row>
    <row r="6274" spans="1:5" x14ac:dyDescent="0.2">
      <c r="A6274">
        <v>6213</v>
      </c>
      <c r="B6274" s="138">
        <f>'Acct Summary 7-8'!J82</f>
        <v>-4815</v>
      </c>
      <c r="D6274" s="2" t="str">
        <f t="shared" si="97"/>
        <v>Error?</v>
      </c>
      <c r="E6274" s="2" t="s">
        <v>199</v>
      </c>
    </row>
    <row r="6275" spans="1:5" x14ac:dyDescent="0.2">
      <c r="A6275">
        <v>6214</v>
      </c>
      <c r="B6275" s="138">
        <f>'Acct Summary 7-8'!K82</f>
        <v>829</v>
      </c>
      <c r="D6275" s="2" t="str">
        <f t="shared" si="97"/>
        <v>Error?</v>
      </c>
      <c r="E6275" s="2" t="s">
        <v>199</v>
      </c>
    </row>
    <row r="6276" spans="1:5" x14ac:dyDescent="0.2">
      <c r="A6276">
        <v>6215</v>
      </c>
      <c r="B6276" s="138">
        <f>'Acct Summary 7-8'!C83</f>
        <v>0.21229615446564465</v>
      </c>
      <c r="D6276" s="2" t="str">
        <f t="shared" si="97"/>
        <v>Error?</v>
      </c>
      <c r="E6276" s="2" t="s">
        <v>199</v>
      </c>
    </row>
    <row r="6277" spans="1:5" x14ac:dyDescent="0.2">
      <c r="A6277">
        <v>6216</v>
      </c>
      <c r="B6277" s="138">
        <f>'Acct Summary 7-8'!D83</f>
        <v>-3.0871167452830188</v>
      </c>
      <c r="D6277" s="2" t="str">
        <f t="shared" si="97"/>
        <v>Error?</v>
      </c>
      <c r="E6277" s="2" t="s">
        <v>199</v>
      </c>
    </row>
    <row r="6278" spans="1:5" x14ac:dyDescent="0.2">
      <c r="A6278">
        <v>6217</v>
      </c>
      <c r="B6278" s="138">
        <f>'Acct Summary 7-8'!E83</f>
        <v>-5.0569443449609624E-3</v>
      </c>
      <c r="D6278" s="2" t="str">
        <f t="shared" si="97"/>
        <v>Error?</v>
      </c>
      <c r="E6278" s="2" t="s">
        <v>199</v>
      </c>
    </row>
    <row r="6279" spans="1:5" x14ac:dyDescent="0.2">
      <c r="A6279">
        <v>6218</v>
      </c>
      <c r="B6279" s="138">
        <f>'Acct Summary 7-8'!F83</f>
        <v>0.74825349301397204</v>
      </c>
      <c r="D6279" s="2" t="str">
        <f t="shared" si="97"/>
        <v>Error?</v>
      </c>
      <c r="E6279" s="2" t="s">
        <v>199</v>
      </c>
    </row>
    <row r="6280" spans="1:5" x14ac:dyDescent="0.2">
      <c r="A6280">
        <v>6219</v>
      </c>
      <c r="B6280" s="138">
        <f>'Acct Summary 7-8'!G83</f>
        <v>-0.16227099994328173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0.14104441690648586</v>
      </c>
      <c r="D6282" s="2" t="str">
        <f t="shared" si="97"/>
        <v>Error?</v>
      </c>
      <c r="E6282" s="2" t="s">
        <v>199</v>
      </c>
    </row>
    <row r="6283" spans="1:5" x14ac:dyDescent="0.2">
      <c r="A6283">
        <v>6222</v>
      </c>
      <c r="B6283" s="138">
        <f>'Acct Summary 7-8'!J83</f>
        <v>-8.083741857497817E-2</v>
      </c>
      <c r="D6283" s="2" t="str">
        <f t="shared" si="97"/>
        <v>Error?</v>
      </c>
      <c r="E6283" s="2" t="s">
        <v>199</v>
      </c>
    </row>
    <row r="6284" spans="1:5" x14ac:dyDescent="0.2">
      <c r="A6284">
        <v>6223</v>
      </c>
      <c r="B6284" s="138">
        <f>'Acct Summary 7-8'!K83</f>
        <v>0.2595491546649969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37581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37581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286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286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6393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6393</v>
      </c>
      <c r="D6351" s="2" t="str">
        <f t="shared" si="98"/>
        <v>Error?</v>
      </c>
      <c r="E6351" s="2" t="s">
        <v>199</v>
      </c>
    </row>
    <row r="6352" spans="1:5" x14ac:dyDescent="0.2">
      <c r="A6352">
        <v>6291</v>
      </c>
      <c r="B6352" s="138">
        <f>'Revenues 9-14'!J109</f>
        <v>44260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45335</v>
      </c>
      <c r="D6880" s="2" t="str">
        <f t="shared" si="106"/>
        <v>Error?</v>
      </c>
    </row>
    <row r="6881" spans="1:4" x14ac:dyDescent="0.2">
      <c r="A6881">
        <v>6820</v>
      </c>
      <c r="B6881" s="138">
        <f>'Expenditures 15-22'!K22</f>
        <v>45335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49075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44260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11841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11841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25292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25292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49075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49075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49075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49075</v>
      </c>
      <c r="D7224" s="2" t="str">
        <f t="shared" si="111"/>
        <v>Error?</v>
      </c>
    </row>
    <row r="7225" spans="1:4" x14ac:dyDescent="0.2">
      <c r="A7225">
        <v>7164</v>
      </c>
      <c r="B7225" s="138">
        <f>'Expenditures 15-22'!K343</f>
        <v>-4815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79095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11654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11654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10886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279765</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313686</v>
      </c>
      <c r="D7797" s="2" t="str">
        <f t="shared" si="127"/>
        <v>Error?</v>
      </c>
      <c r="E7797" s="4" t="s">
        <v>2019</v>
      </c>
    </row>
    <row r="7798" spans="1:5" x14ac:dyDescent="0.2">
      <c r="A7798">
        <v>7737</v>
      </c>
      <c r="B7798" s="138">
        <f>'Contracts Paid in CY 29'!F141</f>
        <v>131871</v>
      </c>
      <c r="D7798" s="2" t="str">
        <f t="shared" si="127"/>
        <v>Error?</v>
      </c>
      <c r="E7798" s="4" t="s">
        <v>2019</v>
      </c>
    </row>
    <row r="7799" spans="1:5" x14ac:dyDescent="0.2">
      <c r="A7799">
        <v>7738</v>
      </c>
      <c r="B7799" s="138">
        <f>'Contracts Paid in CY 29'!G141</f>
        <v>181815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2" t="s">
        <v>1253</v>
      </c>
      <c r="B2" s="2402"/>
      <c r="C2" s="2402"/>
      <c r="D2" s="2402"/>
      <c r="E2" s="2402"/>
      <c r="F2" s="2402"/>
      <c r="G2" s="2402"/>
      <c r="H2" s="2402"/>
      <c r="I2" s="2402"/>
      <c r="J2" s="2402"/>
      <c r="K2" s="2402"/>
      <c r="L2" s="2402"/>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02" t="s">
        <v>1799</v>
      </c>
      <c r="B4" s="2423"/>
      <c r="C4" s="2423"/>
      <c r="D4" s="2423"/>
      <c r="E4" s="2423"/>
      <c r="F4" s="2423"/>
      <c r="G4" s="2423"/>
      <c r="H4" s="2423"/>
      <c r="I4" s="2423"/>
      <c r="J4" s="2423"/>
      <c r="K4" s="2423"/>
      <c r="L4" s="242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4" t="str">
        <f>COVER!A17</f>
        <v>Allen-Otter Creek CCSD 65</v>
      </c>
      <c r="B7" s="2425"/>
      <c r="C7" s="2425"/>
      <c r="D7" s="2426"/>
      <c r="E7" s="2427">
        <f>COVER!A13</f>
        <v>35050065004</v>
      </c>
      <c r="F7" s="2428"/>
      <c r="G7" s="2434" t="str">
        <f>COVER!T23</f>
        <v>066-005100</v>
      </c>
      <c r="H7" s="2435"/>
      <c r="I7" s="2435"/>
      <c r="J7" s="2435"/>
      <c r="K7" s="2435"/>
      <c r="L7" s="243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7"/>
      <c r="B9" s="2438"/>
      <c r="C9" s="2438"/>
      <c r="D9" s="2438"/>
      <c r="E9" s="2438"/>
      <c r="F9" s="2439"/>
      <c r="G9" s="2408" t="str">
        <f>COVER!T13</f>
        <v>Mack &amp; Associates, P.C.</v>
      </c>
      <c r="H9" s="2440"/>
      <c r="I9" s="2440"/>
      <c r="J9" s="2440"/>
      <c r="K9" s="2440"/>
      <c r="L9" s="2441"/>
    </row>
    <row r="10" spans="1:29" ht="13.5" customHeight="1" x14ac:dyDescent="0.2">
      <c r="A10" s="2414" t="str">
        <f>COVER!A38</f>
        <v>Mary Pat Baima</v>
      </c>
      <c r="B10" s="2415"/>
      <c r="C10" s="2415"/>
      <c r="D10" s="2415"/>
      <c r="E10" s="2415"/>
      <c r="F10" s="2416"/>
      <c r="G10" s="2408" t="str">
        <f>COVER!T17</f>
        <v>116 E. Washington St., Suite One</v>
      </c>
      <c r="H10" s="2409"/>
      <c r="I10" s="2409"/>
      <c r="J10" s="2409"/>
      <c r="K10" s="2409"/>
      <c r="L10" s="2410"/>
    </row>
    <row r="11" spans="1:29" ht="13.5" customHeight="1" x14ac:dyDescent="0.2">
      <c r="A11" s="1185" t="s">
        <v>1599</v>
      </c>
      <c r="B11" s="1186"/>
      <c r="C11" s="1187"/>
      <c r="D11" s="1192"/>
      <c r="E11" s="1187"/>
      <c r="F11" s="1191"/>
      <c r="G11" s="2408" t="str">
        <f>COVER!T19</f>
        <v>Morris</v>
      </c>
      <c r="H11" s="2409"/>
      <c r="I11" s="2409"/>
      <c r="J11" s="2409"/>
      <c r="K11" s="2409"/>
      <c r="L11" s="2410"/>
    </row>
    <row r="12" spans="1:29" ht="13.5" customHeight="1" x14ac:dyDescent="0.2">
      <c r="A12" s="2417" t="s">
        <v>1598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1600</v>
      </c>
      <c r="H13" s="2404"/>
      <c r="I13" s="2420" t="str">
        <f>COVER!T25</f>
        <v>tmack@mackcpas.com</v>
      </c>
      <c r="J13" s="2421"/>
      <c r="K13" s="2421"/>
      <c r="L13" s="2422"/>
    </row>
    <row r="14" spans="1:29" ht="13.5" customHeight="1" x14ac:dyDescent="0.2">
      <c r="A14" s="2408" t="str">
        <f>COVER!A19</f>
        <v>400 S. Lane Street</v>
      </c>
      <c r="B14" s="2409"/>
      <c r="C14" s="2409"/>
      <c r="D14" s="2409"/>
      <c r="E14" s="2409"/>
      <c r="F14" s="2410"/>
      <c r="G14" s="1196" t="s">
        <v>1247</v>
      </c>
      <c r="H14" s="1194"/>
      <c r="I14" s="1194"/>
      <c r="J14" s="1194"/>
      <c r="K14" s="1194"/>
      <c r="L14" s="1195"/>
    </row>
    <row r="15" spans="1:29" ht="13.5" customHeight="1" x14ac:dyDescent="0.2">
      <c r="A15" s="2408" t="str">
        <f>COVER!A21</f>
        <v>Ransom</v>
      </c>
      <c r="B15" s="2409"/>
      <c r="C15" s="2409"/>
      <c r="D15" s="2409"/>
      <c r="E15" s="2409"/>
      <c r="F15" s="2410"/>
      <c r="G15" s="2405" t="str">
        <f>COVER!T15</f>
        <v>Tawnya Mack, CPA</v>
      </c>
      <c r="H15" s="2406"/>
      <c r="I15" s="2406"/>
      <c r="J15" s="2406"/>
      <c r="K15" s="2406"/>
      <c r="L15" s="2407"/>
    </row>
    <row r="16" spans="1:29" ht="12.2" customHeight="1" x14ac:dyDescent="0.2">
      <c r="A16" s="2430">
        <f>COVER!A25</f>
        <v>0</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6" t="s">
        <v>1246</v>
      </c>
      <c r="H17" s="1194"/>
      <c r="I17" s="1194"/>
      <c r="J17" s="1194"/>
      <c r="K17" s="1198" t="s">
        <v>1245</v>
      </c>
      <c r="L17" s="1191"/>
      <c r="M17" s="1184"/>
    </row>
    <row r="18" spans="1:13" ht="12.2" customHeight="1" x14ac:dyDescent="0.2">
      <c r="A18" s="2414"/>
      <c r="B18" s="2415"/>
      <c r="C18" s="2415"/>
      <c r="D18" s="2415"/>
      <c r="E18" s="2415"/>
      <c r="F18" s="2416"/>
      <c r="G18" s="2424" t="str">
        <f>COVER!T21</f>
        <v>815-942-3306</v>
      </c>
      <c r="H18" s="2425"/>
      <c r="I18" s="2425"/>
      <c r="J18" s="2425"/>
      <c r="K18" s="2424" t="str">
        <f>COVER!X21</f>
        <v>815-942-9430</v>
      </c>
      <c r="L18" s="242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Allen-Otter Creek CCSD 65</v>
      </c>
      <c r="B1" s="2423"/>
      <c r="C1" s="2423"/>
      <c r="D1" s="2423"/>
    </row>
    <row r="2" spans="1:11" s="1215" customFormat="1" ht="12.75" x14ac:dyDescent="0.2">
      <c r="A2" s="2447">
        <f>'Single Audit Cover'!E7</f>
        <v>35050065004</v>
      </c>
      <c r="B2" s="2448"/>
      <c r="C2" s="2448"/>
      <c r="D2" s="2448"/>
    </row>
    <row r="3" spans="1:11" s="1215" customFormat="1" ht="12.75" x14ac:dyDescent="0.2">
      <c r="A3" s="2446" t="s">
        <v>1593</v>
      </c>
      <c r="B3" s="2423"/>
      <c r="C3" s="2423"/>
      <c r="D3" s="242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Allen-Otter Creek CCSD 65</v>
      </c>
      <c r="B1" s="2450"/>
      <c r="C1" s="2450"/>
      <c r="D1" s="2450"/>
      <c r="E1" s="2450"/>
    </row>
    <row r="2" spans="1:5" x14ac:dyDescent="0.2">
      <c r="A2" s="2451">
        <f>'Single Audit Cover'!E7</f>
        <v>35050065004</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95778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3744</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-3160</v>
      </c>
    </row>
    <row r="19" spans="1:4" ht="13.5" thickBot="1" x14ac:dyDescent="0.25">
      <c r="A19" s="1265" t="s">
        <v>1297</v>
      </c>
      <c r="D19" s="1266">
        <f>SUM(D10:D17)</f>
        <v>96362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96362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0</v>
      </c>
    </row>
    <row r="49" spans="2:4" x14ac:dyDescent="0.2">
      <c r="B49" s="1272" t="s">
        <v>1288</v>
      </c>
      <c r="C49" s="1272"/>
      <c r="D49" s="1273">
        <f>D32-D47</f>
        <v>96362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Allen-Otter Creek CCSD 65</v>
      </c>
      <c r="B1" s="2463"/>
      <c r="C1" s="2463"/>
      <c r="D1" s="2463"/>
      <c r="E1" s="2463"/>
      <c r="F1" s="2463"/>
    </row>
    <row r="2" spans="1:7" ht="13.5" customHeight="1" x14ac:dyDescent="0.2">
      <c r="A2" s="2464">
        <f>'Single Audit Cover'!E7</f>
        <v>35050065004</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1832</v>
      </c>
      <c r="B7" s="2462"/>
      <c r="C7" s="2462"/>
      <c r="D7" s="2462"/>
      <c r="E7" s="2462"/>
      <c r="F7" s="246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2" t="s">
        <v>1834</v>
      </c>
      <c r="B13" s="2462"/>
      <c r="C13" s="2462"/>
      <c r="D13" s="2462"/>
      <c r="E13" s="2462"/>
      <c r="F13" s="2462"/>
    </row>
    <row r="14" spans="1:7" ht="9.75" customHeight="1" x14ac:dyDescent="0.2">
      <c r="C14" s="1260"/>
      <c r="D14" s="1260"/>
    </row>
    <row r="15" spans="1:7" ht="13.5" customHeight="1" x14ac:dyDescent="0.2">
      <c r="C15" s="1871" t="s">
        <v>1332</v>
      </c>
      <c r="D15" s="2460" t="s">
        <v>1331</v>
      </c>
      <c r="E15" s="2460"/>
      <c r="F15" s="2460"/>
    </row>
    <row r="16" spans="1:7" ht="13.5" customHeight="1" x14ac:dyDescent="0.2">
      <c r="A16" s="1282"/>
      <c r="B16" s="1276" t="s">
        <v>1330</v>
      </c>
      <c r="C16" s="1871" t="s">
        <v>1329</v>
      </c>
      <c r="D16" s="2461" t="s">
        <v>1670</v>
      </c>
      <c r="E16" s="2461"/>
      <c r="F16" s="2461"/>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6" t="s">
        <v>1835</v>
      </c>
      <c r="B32" s="2456"/>
      <c r="C32" s="2456"/>
      <c r="D32" s="2456"/>
      <c r="E32" s="2456"/>
      <c r="F32" s="2456"/>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7">
        <f>+C33+C34</f>
        <v>0</v>
      </c>
      <c r="F34" s="2458"/>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9" t="s">
        <v>1672</v>
      </c>
      <c r="C49" s="2459"/>
      <c r="D49" s="2459"/>
      <c r="E49" s="1399"/>
    </row>
    <row r="50" spans="1:5" s="1300" customFormat="1" ht="3.75" customHeight="1" x14ac:dyDescent="0.2">
      <c r="A50" s="1299"/>
      <c r="B50" s="1870"/>
      <c r="C50" s="1870"/>
      <c r="D50" s="1870"/>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Allen-Otter Creek CCSD 65</v>
      </c>
      <c r="C1" s="2467"/>
      <c r="D1" s="2467"/>
      <c r="E1" s="2467"/>
      <c r="F1" s="2467"/>
      <c r="G1" s="2467"/>
      <c r="H1" s="2467"/>
      <c r="I1" s="2467"/>
      <c r="J1" s="2467"/>
      <c r="K1" s="2467"/>
      <c r="L1" s="2467"/>
      <c r="M1" s="2467"/>
    </row>
    <row r="2" spans="2:14" ht="15" x14ac:dyDescent="0.2">
      <c r="B2" s="2464">
        <f>'Single Audit Cover'!E7</f>
        <v>35050065004</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2085</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t="s">
        <v>2094</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Allen-Otter Creek CCSD 65</v>
      </c>
      <c r="C1" s="2482"/>
      <c r="D1" s="2482"/>
      <c r="E1" s="2482"/>
      <c r="F1" s="2482"/>
      <c r="G1" s="2482"/>
      <c r="H1" s="2482"/>
      <c r="I1" s="2482"/>
      <c r="J1" s="1422"/>
    </row>
    <row r="2" spans="2:10" s="317" customFormat="1" ht="12.75" customHeight="1" x14ac:dyDescent="0.2">
      <c r="B2" s="2483">
        <f>'Single Audit Cover'!E7</f>
        <v>35050065004</v>
      </c>
      <c r="C2" s="2484"/>
      <c r="D2" s="2484"/>
      <c r="E2" s="2484"/>
      <c r="F2" s="2484"/>
      <c r="G2" s="2484"/>
      <c r="H2" s="2484"/>
      <c r="I2" s="2484"/>
      <c r="J2" s="1422"/>
    </row>
    <row r="3" spans="2:10" s="317" customFormat="1" ht="12.75" customHeight="1" x14ac:dyDescent="0.2">
      <c r="B3" s="2485" t="s">
        <v>1347</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1346</v>
      </c>
      <c r="C7" s="2486"/>
      <c r="D7" s="2486"/>
      <c r="E7" s="2486"/>
      <c r="F7" s="2486"/>
      <c r="G7" s="2486"/>
      <c r="H7" s="2486"/>
      <c r="I7" s="248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7"/>
      <c r="D11" s="248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8"/>
      <c r="E29" s="2488"/>
      <c r="F29" s="2488"/>
      <c r="G29" s="2488"/>
      <c r="H29" s="2488"/>
      <c r="I29" s="248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9" t="s">
        <v>1854</v>
      </c>
      <c r="D37" s="2490"/>
      <c r="E37" s="2490"/>
      <c r="F37" s="2491"/>
      <c r="G37" s="2489" t="s">
        <v>1674</v>
      </c>
      <c r="H37" s="2490"/>
      <c r="I37" s="2491"/>
    </row>
    <row r="38" spans="2:9" ht="16.5" customHeight="1" x14ac:dyDescent="0.2">
      <c r="B38" s="1444"/>
      <c r="C38" s="2477"/>
      <c r="D38" s="2478"/>
      <c r="E38" s="2478"/>
      <c r="F38" s="2479"/>
      <c r="G38" s="2492"/>
      <c r="H38" s="2493"/>
      <c r="I38" s="2494"/>
    </row>
    <row r="39" spans="2:9" ht="16.5" customHeight="1" x14ac:dyDescent="0.2">
      <c r="B39" s="1444"/>
      <c r="C39" s="2477"/>
      <c r="D39" s="2478"/>
      <c r="E39" s="2478"/>
      <c r="F39" s="2479"/>
      <c r="G39" s="2480"/>
      <c r="H39" s="2480"/>
      <c r="I39" s="2480"/>
    </row>
    <row r="40" spans="2:9" ht="16.5" customHeight="1" x14ac:dyDescent="0.2">
      <c r="B40" s="1444"/>
      <c r="C40" s="2477"/>
      <c r="D40" s="2478"/>
      <c r="E40" s="2478"/>
      <c r="F40" s="2479"/>
      <c r="G40" s="2480"/>
      <c r="H40" s="2480"/>
      <c r="I40" s="2480"/>
    </row>
    <row r="41" spans="2:9" ht="16.5" customHeight="1" x14ac:dyDescent="0.2">
      <c r="B41" s="1444"/>
      <c r="C41" s="2477"/>
      <c r="D41" s="2478"/>
      <c r="E41" s="2478"/>
      <c r="F41" s="2479"/>
      <c r="G41" s="2480"/>
      <c r="H41" s="2480"/>
      <c r="I41" s="2480"/>
    </row>
    <row r="42" spans="2:9" ht="16.5" customHeight="1" x14ac:dyDescent="0.2">
      <c r="B42" s="1444"/>
      <c r="C42" s="2477"/>
      <c r="D42" s="2478"/>
      <c r="E42" s="2478"/>
      <c r="F42" s="2479"/>
      <c r="G42" s="2480"/>
      <c r="H42" s="2480"/>
      <c r="I42" s="2480"/>
    </row>
    <row r="43" spans="2:9" ht="16.5" customHeight="1" x14ac:dyDescent="0.2">
      <c r="B43" s="1444"/>
      <c r="C43" s="2470" t="s">
        <v>1675</v>
      </c>
      <c r="D43" s="2471"/>
      <c r="E43" s="2471"/>
      <c r="F43" s="2472"/>
      <c r="G43" s="2473">
        <f>SUM(G38:I42)</f>
        <v>0</v>
      </c>
      <c r="H43" s="2473"/>
      <c r="I43" s="2473"/>
    </row>
    <row r="44" spans="2:9" ht="12.75" customHeight="1" x14ac:dyDescent="0.2"/>
    <row r="45" spans="2:9" ht="12.75" customHeight="1" x14ac:dyDescent="0.2">
      <c r="B45" s="1435" t="s">
        <v>1951</v>
      </c>
      <c r="D45" s="2474">
        <v>0</v>
      </c>
      <c r="E45" s="2475"/>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6"/>
      <c r="F49" s="2476"/>
      <c r="G49" s="2476"/>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Allen-Otter Creek CCSD 65</v>
      </c>
      <c r="C1" s="2481"/>
      <c r="D1" s="2481"/>
      <c r="E1" s="2481"/>
      <c r="F1" s="2481"/>
      <c r="G1" s="2481"/>
      <c r="H1" s="2481"/>
      <c r="I1" s="2481"/>
      <c r="J1" s="2481"/>
      <c r="K1" s="2481"/>
      <c r="L1" s="1374"/>
      <c r="M1" s="1374"/>
    </row>
    <row r="2" spans="1:13" ht="12" customHeight="1" x14ac:dyDescent="0.2">
      <c r="B2" s="2483">
        <f>'Single Audit Cover'!E7</f>
        <v>35050065004</v>
      </c>
      <c r="C2" s="2483"/>
      <c r="D2" s="2483"/>
      <c r="E2" s="2483"/>
      <c r="F2" s="2483"/>
      <c r="G2" s="2483"/>
      <c r="H2" s="2483"/>
      <c r="I2" s="2483"/>
      <c r="J2" s="2483"/>
      <c r="K2" s="2483"/>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Allen-Otter Creek CCSD 65</v>
      </c>
      <c r="C1" s="2504"/>
      <c r="D1" s="2504"/>
      <c r="E1" s="2504"/>
      <c r="F1" s="2504"/>
      <c r="G1" s="2504"/>
      <c r="H1" s="2504"/>
      <c r="I1" s="2504"/>
      <c r="J1" s="2504"/>
      <c r="K1" s="2504"/>
      <c r="L1" s="1465"/>
    </row>
    <row r="2" spans="1:12" ht="12.75" customHeight="1" x14ac:dyDescent="0.2">
      <c r="B2" s="2505">
        <f>'Single Audit Cover'!E7</f>
        <v>35050065004</v>
      </c>
      <c r="C2" s="2505"/>
      <c r="D2" s="2505"/>
      <c r="E2" s="2505"/>
      <c r="F2" s="2505"/>
      <c r="G2" s="2505"/>
      <c r="H2" s="2505"/>
      <c r="I2" s="2505"/>
      <c r="J2" s="2505"/>
      <c r="K2" s="2505"/>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8"/>
      <c r="G12" s="2488"/>
      <c r="H12" s="2488"/>
      <c r="I12" s="2488"/>
      <c r="J12" s="2488"/>
      <c r="K12" s="248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Allen-Otter Creek CCSD 65</v>
      </c>
      <c r="C1" s="2481"/>
      <c r="D1" s="2481"/>
      <c r="E1" s="1491"/>
    </row>
    <row r="2" spans="2:5" s="1282" customFormat="1" ht="12.75" customHeight="1" x14ac:dyDescent="0.2">
      <c r="B2" s="2483">
        <f>'Single Audit Cover'!E7</f>
        <v>35050065004</v>
      </c>
      <c r="C2" s="2483"/>
      <c r="D2" s="2483"/>
      <c r="E2" s="1492"/>
    </row>
    <row r="3" spans="2:5" ht="12.75" customHeight="1" x14ac:dyDescent="0.2">
      <c r="B3" s="2497" t="s">
        <v>1869</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K30" sqref="K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54770953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1.4088E-2</v>
      </c>
      <c r="E10" s="356" t="s">
        <v>1062</v>
      </c>
      <c r="F10" s="355">
        <v>2.4810000000000001E-3</v>
      </c>
      <c r="G10" s="356" t="s">
        <v>1062</v>
      </c>
      <c r="H10" s="355">
        <v>1.191E-3</v>
      </c>
      <c r="I10" s="356" t="s">
        <v>1063</v>
      </c>
      <c r="J10" s="1754">
        <f>ROUND(D10+F10+H10,5)</f>
        <v>1.7760000000000001E-2</v>
      </c>
      <c r="K10" s="222"/>
      <c r="L10" s="355">
        <v>4.9700000000000005E-4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1509382</v>
      </c>
      <c r="E16" s="356"/>
      <c r="F16" s="1755">
        <f>SUM('Acct Summary 7-8'!C17,'Acct Summary 7-8'!D17,'Acct Summary 7-8'!F17)</f>
        <v>1814739</v>
      </c>
      <c r="G16" s="356"/>
      <c r="H16" s="1755">
        <f>SUM(D16-F16)</f>
        <v>-305357</v>
      </c>
      <c r="I16" s="222"/>
      <c r="J16" s="1755">
        <f>SUM('Acct Summary 7-8'!C81,'Acct Summary 7-8'!D81,'Acct Summary 7-8'!F81,'Acct Summary 7-8'!I81)</f>
        <v>867793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3779195.7570000002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Allen-Otter Creek CCSD 65</v>
      </c>
      <c r="E7" s="391"/>
      <c r="G7" s="252"/>
      <c r="H7" s="387"/>
      <c r="I7" s="387"/>
      <c r="J7" s="387"/>
      <c r="K7" s="387"/>
      <c r="L7" s="329"/>
      <c r="M7" s="329"/>
      <c r="N7" s="329"/>
      <c r="O7" s="329"/>
      <c r="P7" s="329"/>
    </row>
    <row r="8" spans="1:18" ht="12.75" x14ac:dyDescent="0.2">
      <c r="A8" s="329"/>
      <c r="B8" s="329"/>
      <c r="C8" s="389" t="s">
        <v>1187</v>
      </c>
      <c r="D8" s="392">
        <f>COVER!A13</f>
        <v>35050065004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867793</v>
      </c>
      <c r="I12" s="404"/>
      <c r="J12" s="404"/>
      <c r="K12" s="405">
        <f>TRUNC((H12/H13*100000),5)/100000</f>
        <v>0.57493265449999997</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1509382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1</v>
      </c>
      <c r="P16" s="216"/>
      <c r="R16" s="384"/>
    </row>
    <row r="17" spans="1:18" s="408" customFormat="1" ht="11.25" x14ac:dyDescent="0.2">
      <c r="A17" s="218"/>
      <c r="B17" s="401"/>
      <c r="C17" s="218" t="s">
        <v>830</v>
      </c>
      <c r="D17" s="218"/>
      <c r="E17" s="218"/>
      <c r="F17" s="218" t="s">
        <v>464</v>
      </c>
      <c r="G17" s="402"/>
      <c r="H17" s="403">
        <f>SUM('Acct Summary 7-8'!C17+'Acct Summary 7-8'!D17+'Acct Summary 7-8'!F17)</f>
        <v>1814739</v>
      </c>
      <c r="I17" s="404"/>
      <c r="J17" s="416"/>
      <c r="K17" s="405">
        <f>TRUNC((H17/H18*100000),5)/100000</f>
        <v>1.2023059768</v>
      </c>
      <c r="L17" s="406"/>
      <c r="M17" s="417" t="s">
        <v>1233</v>
      </c>
      <c r="O17" s="418" t="str">
        <f>IF(AND(O16="2", J20 &gt; 2),"1",IF(AND(O16 = "1", J20 &gt; 2),"2",IF(AND(O16="1", J20 &gt;1),"1","0")))</f>
        <v>2</v>
      </c>
      <c r="P17" s="218"/>
    </row>
    <row r="18" spans="1:18" s="408" customFormat="1" ht="11.25" x14ac:dyDescent="0.2">
      <c r="A18" s="218"/>
      <c r="B18" s="401"/>
      <c r="C18" s="2122" t="s">
        <v>1384</v>
      </c>
      <c r="D18" s="2123"/>
      <c r="E18" s="218"/>
      <c r="F18" s="419" t="s">
        <v>827</v>
      </c>
      <c r="G18" s="402"/>
      <c r="H18" s="403">
        <f>SUM('Acct Summary 7-8'!C8+'Acct Summary 7-8'!D8+'Acct Summary 7-8'!F8+'Acct Summary 7-8'!I8)+H19</f>
        <v>1509382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2.3475956999999998</v>
      </c>
      <c r="K20" s="405">
        <f>IF(K17&lt;=1,"0",IF(AND(O16="2", J20 &gt; 2),TRUNC(((K12-0.1)/(K17-1)*100),5)/100,IF(AND(O16 = "1", J20 &gt; 2),TRUNC(((K12-0.1)/(K17-1)*100),5)/100,IF(AND(O16="1", J20 &gt;1),TRUNC(((K12-0.1)/(K17-1)*100),5)/100,""))))</f>
        <v>2.3475956999999998</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867793</v>
      </c>
      <c r="I24" s="422"/>
      <c r="J24" s="422"/>
      <c r="K24" s="423">
        <f>TRUNC(((H24/H25*100000)/100000),2)</f>
        <v>172.14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5040.9416700000002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826822.30648999999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300000</v>
      </c>
      <c r="I32" s="420"/>
      <c r="J32" s="420"/>
      <c r="K32" s="423">
        <f>TRUNC(100-((((H32/H33*100))*100)/100),2)</f>
        <v>92.06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3779195.7570000002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E28" sqref="E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1"/>
      <c r="D3" s="1582"/>
      <c r="E3" s="1582"/>
      <c r="F3" s="1582"/>
      <c r="G3" s="1582"/>
      <c r="H3" s="1582"/>
      <c r="I3" s="1582"/>
      <c r="J3" s="1582"/>
      <c r="K3" s="1582"/>
      <c r="L3" s="1582"/>
      <c r="M3" s="1583"/>
      <c r="N3" s="1584"/>
    </row>
    <row r="4" spans="1:14" ht="13.5" customHeight="1" x14ac:dyDescent="0.2">
      <c r="A4" s="463" t="s">
        <v>1750</v>
      </c>
      <c r="B4" s="464"/>
      <c r="C4" s="465">
        <v>552563</v>
      </c>
      <c r="D4" s="466">
        <v>67840</v>
      </c>
      <c r="E4" s="466">
        <v>69805</v>
      </c>
      <c r="F4" s="466">
        <v>52104</v>
      </c>
      <c r="G4" s="466">
        <v>17631</v>
      </c>
      <c r="H4" s="466"/>
      <c r="I4" s="466">
        <v>195286</v>
      </c>
      <c r="J4" s="467">
        <v>59564</v>
      </c>
      <c r="K4" s="466">
        <v>3194</v>
      </c>
      <c r="L4" s="466">
        <v>344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552563</v>
      </c>
      <c r="D13" s="1759">
        <f t="shared" ref="D13:L13" si="0">SUM(D4:D12)</f>
        <v>67840</v>
      </c>
      <c r="E13" s="1759">
        <f t="shared" si="0"/>
        <v>69805</v>
      </c>
      <c r="F13" s="1759">
        <f t="shared" si="0"/>
        <v>52104</v>
      </c>
      <c r="G13" s="1759">
        <f t="shared" si="0"/>
        <v>17631</v>
      </c>
      <c r="H13" s="1759">
        <f t="shared" si="0"/>
        <v>0</v>
      </c>
      <c r="I13" s="1759">
        <f t="shared" si="0"/>
        <v>195286</v>
      </c>
      <c r="J13" s="1759">
        <f t="shared" si="0"/>
        <v>59564</v>
      </c>
      <c r="K13" s="1759">
        <f t="shared" si="0"/>
        <v>3194</v>
      </c>
      <c r="L13" s="1759">
        <f t="shared" si="0"/>
        <v>344</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201200</v>
      </c>
      <c r="N16" s="484"/>
    </row>
    <row r="17" spans="1:14" s="485" customFormat="1" ht="12.75" customHeight="1" x14ac:dyDescent="0.2">
      <c r="A17" s="482" t="s">
        <v>1470</v>
      </c>
      <c r="B17" s="483">
        <v>230</v>
      </c>
      <c r="C17" s="477"/>
      <c r="D17" s="477"/>
      <c r="E17" s="477"/>
      <c r="F17" s="477"/>
      <c r="G17" s="477"/>
      <c r="H17" s="477"/>
      <c r="I17" s="477"/>
      <c r="J17" s="477"/>
      <c r="K17" s="477"/>
      <c r="L17" s="477"/>
      <c r="M17" s="467">
        <v>686418</v>
      </c>
      <c r="N17" s="484"/>
    </row>
    <row r="18" spans="1:14" s="485" customFormat="1" ht="12.75" customHeight="1" x14ac:dyDescent="0.2">
      <c r="A18" s="482" t="s">
        <v>1471</v>
      </c>
      <c r="B18" s="483">
        <v>240</v>
      </c>
      <c r="C18" s="477"/>
      <c r="D18" s="477"/>
      <c r="E18" s="477"/>
      <c r="F18" s="477"/>
      <c r="G18" s="477"/>
      <c r="H18" s="477"/>
      <c r="I18" s="477"/>
      <c r="J18" s="477"/>
      <c r="K18" s="477"/>
      <c r="L18" s="477"/>
      <c r="M18" s="467">
        <v>61007</v>
      </c>
      <c r="N18" s="484"/>
    </row>
    <row r="19" spans="1:14" s="485" customFormat="1" ht="12.75" customHeight="1" x14ac:dyDescent="0.2">
      <c r="A19" s="482" t="s">
        <v>1472</v>
      </c>
      <c r="B19" s="483">
        <v>250</v>
      </c>
      <c r="C19" s="477"/>
      <c r="D19" s="477"/>
      <c r="E19" s="477"/>
      <c r="F19" s="477"/>
      <c r="G19" s="477"/>
      <c r="H19" s="477"/>
      <c r="I19" s="477"/>
      <c r="J19" s="477"/>
      <c r="K19" s="477"/>
      <c r="L19" s="477"/>
      <c r="M19" s="467">
        <v>106220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69805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230195</v>
      </c>
    </row>
    <row r="23" spans="1:14" ht="13.5" customHeight="1" thickBot="1" x14ac:dyDescent="0.25">
      <c r="A23" s="1758" t="s">
        <v>664</v>
      </c>
      <c r="B23" s="1763"/>
      <c r="C23" s="468"/>
      <c r="D23" s="468"/>
      <c r="E23" s="468"/>
      <c r="F23" s="468"/>
      <c r="G23" s="468"/>
      <c r="H23" s="468"/>
      <c r="I23" s="468"/>
      <c r="J23" s="468"/>
      <c r="K23" s="468"/>
      <c r="L23" s="468"/>
      <c r="M23" s="1710">
        <f>SUM(M15:M22)</f>
        <v>1054845</v>
      </c>
      <c r="N23" s="1710">
        <f>SUM(N21:N22)</f>
        <v>300000</v>
      </c>
    </row>
    <row r="24" spans="1:14" ht="18" customHeight="1" thickTop="1" x14ac:dyDescent="0.2">
      <c r="A24" s="2133" t="s">
        <v>619</v>
      </c>
      <c r="B24" s="2134"/>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344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344</v>
      </c>
      <c r="M34" s="468"/>
      <c r="N34" s="480"/>
    </row>
    <row r="35" spans="1:14" ht="18" customHeight="1" thickTop="1" x14ac:dyDescent="0.2">
      <c r="A35" s="2135" t="s">
        <v>550</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300000</v>
      </c>
    </row>
    <row r="37" spans="1:14" ht="13.5" thickBot="1" x14ac:dyDescent="0.25">
      <c r="A37" s="1758" t="s">
        <v>674</v>
      </c>
      <c r="B37" s="1763"/>
      <c r="C37" s="477"/>
      <c r="D37" s="477"/>
      <c r="E37" s="477"/>
      <c r="F37" s="477"/>
      <c r="G37" s="477"/>
      <c r="H37" s="477"/>
      <c r="I37" s="477"/>
      <c r="J37" s="477"/>
      <c r="K37" s="477"/>
      <c r="L37" s="480"/>
      <c r="M37" s="468"/>
      <c r="N37" s="1710">
        <f>SUM(N36:N36)</f>
        <v>300000</v>
      </c>
    </row>
    <row r="38" spans="1:14" s="329" customFormat="1" ht="13.5" customHeight="1" thickTop="1" x14ac:dyDescent="0.2">
      <c r="A38" s="496" t="s">
        <v>440</v>
      </c>
      <c r="B38" s="483">
        <v>714</v>
      </c>
      <c r="C38" s="466">
        <v>197932</v>
      </c>
      <c r="D38" s="466">
        <v>691</v>
      </c>
      <c r="E38" s="466"/>
      <c r="F38" s="466"/>
      <c r="G38" s="466">
        <v>17631</v>
      </c>
      <c r="H38" s="466"/>
      <c r="I38" s="466"/>
      <c r="J38" s="467"/>
      <c r="K38" s="466"/>
      <c r="L38" s="481"/>
      <c r="M38" s="497"/>
      <c r="N38" s="497"/>
    </row>
    <row r="39" spans="1:14" s="329" customFormat="1" ht="13.5" customHeight="1" x14ac:dyDescent="0.2">
      <c r="A39" s="496" t="s">
        <v>360</v>
      </c>
      <c r="B39" s="483">
        <v>730</v>
      </c>
      <c r="C39" s="466">
        <v>354631</v>
      </c>
      <c r="D39" s="466">
        <v>67149</v>
      </c>
      <c r="E39" s="466">
        <v>69805</v>
      </c>
      <c r="F39" s="466">
        <v>52104</v>
      </c>
      <c r="G39" s="466"/>
      <c r="H39" s="466"/>
      <c r="I39" s="466">
        <v>195286</v>
      </c>
      <c r="J39" s="467">
        <v>59564</v>
      </c>
      <c r="K39" s="466">
        <v>3194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1054845</v>
      </c>
      <c r="N40" s="497"/>
    </row>
    <row r="41" spans="1:14" ht="13.5" customHeight="1" thickBot="1" x14ac:dyDescent="0.25">
      <c r="A41" s="1758" t="s">
        <v>676</v>
      </c>
      <c r="B41" s="1728"/>
      <c r="C41" s="1710">
        <f>(SUM(C34,C37,C38,C39))</f>
        <v>552563</v>
      </c>
      <c r="D41" s="1710">
        <f t="shared" ref="D41:L41" si="2">SUM(D34,D37,D38:D39)</f>
        <v>67840</v>
      </c>
      <c r="E41" s="1710">
        <f t="shared" si="2"/>
        <v>69805</v>
      </c>
      <c r="F41" s="1710">
        <f t="shared" si="2"/>
        <v>52104</v>
      </c>
      <c r="G41" s="1710">
        <f t="shared" si="2"/>
        <v>17631</v>
      </c>
      <c r="H41" s="1710">
        <f t="shared" si="2"/>
        <v>0</v>
      </c>
      <c r="I41" s="1710">
        <f t="shared" si="2"/>
        <v>195286</v>
      </c>
      <c r="J41" s="1710">
        <f t="shared" si="2"/>
        <v>59564</v>
      </c>
      <c r="K41" s="1710">
        <f t="shared" si="2"/>
        <v>3194</v>
      </c>
      <c r="L41" s="1710">
        <f t="shared" si="2"/>
        <v>344</v>
      </c>
      <c r="M41" s="1710">
        <f>SUM(M40)</f>
        <v>1054845</v>
      </c>
      <c r="N41" s="1710">
        <f>SUM(N37)</f>
        <v>300000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6"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1954" t="s">
        <v>1579</v>
      </c>
      <c r="B4" s="1955">
        <v>1000</v>
      </c>
      <c r="C4" s="1764">
        <f>'Revenues 9-14'!C109</f>
        <v>1013719</v>
      </c>
      <c r="D4" s="1764">
        <f>'Revenues 9-14'!D109</f>
        <v>136835</v>
      </c>
      <c r="E4" s="1764">
        <f>'Revenues 9-14'!E109</f>
        <v>105961</v>
      </c>
      <c r="F4" s="1764">
        <f>'Revenues 9-14'!F109</f>
        <v>65407</v>
      </c>
      <c r="G4" s="1764">
        <f>'Revenues 9-14'!G109</f>
        <v>33112</v>
      </c>
      <c r="H4" s="1764">
        <f>'Revenues 9-14'!H109</f>
        <v>0</v>
      </c>
      <c r="I4" s="1764">
        <f>'Revenues 9-14'!I109</f>
        <v>27544</v>
      </c>
      <c r="J4" s="1764">
        <f>'Revenues 9-14'!J109</f>
        <v>44260</v>
      </c>
      <c r="K4" s="1764">
        <f>'Revenues 9-14'!K109</f>
        <v>27238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96070</v>
      </c>
      <c r="D6" s="1765">
        <f>'Revenues 9-14'!D173</f>
        <v>0</v>
      </c>
      <c r="E6" s="1765">
        <f>'Revenues 9-14'!E173</f>
        <v>0</v>
      </c>
      <c r="F6" s="1765">
        <f>'Revenues 9-14'!F173</f>
        <v>74029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95778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1205567</v>
      </c>
      <c r="D8" s="1710">
        <f t="shared" ref="D8:K8" si="0">SUM(D4:D7)</f>
        <v>136835</v>
      </c>
      <c r="E8" s="1710">
        <f t="shared" si="0"/>
        <v>105961</v>
      </c>
      <c r="F8" s="1710">
        <f t="shared" si="0"/>
        <v>139436</v>
      </c>
      <c r="G8" s="1710">
        <f t="shared" si="0"/>
        <v>33112</v>
      </c>
      <c r="H8" s="1710">
        <f t="shared" si="0"/>
        <v>0</v>
      </c>
      <c r="I8" s="1710">
        <f t="shared" si="0"/>
        <v>27544</v>
      </c>
      <c r="J8" s="1710">
        <f t="shared" si="0"/>
        <v>44260</v>
      </c>
      <c r="K8" s="1710">
        <f t="shared" si="0"/>
        <v>27238</v>
      </c>
      <c r="L8" s="347"/>
    </row>
    <row r="9" spans="1:13" ht="15.75" thickTop="1" x14ac:dyDescent="0.2">
      <c r="A9" s="514" t="s">
        <v>1752</v>
      </c>
      <c r="B9" s="515">
        <v>3998</v>
      </c>
      <c r="C9" s="481">
        <v>88359</v>
      </c>
      <c r="D9" s="516"/>
      <c r="E9" s="481"/>
      <c r="F9" s="481"/>
      <c r="G9" s="517"/>
      <c r="H9" s="481"/>
      <c r="I9" s="509" t="s">
        <v>1231</v>
      </c>
      <c r="J9" s="478"/>
      <c r="K9" s="481"/>
      <c r="L9" s="347"/>
    </row>
    <row r="10" spans="1:13" s="519" customFormat="1" ht="13.5" thickBot="1" x14ac:dyDescent="0.25">
      <c r="A10" s="1758" t="s">
        <v>1235</v>
      </c>
      <c r="B10" s="1731"/>
      <c r="C10" s="1710">
        <f>SUM(C8:C9)</f>
        <v>1293926</v>
      </c>
      <c r="D10" s="1710">
        <f t="shared" ref="D10:K10" si="1">SUM(D8:D9)</f>
        <v>136835</v>
      </c>
      <c r="E10" s="1710">
        <f t="shared" si="1"/>
        <v>105961</v>
      </c>
      <c r="F10" s="1710">
        <f t="shared" si="1"/>
        <v>139436</v>
      </c>
      <c r="G10" s="1710">
        <f t="shared" si="1"/>
        <v>33112</v>
      </c>
      <c r="H10" s="1710">
        <f t="shared" si="1"/>
        <v>0</v>
      </c>
      <c r="I10" s="1710">
        <f t="shared" si="1"/>
        <v>27544</v>
      </c>
      <c r="J10" s="1710">
        <f t="shared" si="1"/>
        <v>44260</v>
      </c>
      <c r="K10" s="1710">
        <f t="shared" si="1"/>
        <v>27238</v>
      </c>
      <c r="L10" s="518"/>
    </row>
    <row r="11" spans="1:13" s="519" customFormat="1" ht="16.7" customHeight="1" thickTop="1" x14ac:dyDescent="0.2">
      <c r="A11" s="2131" t="s">
        <v>1238</v>
      </c>
      <c r="B11" s="2132"/>
      <c r="C11" s="1592"/>
      <c r="D11" s="1593"/>
      <c r="E11" s="1593"/>
      <c r="F11" s="1593"/>
      <c r="G11" s="1593"/>
      <c r="H11" s="1593"/>
      <c r="I11" s="1593"/>
      <c r="J11" s="1593"/>
      <c r="K11" s="1594"/>
      <c r="L11" s="518"/>
    </row>
    <row r="12" spans="1:13" ht="15.75" customHeight="1" x14ac:dyDescent="0.2">
      <c r="A12" s="1598" t="s">
        <v>476</v>
      </c>
      <c r="B12" s="1600">
        <v>1000</v>
      </c>
      <c r="C12" s="1764">
        <f>'Expenditures 15-22'!K33</f>
        <v>916186</v>
      </c>
      <c r="D12" s="520" t="s">
        <v>1231</v>
      </c>
      <c r="E12" s="468" t="s">
        <v>1231</v>
      </c>
      <c r="F12" s="468" t="s">
        <v>1231</v>
      </c>
      <c r="G12" s="1764">
        <f>'Expenditures 15-22'!K229</f>
        <v>14539</v>
      </c>
      <c r="H12" s="521"/>
      <c r="I12" s="468" t="s">
        <v>1231</v>
      </c>
      <c r="J12" s="468" t="s">
        <v>1231</v>
      </c>
      <c r="K12" s="521" t="s">
        <v>1231</v>
      </c>
      <c r="L12" s="347"/>
    </row>
    <row r="13" spans="1:13" ht="15.75" customHeight="1" x14ac:dyDescent="0.2">
      <c r="A13" s="1598" t="s">
        <v>477</v>
      </c>
      <c r="B13" s="1600">
        <v>2000</v>
      </c>
      <c r="C13" s="1765">
        <f>'Expenditures 15-22'!K74</f>
        <v>327267</v>
      </c>
      <c r="D13" s="1765">
        <f>'Expenditures 15-22'!K129</f>
        <v>396265</v>
      </c>
      <c r="E13" s="469" t="s">
        <v>1231</v>
      </c>
      <c r="F13" s="1765">
        <f>'Expenditures 15-22'!K184</f>
        <v>150449</v>
      </c>
      <c r="G13" s="1765">
        <f>'Expenditures 15-22'!K279</f>
        <v>21434</v>
      </c>
      <c r="H13" s="1765">
        <f>'Expenditures 15-22'!K303</f>
        <v>0</v>
      </c>
      <c r="I13" s="468" t="s">
        <v>1231</v>
      </c>
      <c r="J13" s="1765">
        <f>'Expenditures 15-22'!K330</f>
        <v>49075</v>
      </c>
      <c r="K13" s="1769">
        <f>'Expenditures 15-22'!K352</f>
        <v>26409</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24572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106314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1268025</v>
      </c>
      <c r="D17" s="1710">
        <f t="shared" si="2"/>
        <v>396265</v>
      </c>
      <c r="E17" s="1710">
        <f t="shared" si="2"/>
        <v>106314</v>
      </c>
      <c r="F17" s="1710">
        <f t="shared" si="2"/>
        <v>150449</v>
      </c>
      <c r="G17" s="1710">
        <f t="shared" si="2"/>
        <v>35973</v>
      </c>
      <c r="H17" s="1710">
        <f t="shared" si="2"/>
        <v>0</v>
      </c>
      <c r="I17" s="468"/>
      <c r="J17" s="1710">
        <f>SUM(J12:J16)</f>
        <v>49075</v>
      </c>
      <c r="K17" s="1710">
        <f>SUM(K12:K16)</f>
        <v>26409</v>
      </c>
      <c r="L17" s="347"/>
    </row>
    <row r="18" spans="1:12" ht="15" customHeight="1" thickTop="1" x14ac:dyDescent="0.2">
      <c r="A18" s="1766" t="s">
        <v>1753</v>
      </c>
      <c r="B18" s="1767">
        <v>4180</v>
      </c>
      <c r="C18" s="1764">
        <f t="shared" ref="C18:H18" si="3">C9</f>
        <v>88359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1356384</v>
      </c>
      <c r="D19" s="1710">
        <f t="shared" si="4"/>
        <v>396265</v>
      </c>
      <c r="E19" s="1710">
        <f t="shared" si="4"/>
        <v>106314</v>
      </c>
      <c r="F19" s="1710">
        <f t="shared" si="4"/>
        <v>150449</v>
      </c>
      <c r="G19" s="1710">
        <f t="shared" si="4"/>
        <v>35973</v>
      </c>
      <c r="H19" s="1710">
        <f t="shared" si="4"/>
        <v>0</v>
      </c>
      <c r="I19" s="468"/>
      <c r="J19" s="1710">
        <f>SUM(J17:J18)</f>
        <v>49075</v>
      </c>
      <c r="K19" s="1710">
        <f>SUM(K17:K18)</f>
        <v>26409</v>
      </c>
      <c r="L19" s="347"/>
    </row>
    <row r="20" spans="1:12" ht="16.5" thickTop="1" thickBot="1" x14ac:dyDescent="0.25">
      <c r="A20" s="2147" t="s">
        <v>1754</v>
      </c>
      <c r="B20" s="2148"/>
      <c r="C20" s="1768">
        <f>C8-C17</f>
        <v>-62458</v>
      </c>
      <c r="D20" s="1768">
        <f t="shared" ref="D20:K20" si="5">D8-D17</f>
        <v>-259430</v>
      </c>
      <c r="E20" s="1768">
        <f t="shared" si="5"/>
        <v>-353</v>
      </c>
      <c r="F20" s="1768">
        <f t="shared" si="5"/>
        <v>-11013</v>
      </c>
      <c r="G20" s="1768">
        <f t="shared" si="5"/>
        <v>-2861</v>
      </c>
      <c r="H20" s="1768">
        <f t="shared" si="5"/>
        <v>0</v>
      </c>
      <c r="I20" s="1768">
        <f t="shared" si="5"/>
        <v>27544</v>
      </c>
      <c r="J20" s="1768">
        <f t="shared" si="5"/>
        <v>-4815</v>
      </c>
      <c r="K20" s="1768">
        <f t="shared" si="5"/>
        <v>829</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279765</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50000</v>
      </c>
      <c r="E27" s="526"/>
      <c r="F27" s="467">
        <v>50000</v>
      </c>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300000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5">
        <f>SUM(C24:C43)</f>
        <v>279765</v>
      </c>
      <c r="D44" s="1725">
        <f t="shared" ref="D44:K44" si="6">SUM(D24:D43)</f>
        <v>50000</v>
      </c>
      <c r="E44" s="1725">
        <f t="shared" si="6"/>
        <v>0</v>
      </c>
      <c r="F44" s="1725">
        <f t="shared" si="6"/>
        <v>50000</v>
      </c>
      <c r="G44" s="1725">
        <f t="shared" si="6"/>
        <v>0</v>
      </c>
      <c r="H44" s="1725">
        <f t="shared" si="6"/>
        <v>0</v>
      </c>
      <c r="I44" s="1725">
        <f t="shared" si="6"/>
        <v>300000</v>
      </c>
      <c r="J44" s="1725">
        <f t="shared" si="6"/>
        <v>0</v>
      </c>
      <c r="K44" s="1725">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279765</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100000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20235</v>
      </c>
      <c r="J75" s="530"/>
      <c r="K75" s="532"/>
      <c r="L75" s="524"/>
    </row>
    <row r="76" spans="1:12" s="485" customFormat="1" ht="14.25" thickTop="1" thickBot="1" x14ac:dyDescent="0.25">
      <c r="A76" s="2137" t="s">
        <v>460</v>
      </c>
      <c r="B76" s="2138"/>
      <c r="C76" s="1725">
        <f t="shared" ref="C76:K76" si="7">SUM(C47:C75)</f>
        <v>100000</v>
      </c>
      <c r="D76" s="1725">
        <f t="shared" si="7"/>
        <v>0</v>
      </c>
      <c r="E76" s="1725">
        <f t="shared" si="7"/>
        <v>0</v>
      </c>
      <c r="F76" s="1725">
        <f t="shared" si="7"/>
        <v>0</v>
      </c>
      <c r="G76" s="1725">
        <f t="shared" si="7"/>
        <v>0</v>
      </c>
      <c r="H76" s="1725">
        <f t="shared" si="7"/>
        <v>0</v>
      </c>
      <c r="I76" s="1725">
        <f t="shared" si="7"/>
        <v>300000</v>
      </c>
      <c r="J76" s="1725">
        <f t="shared" si="7"/>
        <v>0</v>
      </c>
      <c r="K76" s="1725">
        <f t="shared" si="7"/>
        <v>0</v>
      </c>
      <c r="L76" s="524"/>
    </row>
    <row r="77" spans="1:12" ht="14.25" thickTop="1" thickBot="1" x14ac:dyDescent="0.25">
      <c r="A77" s="2139" t="s">
        <v>1239</v>
      </c>
      <c r="B77" s="2140"/>
      <c r="C77" s="1725">
        <f t="shared" ref="C77:K77" si="8">C44-C76</f>
        <v>179765</v>
      </c>
      <c r="D77" s="1725">
        <f t="shared" si="8"/>
        <v>50000</v>
      </c>
      <c r="E77" s="1725">
        <f t="shared" si="8"/>
        <v>0</v>
      </c>
      <c r="F77" s="1725">
        <f t="shared" si="8"/>
        <v>50000</v>
      </c>
      <c r="G77" s="1725">
        <f t="shared" si="8"/>
        <v>0</v>
      </c>
      <c r="H77" s="1725">
        <f t="shared" si="8"/>
        <v>0</v>
      </c>
      <c r="I77" s="1725">
        <f t="shared" si="8"/>
        <v>0</v>
      </c>
      <c r="J77" s="1725">
        <f t="shared" si="8"/>
        <v>0</v>
      </c>
      <c r="K77" s="1725">
        <f t="shared" si="8"/>
        <v>0</v>
      </c>
      <c r="L77" s="347"/>
    </row>
    <row r="78" spans="1:12" ht="21.75" customHeight="1" thickTop="1" thickBot="1" x14ac:dyDescent="0.25">
      <c r="A78" s="2143" t="s">
        <v>618</v>
      </c>
      <c r="B78" s="2144"/>
      <c r="C78" s="1724">
        <f t="shared" ref="C78:K78" si="9">C20+C77</f>
        <v>117307</v>
      </c>
      <c r="D78" s="1724">
        <f t="shared" si="9"/>
        <v>-209430</v>
      </c>
      <c r="E78" s="1724">
        <f t="shared" si="9"/>
        <v>-353</v>
      </c>
      <c r="F78" s="1724">
        <f t="shared" si="9"/>
        <v>38987</v>
      </c>
      <c r="G78" s="1724">
        <f t="shared" si="9"/>
        <v>-2861</v>
      </c>
      <c r="H78" s="1724">
        <f t="shared" si="9"/>
        <v>0</v>
      </c>
      <c r="I78" s="1724">
        <f t="shared" si="9"/>
        <v>27544</v>
      </c>
      <c r="J78" s="1724">
        <f t="shared" si="9"/>
        <v>-4815</v>
      </c>
      <c r="K78" s="1724">
        <f t="shared" si="9"/>
        <v>829</v>
      </c>
      <c r="L78" s="533"/>
    </row>
    <row r="79" spans="1:12" ht="13.5" thickTop="1" x14ac:dyDescent="0.2">
      <c r="A79" s="1516" t="s">
        <v>2071</v>
      </c>
      <c r="B79" s="534"/>
      <c r="C79" s="478">
        <v>435256</v>
      </c>
      <c r="D79" s="535">
        <v>277270</v>
      </c>
      <c r="E79" s="535">
        <v>70158</v>
      </c>
      <c r="F79" s="535">
        <v>13117</v>
      </c>
      <c r="G79" s="535">
        <v>20492</v>
      </c>
      <c r="H79" s="535"/>
      <c r="I79" s="535">
        <v>167742</v>
      </c>
      <c r="J79" s="535">
        <v>64379</v>
      </c>
      <c r="K79" s="535">
        <v>2365</v>
      </c>
      <c r="L79" s="347"/>
    </row>
    <row r="80" spans="1:12" x14ac:dyDescent="0.2">
      <c r="A80" s="2149" t="s">
        <v>1898</v>
      </c>
      <c r="B80" s="2150"/>
      <c r="C80" s="467"/>
      <c r="D80" s="467"/>
      <c r="E80" s="467"/>
      <c r="F80" s="467"/>
      <c r="G80" s="467"/>
      <c r="H80" s="467"/>
      <c r="I80" s="467"/>
      <c r="J80" s="467"/>
      <c r="K80" s="467"/>
      <c r="L80" s="347"/>
    </row>
    <row r="81" spans="1:12" ht="13.5" thickBot="1" x14ac:dyDescent="0.25">
      <c r="A81" s="2141" t="s">
        <v>2072</v>
      </c>
      <c r="B81" s="2142"/>
      <c r="C81" s="1710">
        <f>(SUM(C78:C80))</f>
        <v>552563</v>
      </c>
      <c r="D81" s="1710">
        <f>SUM(D78:D80)</f>
        <v>67840</v>
      </c>
      <c r="E81" s="1710">
        <f t="shared" ref="E81:K81" si="10">SUM(E78:E80)</f>
        <v>69805</v>
      </c>
      <c r="F81" s="1710">
        <f t="shared" si="10"/>
        <v>52104</v>
      </c>
      <c r="G81" s="1710">
        <f t="shared" si="10"/>
        <v>17631</v>
      </c>
      <c r="H81" s="1710">
        <f t="shared" si="10"/>
        <v>0</v>
      </c>
      <c r="I81" s="1710">
        <f t="shared" si="10"/>
        <v>195286</v>
      </c>
      <c r="J81" s="1710">
        <f t="shared" si="10"/>
        <v>59564</v>
      </c>
      <c r="K81" s="1710">
        <f t="shared" si="10"/>
        <v>3194</v>
      </c>
      <c r="L81" s="347"/>
    </row>
    <row r="82" spans="1:12" ht="0.75" customHeight="1" thickTop="1" thickBot="1" x14ac:dyDescent="0.25">
      <c r="A82" s="536" t="s">
        <v>361</v>
      </c>
      <c r="B82" s="537"/>
      <c r="C82" s="538">
        <f>(C81-C79)</f>
        <v>117307</v>
      </c>
      <c r="D82" s="538">
        <f t="shared" ref="D82:K82" si="11">(D81-D79)</f>
        <v>-209430</v>
      </c>
      <c r="E82" s="538">
        <f t="shared" si="11"/>
        <v>-353</v>
      </c>
      <c r="F82" s="538">
        <f t="shared" si="11"/>
        <v>38987</v>
      </c>
      <c r="G82" s="538">
        <f t="shared" si="11"/>
        <v>-2861</v>
      </c>
      <c r="H82" s="538">
        <f t="shared" si="11"/>
        <v>0</v>
      </c>
      <c r="I82" s="538">
        <f t="shared" si="11"/>
        <v>27544</v>
      </c>
      <c r="J82" s="538">
        <f t="shared" si="11"/>
        <v>-4815</v>
      </c>
      <c r="K82" s="538">
        <f t="shared" si="11"/>
        <v>829</v>
      </c>
    </row>
    <row r="83" spans="1:12" ht="14.25" hidden="1" thickTop="1" thickBot="1" x14ac:dyDescent="0.25">
      <c r="A83" s="539" t="s">
        <v>362</v>
      </c>
      <c r="B83" s="464"/>
      <c r="C83" s="540">
        <f>C82/C81</f>
        <v>0.21229615446564465</v>
      </c>
      <c r="D83" s="540">
        <f t="shared" ref="D83:K83" si="12">D82/D81</f>
        <v>-3.0871167452830188</v>
      </c>
      <c r="E83" s="540">
        <f t="shared" si="12"/>
        <v>-5.0569443449609624E-3</v>
      </c>
      <c r="F83" s="540">
        <f t="shared" si="12"/>
        <v>0.74825349301397204</v>
      </c>
      <c r="G83" s="540">
        <f t="shared" si="12"/>
        <v>-0.16227099994328173</v>
      </c>
      <c r="H83" s="540" t="e">
        <f t="shared" si="12"/>
        <v>#DIV/0!</v>
      </c>
      <c r="I83" s="540">
        <f t="shared" si="12"/>
        <v>0.14104441690648586</v>
      </c>
      <c r="J83" s="540">
        <f t="shared" si="12"/>
        <v>-8.083741857497817E-2</v>
      </c>
      <c r="K83" s="540">
        <f t="shared" si="12"/>
        <v>0.2595491546649969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1905</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772924</v>
      </c>
      <c r="D5" s="481">
        <v>136364</v>
      </c>
      <c r="E5" s="466">
        <v>105709</v>
      </c>
      <c r="F5" s="548">
        <v>65317</v>
      </c>
      <c r="G5" s="466">
        <v>18484</v>
      </c>
      <c r="H5" s="466"/>
      <c r="I5" s="466">
        <v>27216</v>
      </c>
      <c r="J5" s="467">
        <v>37581</v>
      </c>
      <c r="K5" s="466">
        <v>27215</v>
      </c>
    </row>
    <row r="6" spans="1:12" ht="15" x14ac:dyDescent="0.2">
      <c r="A6" s="463" t="s">
        <v>1761</v>
      </c>
      <c r="B6" s="470">
        <v>1130</v>
      </c>
      <c r="C6" s="466">
        <v>26659</v>
      </c>
      <c r="D6" s="466"/>
      <c r="E6" s="475"/>
      <c r="F6" s="475"/>
      <c r="G6" s="468"/>
      <c r="H6" s="468"/>
      <c r="I6" s="468"/>
      <c r="J6" s="468"/>
      <c r="K6" s="468"/>
    </row>
    <row r="7" spans="1:12" x14ac:dyDescent="0.2">
      <c r="A7" s="463" t="s">
        <v>112</v>
      </c>
      <c r="B7" s="549">
        <v>1140</v>
      </c>
      <c r="C7" s="466">
        <v>10886</v>
      </c>
      <c r="D7" s="466"/>
      <c r="E7" s="468"/>
      <c r="F7" s="467"/>
      <c r="G7" s="467">
        <v>14545</v>
      </c>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810469</v>
      </c>
      <c r="D12" s="1729">
        <f t="shared" si="0"/>
        <v>136364</v>
      </c>
      <c r="E12" s="1729">
        <f t="shared" si="0"/>
        <v>105709</v>
      </c>
      <c r="F12" s="1729">
        <f t="shared" si="0"/>
        <v>65317</v>
      </c>
      <c r="G12" s="1729">
        <f t="shared" si="0"/>
        <v>33029</v>
      </c>
      <c r="H12" s="1729">
        <f t="shared" si="0"/>
        <v>0</v>
      </c>
      <c r="I12" s="1729">
        <f t="shared" si="0"/>
        <v>27216</v>
      </c>
      <c r="J12" s="1729">
        <f t="shared" si="0"/>
        <v>37581</v>
      </c>
      <c r="K12" s="1710">
        <f t="shared" si="0"/>
        <v>27215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58858</v>
      </c>
      <c r="D16" s="466"/>
      <c r="E16" s="466"/>
      <c r="F16" s="466"/>
      <c r="G16" s="466"/>
      <c r="H16" s="466"/>
      <c r="I16" s="466"/>
      <c r="J16" s="467"/>
      <c r="K16" s="466"/>
    </row>
    <row r="17" spans="1:11" ht="12.75" customHeight="1" x14ac:dyDescent="0.2">
      <c r="A17" s="463" t="s">
        <v>840</v>
      </c>
      <c r="B17" s="470">
        <v>1290</v>
      </c>
      <c r="C17" s="551">
        <v>4091</v>
      </c>
      <c r="D17" s="466"/>
      <c r="E17" s="466"/>
      <c r="F17" s="466"/>
      <c r="G17" s="466"/>
      <c r="H17" s="466"/>
      <c r="I17" s="466"/>
      <c r="J17" s="467"/>
      <c r="K17" s="466"/>
    </row>
    <row r="18" spans="1:11" ht="12.75" customHeight="1" thickBot="1" x14ac:dyDescent="0.25">
      <c r="A18" s="1730" t="s">
        <v>558</v>
      </c>
      <c r="B18" s="1731"/>
      <c r="C18" s="1732">
        <f>SUM(C14:C17)</f>
        <v>62949</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3893</v>
      </c>
      <c r="D65" s="466">
        <v>389</v>
      </c>
      <c r="E65" s="466">
        <v>252</v>
      </c>
      <c r="F65" s="467">
        <v>90</v>
      </c>
      <c r="G65" s="466">
        <v>83</v>
      </c>
      <c r="H65" s="466"/>
      <c r="I65" s="466">
        <v>328</v>
      </c>
      <c r="J65" s="467">
        <v>286</v>
      </c>
      <c r="K65" s="466">
        <v>23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3893</v>
      </c>
      <c r="D67" s="1710">
        <f t="shared" ref="D67:K67" si="2">SUM(D65:D66)</f>
        <v>389</v>
      </c>
      <c r="E67" s="1710">
        <f t="shared" si="2"/>
        <v>252</v>
      </c>
      <c r="F67" s="1710">
        <f t="shared" si="2"/>
        <v>90</v>
      </c>
      <c r="G67" s="1710">
        <f t="shared" si="2"/>
        <v>83</v>
      </c>
      <c r="H67" s="1710">
        <f t="shared" si="2"/>
        <v>0</v>
      </c>
      <c r="I67" s="1710">
        <f t="shared" si="2"/>
        <v>328</v>
      </c>
      <c r="J67" s="1710">
        <f t="shared" si="2"/>
        <v>286</v>
      </c>
      <c r="K67" s="1710">
        <f t="shared" si="2"/>
        <v>23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17478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763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18241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2210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1514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3724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5806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5806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75024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25555</v>
      </c>
      <c r="D99" s="466"/>
      <c r="E99" s="466"/>
      <c r="F99" s="466"/>
      <c r="G99" s="466"/>
      <c r="H99" s="466"/>
      <c r="I99" s="468"/>
      <c r="J99" s="467">
        <v>6393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8058</v>
      </c>
      <c r="D107" s="466">
        <v>82</v>
      </c>
      <c r="E107" s="466"/>
      <c r="F107" s="466"/>
      <c r="G107" s="466"/>
      <c r="H107" s="466"/>
      <c r="I107" s="466"/>
      <c r="J107" s="467"/>
      <c r="K107" s="466"/>
    </row>
    <row r="108" spans="1:12" ht="12.75" customHeight="1" thickBot="1" x14ac:dyDescent="0.25">
      <c r="A108" s="1730" t="s">
        <v>508</v>
      </c>
      <c r="B108" s="1734"/>
      <c r="C108" s="1729">
        <f>SUM(C95:C107)</f>
        <v>108637</v>
      </c>
      <c r="D108" s="1729">
        <f t="shared" ref="D108:K108" si="3">SUM(D95:D107)</f>
        <v>82</v>
      </c>
      <c r="E108" s="1729">
        <f t="shared" si="3"/>
        <v>0</v>
      </c>
      <c r="F108" s="1729">
        <f t="shared" si="3"/>
        <v>0</v>
      </c>
      <c r="G108" s="1729">
        <f t="shared" si="3"/>
        <v>0</v>
      </c>
      <c r="H108" s="1729">
        <f t="shared" si="3"/>
        <v>0</v>
      </c>
      <c r="I108" s="1729">
        <f t="shared" si="3"/>
        <v>0</v>
      </c>
      <c r="J108" s="1729">
        <f t="shared" si="3"/>
        <v>6393</v>
      </c>
      <c r="K108" s="1710">
        <f t="shared" si="3"/>
        <v>0</v>
      </c>
    </row>
    <row r="109" spans="1:12" ht="14.25" thickTop="1" thickBot="1" x14ac:dyDescent="0.25">
      <c r="A109" s="1735" t="s">
        <v>266</v>
      </c>
      <c r="B109" s="1736" t="s">
        <v>591</v>
      </c>
      <c r="C109" s="1737">
        <f t="shared" ref="C109:K109" si="4">SUM(C12,C18,C40,C63,C67,C75,C82,C93,C108,)</f>
        <v>1013719</v>
      </c>
      <c r="D109" s="1737">
        <f t="shared" si="4"/>
        <v>136835</v>
      </c>
      <c r="E109" s="1737">
        <f t="shared" si="4"/>
        <v>105961</v>
      </c>
      <c r="F109" s="1737">
        <f t="shared" si="4"/>
        <v>65407</v>
      </c>
      <c r="G109" s="1737">
        <f t="shared" si="4"/>
        <v>33112</v>
      </c>
      <c r="H109" s="1737">
        <f t="shared" si="4"/>
        <v>0</v>
      </c>
      <c r="I109" s="1737">
        <f t="shared" si="4"/>
        <v>27544</v>
      </c>
      <c r="J109" s="1737">
        <f t="shared" si="4"/>
        <v>44260</v>
      </c>
      <c r="K109" s="1724">
        <f t="shared" si="4"/>
        <v>27238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62376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62376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18161</v>
      </c>
      <c r="D124" s="561"/>
      <c r="E124" s="468"/>
      <c r="F124" s="548"/>
      <c r="G124" s="468"/>
      <c r="H124" s="468"/>
      <c r="I124" s="468"/>
      <c r="J124" s="468"/>
      <c r="K124" s="468"/>
    </row>
    <row r="125" spans="1:11" ht="12.75" customHeight="1" x14ac:dyDescent="0.2">
      <c r="A125" s="463" t="s">
        <v>1521</v>
      </c>
      <c r="B125" s="562">
        <v>3105</v>
      </c>
      <c r="C125" s="466">
        <v>6449</v>
      </c>
      <c r="D125" s="561"/>
      <c r="E125" s="468"/>
      <c r="F125" s="466"/>
      <c r="G125" s="468"/>
      <c r="H125" s="468"/>
      <c r="I125" s="468"/>
      <c r="J125" s="468"/>
      <c r="K125" s="468"/>
    </row>
    <row r="126" spans="1:11" ht="12.75" customHeight="1" x14ac:dyDescent="0.2">
      <c r="A126" s="463" t="s">
        <v>922</v>
      </c>
      <c r="B126" s="562">
        <v>3110</v>
      </c>
      <c r="C126" s="551">
        <v>8768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33378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316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37197</v>
      </c>
      <c r="G151" s="467"/>
      <c r="H151" s="468"/>
      <c r="I151" s="468"/>
      <c r="J151" s="468"/>
      <c r="K151" s="468"/>
    </row>
    <row r="152" spans="1:11" ht="12.75" customHeight="1" x14ac:dyDescent="0.2">
      <c r="A152" s="463" t="s">
        <v>1117</v>
      </c>
      <c r="B152" s="562">
        <v>3510</v>
      </c>
      <c r="C152" s="551"/>
      <c r="D152" s="466"/>
      <c r="E152" s="561"/>
      <c r="F152" s="466">
        <v>36832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74029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5" t="s">
        <v>418</v>
      </c>
      <c r="B172" s="2166"/>
      <c r="C172" s="1744">
        <f t="shared" ref="C172:K172" si="6">SUM(C131,C140,C144,C145:C149,C154,C155:C170,C171)</f>
        <v>33694</v>
      </c>
      <c r="D172" s="1744">
        <f t="shared" si="6"/>
        <v>0</v>
      </c>
      <c r="E172" s="1744">
        <f t="shared" si="6"/>
        <v>0</v>
      </c>
      <c r="F172" s="1744">
        <f t="shared" si="6"/>
        <v>74029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96070</v>
      </c>
      <c r="D173" s="1737">
        <f>SUM(D121,D172)</f>
        <v>0</v>
      </c>
      <c r="E173" s="1737">
        <f>SUM(E121,E172)</f>
        <v>0</v>
      </c>
      <c r="F173" s="1737">
        <f t="shared" ref="F173:K173" si="7">SUM(F121,F172)</f>
        <v>74029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3" t="s">
        <v>818</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1906</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7574</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7574</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15514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5361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20875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48405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48405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8514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8514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7250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3160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95778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95778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1205567</v>
      </c>
      <c r="D275" s="1737">
        <f t="shared" si="12"/>
        <v>136835</v>
      </c>
      <c r="E275" s="1737">
        <f t="shared" si="12"/>
        <v>105961</v>
      </c>
      <c r="F275" s="1737">
        <f t="shared" si="12"/>
        <v>139436</v>
      </c>
      <c r="G275" s="1737">
        <f t="shared" si="12"/>
        <v>33112</v>
      </c>
      <c r="H275" s="1737">
        <f t="shared" si="12"/>
        <v>0</v>
      </c>
      <c r="I275" s="1737">
        <f t="shared" si="12"/>
        <v>27544</v>
      </c>
      <c r="J275" s="1737">
        <f t="shared" si="12"/>
        <v>44260</v>
      </c>
      <c r="K275" s="1724">
        <f t="shared" si="12"/>
        <v>27238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4" activePane="bottomLeft" state="frozen"/>
      <selection activeCell="A47" sqref="A47"/>
      <selection pane="bottomLeft" activeCell="C83" sqref="C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581387</v>
      </c>
      <c r="D5" s="466">
        <v>49882</v>
      </c>
      <c r="E5" s="466">
        <v>50627</v>
      </c>
      <c r="F5" s="466">
        <v>29796</v>
      </c>
      <c r="G5" s="466">
        <v>549</v>
      </c>
      <c r="H5" s="466">
        <v>1505</v>
      </c>
      <c r="I5" s="467"/>
      <c r="J5" s="467"/>
      <c r="K5" s="1693">
        <f>SUM(C5:J5)</f>
        <v>713746</v>
      </c>
      <c r="L5" s="466">
        <v>738268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60451</v>
      </c>
      <c r="D8" s="466">
        <v>15582</v>
      </c>
      <c r="E8" s="466">
        <v>16790</v>
      </c>
      <c r="F8" s="466">
        <v>723</v>
      </c>
      <c r="G8" s="466"/>
      <c r="H8" s="466">
        <v>49139</v>
      </c>
      <c r="I8" s="467"/>
      <c r="J8" s="467"/>
      <c r="K8" s="1693">
        <f t="shared" si="0"/>
        <v>142685</v>
      </c>
      <c r="L8" s="466">
        <v>60725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v>343</v>
      </c>
      <c r="F10" s="466"/>
      <c r="G10" s="466"/>
      <c r="H10" s="466"/>
      <c r="I10" s="467"/>
      <c r="J10" s="467"/>
      <c r="K10" s="1693">
        <f t="shared" si="0"/>
        <v>343</v>
      </c>
      <c r="L10" s="466">
        <v>25883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1705</v>
      </c>
      <c r="D14" s="466">
        <v>25</v>
      </c>
      <c r="E14" s="466">
        <v>2861</v>
      </c>
      <c r="F14" s="466">
        <v>4990</v>
      </c>
      <c r="G14" s="466"/>
      <c r="H14" s="466">
        <v>4496</v>
      </c>
      <c r="I14" s="467"/>
      <c r="J14" s="467"/>
      <c r="K14" s="1693">
        <f t="shared" si="0"/>
        <v>14077</v>
      </c>
      <c r="L14" s="466">
        <v>15094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45335</v>
      </c>
      <c r="I22" s="617"/>
      <c r="J22" s="477"/>
      <c r="K22" s="1693">
        <f t="shared" si="0"/>
        <v>45335</v>
      </c>
      <c r="L22" s="471">
        <v>70000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643543</v>
      </c>
      <c r="D33" s="1692">
        <f t="shared" ref="D33:L33" si="1">SUM(D5:D32)</f>
        <v>65489</v>
      </c>
      <c r="E33" s="1692">
        <f t="shared" si="1"/>
        <v>70621</v>
      </c>
      <c r="F33" s="1692">
        <f t="shared" si="1"/>
        <v>35509</v>
      </c>
      <c r="G33" s="1692">
        <f t="shared" si="1"/>
        <v>549</v>
      </c>
      <c r="H33" s="1692">
        <f t="shared" si="1"/>
        <v>100475</v>
      </c>
      <c r="I33" s="1692">
        <f t="shared" si="1"/>
        <v>0</v>
      </c>
      <c r="J33" s="1692">
        <f t="shared" si="1"/>
        <v>0</v>
      </c>
      <c r="K33" s="1692">
        <f t="shared" si="1"/>
        <v>916186</v>
      </c>
      <c r="L33" s="1692">
        <f t="shared" si="1"/>
        <v>909970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6983</v>
      </c>
      <c r="F37" s="466"/>
      <c r="G37" s="466"/>
      <c r="H37" s="466"/>
      <c r="I37" s="467"/>
      <c r="J37" s="467"/>
      <c r="K37" s="1693">
        <f t="shared" si="2"/>
        <v>6983</v>
      </c>
      <c r="L37" s="466">
        <v>12000</v>
      </c>
    </row>
    <row r="38" spans="1:14" x14ac:dyDescent="0.2">
      <c r="A38" s="1526" t="s">
        <v>207</v>
      </c>
      <c r="B38" s="615">
        <v>2130</v>
      </c>
      <c r="C38" s="466"/>
      <c r="D38" s="466"/>
      <c r="E38" s="466">
        <v>1372</v>
      </c>
      <c r="F38" s="466"/>
      <c r="G38" s="466"/>
      <c r="H38" s="466"/>
      <c r="I38" s="467"/>
      <c r="J38" s="467"/>
      <c r="K38" s="1693">
        <f t="shared" si="2"/>
        <v>1372</v>
      </c>
      <c r="L38" s="466">
        <v>4500</v>
      </c>
    </row>
    <row r="39" spans="1:14" x14ac:dyDescent="0.2">
      <c r="A39" s="1526" t="s">
        <v>208</v>
      </c>
      <c r="B39" s="615">
        <v>2140</v>
      </c>
      <c r="C39" s="466"/>
      <c r="D39" s="466"/>
      <c r="E39" s="466"/>
      <c r="F39" s="466"/>
      <c r="G39" s="466"/>
      <c r="H39" s="466"/>
      <c r="I39" s="467"/>
      <c r="J39" s="467"/>
      <c r="K39" s="1693">
        <f t="shared" si="2"/>
        <v>0</v>
      </c>
      <c r="L39" s="466">
        <v>500</v>
      </c>
    </row>
    <row r="40" spans="1:14" x14ac:dyDescent="0.2">
      <c r="A40" s="1526" t="s">
        <v>209</v>
      </c>
      <c r="B40" s="615">
        <v>2150</v>
      </c>
      <c r="C40" s="466">
        <v>42095</v>
      </c>
      <c r="D40" s="466"/>
      <c r="E40" s="466"/>
      <c r="F40" s="466"/>
      <c r="G40" s="466"/>
      <c r="H40" s="466"/>
      <c r="I40" s="467"/>
      <c r="J40" s="467"/>
      <c r="K40" s="1693">
        <f t="shared" si="2"/>
        <v>42095</v>
      </c>
      <c r="L40" s="466">
        <v>42094</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42095</v>
      </c>
      <c r="D42" s="1692">
        <f t="shared" ref="D42:L42" si="3">SUM(D36:D41)</f>
        <v>0</v>
      </c>
      <c r="E42" s="1692">
        <f t="shared" si="3"/>
        <v>8355</v>
      </c>
      <c r="F42" s="1692">
        <f t="shared" si="3"/>
        <v>0</v>
      </c>
      <c r="G42" s="1692">
        <f t="shared" si="3"/>
        <v>0</v>
      </c>
      <c r="H42" s="1692">
        <f t="shared" si="3"/>
        <v>0</v>
      </c>
      <c r="I42" s="1692">
        <f t="shared" si="3"/>
        <v>0</v>
      </c>
      <c r="J42" s="1692">
        <f t="shared" si="3"/>
        <v>0</v>
      </c>
      <c r="K42" s="1692">
        <f t="shared" si="3"/>
        <v>50450</v>
      </c>
      <c r="L42" s="1692">
        <f t="shared" si="3"/>
        <v>59094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9260</v>
      </c>
      <c r="F44" s="481"/>
      <c r="G44" s="481"/>
      <c r="H44" s="481"/>
      <c r="I44" s="467"/>
      <c r="J44" s="467"/>
      <c r="K44" s="1694">
        <f>SUM(C44:J44)</f>
        <v>9260</v>
      </c>
      <c r="L44" s="481">
        <v>1500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v>1500</v>
      </c>
    </row>
    <row r="47" spans="1:14" ht="12.75" customHeight="1" thickBot="1" x14ac:dyDescent="0.25">
      <c r="A47" s="1690" t="s">
        <v>582</v>
      </c>
      <c r="B47" s="1691" t="s">
        <v>32</v>
      </c>
      <c r="C47" s="1692">
        <f>SUM(C44:C46)</f>
        <v>0</v>
      </c>
      <c r="D47" s="1692">
        <f t="shared" ref="D47:K47" si="4">SUM(D44:D46)</f>
        <v>0</v>
      </c>
      <c r="E47" s="1692">
        <f t="shared" si="4"/>
        <v>9260</v>
      </c>
      <c r="F47" s="1692">
        <f t="shared" si="4"/>
        <v>0</v>
      </c>
      <c r="G47" s="1692">
        <f t="shared" si="4"/>
        <v>0</v>
      </c>
      <c r="H47" s="1692">
        <f t="shared" si="4"/>
        <v>0</v>
      </c>
      <c r="I47" s="1692">
        <f t="shared" si="4"/>
        <v>0</v>
      </c>
      <c r="J47" s="1692">
        <f t="shared" si="4"/>
        <v>0</v>
      </c>
      <c r="K47" s="1692">
        <f t="shared" si="4"/>
        <v>9260</v>
      </c>
      <c r="L47" s="1692">
        <f>SUM(L44:L46)</f>
        <v>3000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8050</v>
      </c>
      <c r="F49" s="481">
        <v>3096</v>
      </c>
      <c r="G49" s="481"/>
      <c r="H49" s="481">
        <v>2169</v>
      </c>
      <c r="I49" s="467"/>
      <c r="J49" s="467"/>
      <c r="K49" s="1694">
        <f>SUM(C49:J49)</f>
        <v>13315</v>
      </c>
      <c r="L49" s="481">
        <v>19096</v>
      </c>
    </row>
    <row r="50" spans="1:14" x14ac:dyDescent="0.2">
      <c r="A50" s="1526" t="s">
        <v>872</v>
      </c>
      <c r="B50" s="615">
        <v>2320</v>
      </c>
      <c r="C50" s="466">
        <v>57472</v>
      </c>
      <c r="D50" s="466">
        <v>886</v>
      </c>
      <c r="E50" s="466">
        <v>5313</v>
      </c>
      <c r="F50" s="466">
        <v>4689</v>
      </c>
      <c r="G50" s="466"/>
      <c r="H50" s="466">
        <v>4733</v>
      </c>
      <c r="I50" s="467"/>
      <c r="J50" s="467"/>
      <c r="K50" s="1694">
        <f>SUM(C50:J50)</f>
        <v>73093</v>
      </c>
      <c r="L50" s="466">
        <v>69972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57472</v>
      </c>
      <c r="D53" s="1692">
        <f t="shared" ref="D53:L53" si="5">SUM(D49:D52)</f>
        <v>886</v>
      </c>
      <c r="E53" s="1692">
        <f t="shared" si="5"/>
        <v>13363</v>
      </c>
      <c r="F53" s="1692">
        <f t="shared" si="5"/>
        <v>7785</v>
      </c>
      <c r="G53" s="1692">
        <f t="shared" si="5"/>
        <v>0</v>
      </c>
      <c r="H53" s="1692">
        <f t="shared" si="5"/>
        <v>6902</v>
      </c>
      <c r="I53" s="1692">
        <f t="shared" si="5"/>
        <v>0</v>
      </c>
      <c r="J53" s="1692">
        <f t="shared" si="5"/>
        <v>0</v>
      </c>
      <c r="K53" s="1692">
        <f t="shared" si="5"/>
        <v>86408</v>
      </c>
      <c r="L53" s="1692">
        <f t="shared" si="5"/>
        <v>89068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54215</v>
      </c>
      <c r="D55" s="481">
        <v>886</v>
      </c>
      <c r="E55" s="481"/>
      <c r="F55" s="481"/>
      <c r="G55" s="481"/>
      <c r="H55" s="481"/>
      <c r="I55" s="467"/>
      <c r="J55" s="467"/>
      <c r="K55" s="1694">
        <f>SUM(C55:J55)</f>
        <v>55101</v>
      </c>
      <c r="L55" s="481">
        <v>56215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54215</v>
      </c>
      <c r="D57" s="1696">
        <f t="shared" ref="D57:K57" si="6">SUM(D55:D56)</f>
        <v>886</v>
      </c>
      <c r="E57" s="1696">
        <f t="shared" si="6"/>
        <v>0</v>
      </c>
      <c r="F57" s="1696">
        <f t="shared" si="6"/>
        <v>0</v>
      </c>
      <c r="G57" s="1696">
        <f t="shared" si="6"/>
        <v>0</v>
      </c>
      <c r="H57" s="1696">
        <f t="shared" si="6"/>
        <v>0</v>
      </c>
      <c r="I57" s="1696">
        <f t="shared" si="6"/>
        <v>0</v>
      </c>
      <c r="J57" s="1696">
        <f t="shared" si="6"/>
        <v>0</v>
      </c>
      <c r="K57" s="1696">
        <f t="shared" si="6"/>
        <v>55101</v>
      </c>
      <c r="L57" s="1692">
        <f>SUM(L55:L56)</f>
        <v>56215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68924</v>
      </c>
      <c r="D59" s="481">
        <v>4577</v>
      </c>
      <c r="E59" s="481"/>
      <c r="F59" s="481"/>
      <c r="G59" s="481"/>
      <c r="H59" s="481"/>
      <c r="I59" s="467"/>
      <c r="J59" s="467"/>
      <c r="K59" s="1694">
        <f t="shared" ref="K59:K64" si="7">SUM(C59:J59)</f>
        <v>73501</v>
      </c>
      <c r="L59" s="481">
        <v>73577</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28852</v>
      </c>
      <c r="D63" s="466"/>
      <c r="E63" s="466">
        <v>887</v>
      </c>
      <c r="F63" s="466">
        <v>21349</v>
      </c>
      <c r="G63" s="466"/>
      <c r="H63" s="466">
        <v>230</v>
      </c>
      <c r="I63" s="467"/>
      <c r="J63" s="467"/>
      <c r="K63" s="1694">
        <f t="shared" si="7"/>
        <v>51318</v>
      </c>
      <c r="L63" s="466">
        <v>54300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97776</v>
      </c>
      <c r="D65" s="1692">
        <f t="shared" ref="D65:L65" si="8">SUM(D59:D64)</f>
        <v>4577</v>
      </c>
      <c r="E65" s="1692">
        <f t="shared" si="8"/>
        <v>887</v>
      </c>
      <c r="F65" s="1692">
        <f t="shared" si="8"/>
        <v>21349</v>
      </c>
      <c r="G65" s="1692">
        <f t="shared" si="8"/>
        <v>0</v>
      </c>
      <c r="H65" s="1692">
        <f t="shared" si="8"/>
        <v>230</v>
      </c>
      <c r="I65" s="1692">
        <f t="shared" si="8"/>
        <v>0</v>
      </c>
      <c r="J65" s="1692">
        <f t="shared" si="8"/>
        <v>0</v>
      </c>
      <c r="K65" s="1692">
        <f t="shared" si="8"/>
        <v>124819</v>
      </c>
      <c r="L65" s="1692">
        <f t="shared" si="8"/>
        <v>127877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1229</v>
      </c>
      <c r="G73" s="573"/>
      <c r="H73" s="573"/>
      <c r="I73" s="531"/>
      <c r="J73" s="531"/>
      <c r="K73" s="1692">
        <f>SUM(C73:J73)</f>
        <v>1229</v>
      </c>
      <c r="L73" s="576">
        <v>0</v>
      </c>
      <c r="M73" s="610"/>
      <c r="N73" s="610"/>
    </row>
    <row r="74" spans="1:14" ht="12.75" customHeight="1" thickTop="1" thickBot="1" x14ac:dyDescent="0.25">
      <c r="A74" s="1690" t="s">
        <v>865</v>
      </c>
      <c r="B74" s="1698">
        <v>2000</v>
      </c>
      <c r="C74" s="1699">
        <f>SUM(C42,C47,C53,C57,C65,C72,C73)</f>
        <v>251558</v>
      </c>
      <c r="D74" s="1699">
        <f t="shared" ref="D74:K74" si="10">SUM(D42,D47,D53,D57,D65,D72,D73)</f>
        <v>6349</v>
      </c>
      <c r="E74" s="1699">
        <f t="shared" si="10"/>
        <v>31865</v>
      </c>
      <c r="F74" s="1699">
        <f t="shared" si="10"/>
        <v>30363</v>
      </c>
      <c r="G74" s="1699">
        <f t="shared" si="10"/>
        <v>0</v>
      </c>
      <c r="H74" s="1699">
        <f t="shared" si="10"/>
        <v>7132</v>
      </c>
      <c r="I74" s="1699">
        <f t="shared" si="10"/>
        <v>0</v>
      </c>
      <c r="J74" s="1699">
        <f t="shared" si="10"/>
        <v>0</v>
      </c>
      <c r="K74" s="1699">
        <f t="shared" si="10"/>
        <v>327267</v>
      </c>
      <c r="L74" s="1699">
        <f>SUM(L42,L47,L53,L57,L65,L72,L73)</f>
        <v>335254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1500</v>
      </c>
      <c r="F79" s="617"/>
      <c r="G79" s="617"/>
      <c r="H79" s="466">
        <v>13864</v>
      </c>
      <c r="I79" s="477"/>
      <c r="J79" s="477"/>
      <c r="K79" s="1693">
        <f t="shared" si="11"/>
        <v>15364</v>
      </c>
      <c r="L79" s="466">
        <v>17000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9208</v>
      </c>
      <c r="F83" s="617"/>
      <c r="G83" s="617"/>
      <c r="H83" s="466"/>
      <c r="I83" s="477"/>
      <c r="J83" s="477"/>
      <c r="K83" s="1693">
        <f t="shared" si="11"/>
        <v>9208</v>
      </c>
      <c r="L83" s="466">
        <v>9208</v>
      </c>
    </row>
    <row r="84" spans="1:12" ht="13.5" thickBot="1" x14ac:dyDescent="0.25">
      <c r="A84" s="1690" t="s">
        <v>1565</v>
      </c>
      <c r="B84" s="1700">
        <v>4100</v>
      </c>
      <c r="C84" s="617"/>
      <c r="D84" s="617"/>
      <c r="E84" s="1692">
        <f>SUM(E78:E83)</f>
        <v>10708</v>
      </c>
      <c r="F84" s="617"/>
      <c r="G84" s="617"/>
      <c r="H84" s="1692">
        <f>SUM(H78:H83)</f>
        <v>13864</v>
      </c>
      <c r="I84" s="477"/>
      <c r="J84" s="477"/>
      <c r="K84" s="1692">
        <f>SUM(K78:K83)</f>
        <v>24572</v>
      </c>
      <c r="L84" s="1692">
        <f>SUM(L78:L83)</f>
        <v>26208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10708</v>
      </c>
      <c r="F102" s="617"/>
      <c r="G102" s="617"/>
      <c r="H102" s="1699">
        <f>SUM(H84,H92,H100,H101)</f>
        <v>13864</v>
      </c>
      <c r="I102" s="477"/>
      <c r="J102" s="477"/>
      <c r="K102" s="1699">
        <f>SUM(K84,K92,K100,K101)</f>
        <v>24572</v>
      </c>
      <c r="L102" s="1699">
        <f>SUM(L84,L92,L100,L101)</f>
        <v>26208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895101</v>
      </c>
      <c r="D114" s="1692">
        <f t="shared" ref="D114:K114" si="13">SUM(D33,D74,D75,D102,D112,D113)</f>
        <v>71838</v>
      </c>
      <c r="E114" s="1692">
        <f t="shared" si="13"/>
        <v>113194</v>
      </c>
      <c r="F114" s="1692">
        <f t="shared" si="13"/>
        <v>65872</v>
      </c>
      <c r="G114" s="1692">
        <f t="shared" si="13"/>
        <v>549</v>
      </c>
      <c r="H114" s="1692">
        <f>SUM(H33,H74,H75,H102,H112,H113)</f>
        <v>121471</v>
      </c>
      <c r="I114" s="1692">
        <f t="shared" si="13"/>
        <v>0</v>
      </c>
      <c r="J114" s="1692">
        <f t="shared" si="13"/>
        <v>0</v>
      </c>
      <c r="K114" s="1692">
        <f t="shared" si="13"/>
        <v>1268025</v>
      </c>
      <c r="L114" s="1692">
        <f>SUM(L33,L74,L75,L102,L112,L113)</f>
        <v>1271432</v>
      </c>
    </row>
    <row r="115" spans="1:14" ht="13.5" thickTop="1" x14ac:dyDescent="0.2">
      <c r="A115" s="2202" t="s">
        <v>1053</v>
      </c>
      <c r="B115" s="2203"/>
      <c r="C115" s="619"/>
      <c r="D115" s="619"/>
      <c r="E115" s="619"/>
      <c r="F115" s="619"/>
      <c r="G115" s="619"/>
      <c r="H115" s="619"/>
      <c r="I115" s="619"/>
      <c r="J115" s="619"/>
      <c r="K115" s="1706">
        <f>'Revenues 9-14'!C275-'Expenditures 15-22'!K114</f>
        <v>-62458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2000</v>
      </c>
      <c r="D124" s="466"/>
      <c r="E124" s="466">
        <v>177736</v>
      </c>
      <c r="F124" s="466">
        <v>18662</v>
      </c>
      <c r="G124" s="466">
        <v>197867</v>
      </c>
      <c r="H124" s="466"/>
      <c r="I124" s="467"/>
      <c r="J124" s="467"/>
      <c r="K124" s="1692">
        <f>SUM(C124:J124)</f>
        <v>396265</v>
      </c>
      <c r="L124" s="466">
        <v>400000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2000</v>
      </c>
      <c r="D127" s="1692">
        <f t="shared" ref="D127:L127" si="14">SUM(D122:D126)</f>
        <v>0</v>
      </c>
      <c r="E127" s="1692">
        <f t="shared" si="14"/>
        <v>177736</v>
      </c>
      <c r="F127" s="1692">
        <f t="shared" si="14"/>
        <v>18662</v>
      </c>
      <c r="G127" s="1692">
        <f t="shared" si="14"/>
        <v>197867</v>
      </c>
      <c r="H127" s="1692">
        <f t="shared" si="14"/>
        <v>0</v>
      </c>
      <c r="I127" s="1692">
        <f t="shared" si="14"/>
        <v>0</v>
      </c>
      <c r="J127" s="1692">
        <f t="shared" si="14"/>
        <v>0</v>
      </c>
      <c r="K127" s="1692">
        <f t="shared" si="14"/>
        <v>396265</v>
      </c>
      <c r="L127" s="1692">
        <f t="shared" si="14"/>
        <v>400000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2000</v>
      </c>
      <c r="D129" s="1699">
        <f t="shared" ref="D129:L129" si="15">SUM(D120,D127,D128)</f>
        <v>0</v>
      </c>
      <c r="E129" s="1699">
        <f t="shared" si="15"/>
        <v>177736</v>
      </c>
      <c r="F129" s="1699">
        <f t="shared" si="15"/>
        <v>18662</v>
      </c>
      <c r="G129" s="1699">
        <f t="shared" si="15"/>
        <v>197867</v>
      </c>
      <c r="H129" s="1699">
        <f t="shared" si="15"/>
        <v>0</v>
      </c>
      <c r="I129" s="1699">
        <f t="shared" si="15"/>
        <v>0</v>
      </c>
      <c r="J129" s="1699">
        <f t="shared" si="15"/>
        <v>0</v>
      </c>
      <c r="K129" s="1699">
        <f t="shared" si="15"/>
        <v>396265</v>
      </c>
      <c r="L129" s="1699">
        <f t="shared" si="15"/>
        <v>400000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4"/>
      <c r="C151" s="1692">
        <f>SUM(C129,C130,C139,C149,C150)</f>
        <v>2000</v>
      </c>
      <c r="D151" s="1692">
        <f t="shared" ref="D151:K151" si="16">SUM(D129,D130,D139,D149,D150)</f>
        <v>0</v>
      </c>
      <c r="E151" s="1692">
        <f t="shared" si="16"/>
        <v>177736</v>
      </c>
      <c r="F151" s="1692">
        <f t="shared" si="16"/>
        <v>18662</v>
      </c>
      <c r="G151" s="1692">
        <f t="shared" si="16"/>
        <v>197867</v>
      </c>
      <c r="H151" s="1692">
        <f t="shared" si="16"/>
        <v>0</v>
      </c>
      <c r="I151" s="1692">
        <f t="shared" si="16"/>
        <v>0</v>
      </c>
      <c r="J151" s="1692">
        <f t="shared" si="16"/>
        <v>0</v>
      </c>
      <c r="K151" s="1692">
        <f t="shared" si="16"/>
        <v>396265</v>
      </c>
      <c r="L151" s="1692">
        <f>SUM(L129,L130,L139,L149,L150)</f>
        <v>400000</v>
      </c>
    </row>
    <row r="152" spans="1:14" ht="12.75" customHeight="1" thickTop="1" x14ac:dyDescent="0.2">
      <c r="A152" s="2195" t="s">
        <v>1240</v>
      </c>
      <c r="B152" s="2196"/>
      <c r="C152" s="619"/>
      <c r="D152" s="619"/>
      <c r="E152" s="619"/>
      <c r="F152" s="619"/>
      <c r="G152" s="619"/>
      <c r="H152" s="619"/>
      <c r="I152" s="619"/>
      <c r="J152" s="617"/>
      <c r="K152" s="1706">
        <f>'Revenues 9-14'!D275-'Expenditures 15-22'!K151</f>
        <v>-259430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1314</v>
      </c>
      <c r="I169" s="617"/>
      <c r="J169" s="617"/>
      <c r="K169" s="1693">
        <f>SUM(C169:H169)</f>
        <v>1314</v>
      </c>
      <c r="L169" s="657">
        <v>21049</v>
      </c>
    </row>
    <row r="170" spans="1:14" ht="33.75" customHeight="1" x14ac:dyDescent="0.2">
      <c r="A170" s="670" t="s">
        <v>1769</v>
      </c>
      <c r="B170" s="672" t="s">
        <v>31</v>
      </c>
      <c r="C170" s="617"/>
      <c r="D170" s="617"/>
      <c r="E170" s="617"/>
      <c r="F170" s="617"/>
      <c r="G170" s="617"/>
      <c r="H170" s="569">
        <v>105000</v>
      </c>
      <c r="I170" s="617"/>
      <c r="J170" s="617"/>
      <c r="K170" s="1693">
        <f>SUM(C170:J170)</f>
        <v>105000</v>
      </c>
      <c r="L170" s="569">
        <v>105000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106314</v>
      </c>
      <c r="I172" s="639"/>
      <c r="J172" s="617"/>
      <c r="K172" s="1699">
        <f>SUM(K168,K169,K170,K171)</f>
        <v>106314</v>
      </c>
      <c r="L172" s="1699">
        <f>SUM(L168,L169,L170,L171)</f>
        <v>126049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106314</v>
      </c>
      <c r="I174" s="639"/>
      <c r="J174" s="617"/>
      <c r="K174" s="1699">
        <f>SUM(K160,K172,K173)</f>
        <v>106314</v>
      </c>
      <c r="L174" s="1699">
        <f>SUM(L160,L172,L173)</f>
        <v>126049</v>
      </c>
    </row>
    <row r="175" spans="1:14" ht="13.5" thickTop="1" x14ac:dyDescent="0.2">
      <c r="A175" s="2202" t="s">
        <v>1053</v>
      </c>
      <c r="B175" s="2203"/>
      <c r="C175" s="617"/>
      <c r="D175" s="617"/>
      <c r="E175" s="617"/>
      <c r="F175" s="617"/>
      <c r="G175" s="617"/>
      <c r="H175" s="619"/>
      <c r="I175" s="617"/>
      <c r="J175" s="617"/>
      <c r="K175" s="1706">
        <f>'Revenues 9-14'!E275-'Expenditures 15-22'!K174</f>
        <v>-353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1920</v>
      </c>
      <c r="D182" s="466"/>
      <c r="E182" s="466">
        <v>148529</v>
      </c>
      <c r="F182" s="466"/>
      <c r="G182" s="466"/>
      <c r="H182" s="466"/>
      <c r="I182" s="467"/>
      <c r="J182" s="467"/>
      <c r="K182" s="1693">
        <f>SUM(C182:J182)</f>
        <v>150449</v>
      </c>
      <c r="L182" s="466">
        <v>150920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1920</v>
      </c>
      <c r="D184" s="1699">
        <f t="shared" ref="D184:J184" si="17">SUM(D180,D182,D183)</f>
        <v>0</v>
      </c>
      <c r="E184" s="1699">
        <f t="shared" si="17"/>
        <v>148529</v>
      </c>
      <c r="F184" s="1699">
        <f t="shared" si="17"/>
        <v>0</v>
      </c>
      <c r="G184" s="1699">
        <f t="shared" si="17"/>
        <v>0</v>
      </c>
      <c r="H184" s="1699">
        <f t="shared" si="17"/>
        <v>0</v>
      </c>
      <c r="I184" s="1699">
        <f t="shared" si="17"/>
        <v>0</v>
      </c>
      <c r="J184" s="1699">
        <f t="shared" si="17"/>
        <v>0</v>
      </c>
      <c r="K184" s="1699">
        <f>SUM(K180,K182,K183)</f>
        <v>150449</v>
      </c>
      <c r="L184" s="1699">
        <f>SUM(L180, L182:L183)</f>
        <v>150920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1920</v>
      </c>
      <c r="D210" s="1692">
        <f>SUM(D184,D185)</f>
        <v>0</v>
      </c>
      <c r="E210" s="1692">
        <f>SUM(E184,E185,E196)</f>
        <v>148529</v>
      </c>
      <c r="F210" s="1692">
        <f>SUM(F184,F185)</f>
        <v>0</v>
      </c>
      <c r="G210" s="1692">
        <f>SUM(G184,G185)</f>
        <v>0</v>
      </c>
      <c r="H210" s="1692">
        <f>SUM(H184,H185,H196,H208,H209)</f>
        <v>0</v>
      </c>
      <c r="I210" s="1692">
        <f>SUM(I184,I185)</f>
        <v>0</v>
      </c>
      <c r="J210" s="1692">
        <f>SUM(J184,J185)</f>
        <v>0</v>
      </c>
      <c r="K210" s="1693">
        <f>SUM(K184,K185,K196,K208,K209)</f>
        <v>150449</v>
      </c>
      <c r="L210" s="1692">
        <f>SUM(L184,L185,L196,L208,L209)</f>
        <v>150920</v>
      </c>
    </row>
    <row r="211" spans="1:14" ht="13.5" thickTop="1" x14ac:dyDescent="0.2">
      <c r="A211" s="2202" t="s">
        <v>1053</v>
      </c>
      <c r="B211" s="2203"/>
      <c r="C211" s="619"/>
      <c r="D211" s="619"/>
      <c r="E211" s="619"/>
      <c r="F211" s="619"/>
      <c r="G211" s="619"/>
      <c r="H211" s="619"/>
      <c r="I211" s="617"/>
      <c r="J211" s="617"/>
      <c r="K211" s="1706">
        <f>'Revenues 9-14'!F275-'Expenditures 15-22'!K210</f>
        <v>-11013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11547</v>
      </c>
      <c r="E215" s="617"/>
      <c r="F215" s="617"/>
      <c r="G215" s="617"/>
      <c r="H215" s="617"/>
      <c r="I215" s="617"/>
      <c r="J215" s="617"/>
      <c r="K215" s="1693">
        <f>D215</f>
        <v>11547</v>
      </c>
      <c r="L215" s="466">
        <v>11000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2967</v>
      </c>
      <c r="E217" s="617"/>
      <c r="F217" s="617"/>
      <c r="G217" s="617"/>
      <c r="H217" s="617"/>
      <c r="I217" s="617"/>
      <c r="J217" s="617"/>
      <c r="K217" s="1693">
        <f t="shared" si="19"/>
        <v>2967</v>
      </c>
      <c r="L217" s="466">
        <v>2914</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25</v>
      </c>
      <c r="E223" s="617"/>
      <c r="F223" s="617"/>
      <c r="G223" s="617"/>
      <c r="H223" s="617"/>
      <c r="I223" s="617"/>
      <c r="J223" s="617"/>
      <c r="K223" s="1693">
        <f t="shared" si="19"/>
        <v>25</v>
      </c>
      <c r="L223" s="466">
        <v>25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14539</v>
      </c>
      <c r="E229" s="617"/>
      <c r="F229" s="617"/>
      <c r="G229" s="617"/>
      <c r="H229" s="617"/>
      <c r="I229" s="617"/>
      <c r="J229" s="617"/>
      <c r="K229" s="1692">
        <f>SUM(K215:K228)</f>
        <v>14539</v>
      </c>
      <c r="L229" s="1692">
        <f>SUM(L215:L228)</f>
        <v>13939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610</v>
      </c>
      <c r="E236" s="617"/>
      <c r="F236" s="617"/>
      <c r="G236" s="617"/>
      <c r="H236" s="617"/>
      <c r="I236" s="617"/>
      <c r="J236" s="617"/>
      <c r="K236" s="1693">
        <f t="shared" si="20"/>
        <v>610</v>
      </c>
      <c r="L236" s="466">
        <v>610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610</v>
      </c>
      <c r="E238" s="617"/>
      <c r="F238" s="617"/>
      <c r="G238" s="617"/>
      <c r="H238" s="617"/>
      <c r="I238" s="617"/>
      <c r="J238" s="617"/>
      <c r="K238" s="1692">
        <f>SUM(K232:K237)</f>
        <v>610</v>
      </c>
      <c r="L238" s="1692">
        <f>SUM(L232:L237)</f>
        <v>610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970</v>
      </c>
      <c r="E246" s="617"/>
      <c r="F246" s="617"/>
      <c r="G246" s="617"/>
      <c r="H246" s="617"/>
      <c r="I246" s="617"/>
      <c r="J246" s="617"/>
      <c r="K246" s="1694">
        <f t="shared" ref="K246:K256" si="21">D246</f>
        <v>970</v>
      </c>
      <c r="L246" s="466">
        <v>915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970</v>
      </c>
      <c r="E257" s="617"/>
      <c r="F257" s="617"/>
      <c r="G257" s="617"/>
      <c r="H257" s="617"/>
      <c r="I257" s="617"/>
      <c r="J257" s="617"/>
      <c r="K257" s="1692">
        <f>SUM(K245:K256)</f>
        <v>970</v>
      </c>
      <c r="L257" s="1692">
        <f>SUM(L245:L256)</f>
        <v>915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961</v>
      </c>
      <c r="E259" s="617"/>
      <c r="F259" s="617"/>
      <c r="G259" s="617"/>
      <c r="H259" s="617"/>
      <c r="I259" s="617"/>
      <c r="J259" s="617"/>
      <c r="K259" s="1694">
        <f>D259</f>
        <v>961</v>
      </c>
      <c r="L259" s="481">
        <v>881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961</v>
      </c>
      <c r="E261" s="617"/>
      <c r="F261" s="617"/>
      <c r="G261" s="617"/>
      <c r="H261" s="617"/>
      <c r="I261" s="617"/>
      <c r="J261" s="617"/>
      <c r="K261" s="1692">
        <f>SUM(K259:K260)</f>
        <v>961</v>
      </c>
      <c r="L261" s="1692">
        <f>SUM(L259:L260)</f>
        <v>881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13290</v>
      </c>
      <c r="E264" s="617"/>
      <c r="F264" s="617"/>
      <c r="G264" s="617"/>
      <c r="H264" s="617"/>
      <c r="I264" s="617"/>
      <c r="J264" s="617"/>
      <c r="K264" s="1694">
        <f t="shared" ref="K264:K269" si="22">D264</f>
        <v>13290</v>
      </c>
      <c r="L264" s="466">
        <v>12157</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153</v>
      </c>
      <c r="E266" s="617"/>
      <c r="F266" s="617"/>
      <c r="G266" s="617"/>
      <c r="H266" s="617"/>
      <c r="I266" s="617"/>
      <c r="J266" s="617"/>
      <c r="K266" s="1694">
        <f t="shared" si="22"/>
        <v>153</v>
      </c>
      <c r="L266" s="466">
        <v>153</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5450</v>
      </c>
      <c r="E268" s="617"/>
      <c r="F268" s="617"/>
      <c r="G268" s="617"/>
      <c r="H268" s="617"/>
      <c r="I268" s="617"/>
      <c r="J268" s="617"/>
      <c r="K268" s="1694">
        <f t="shared" si="22"/>
        <v>5450</v>
      </c>
      <c r="L268" s="466">
        <v>2982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18893</v>
      </c>
      <c r="E270" s="617"/>
      <c r="F270" s="617"/>
      <c r="G270" s="617"/>
      <c r="H270" s="617"/>
      <c r="I270" s="617"/>
      <c r="J270" s="617"/>
      <c r="K270" s="1692">
        <f>SUM(K263:K269)</f>
        <v>18893</v>
      </c>
      <c r="L270" s="1692">
        <f>SUM(L263:L269)</f>
        <v>15292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21434</v>
      </c>
      <c r="E279" s="617"/>
      <c r="F279" s="617"/>
      <c r="G279" s="617"/>
      <c r="H279" s="617"/>
      <c r="I279" s="617"/>
      <c r="J279" s="617"/>
      <c r="K279" s="1699">
        <f>SUM(K238,K243,K257,K261,K270,K277,K278)</f>
        <v>21434</v>
      </c>
      <c r="L279" s="1699">
        <f>SUM(L238,L243,L257,L261,L270,L277,L278)</f>
        <v>17698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35973</v>
      </c>
      <c r="E295" s="617"/>
      <c r="F295" s="617"/>
      <c r="G295" s="617"/>
      <c r="H295" s="1692">
        <f>H293</f>
        <v>0</v>
      </c>
      <c r="I295" s="617"/>
      <c r="J295" s="617"/>
      <c r="K295" s="1692">
        <f>SUM(K229,K279,K280,K285,K293,K294)</f>
        <v>35973</v>
      </c>
      <c r="L295" s="1692">
        <f>SUM(L229,L279,L280,L285,L293,L294)</f>
        <v>31637</v>
      </c>
    </row>
    <row r="296" spans="1:14" ht="13.5" thickTop="1" x14ac:dyDescent="0.2">
      <c r="A296" s="2202" t="s">
        <v>1053</v>
      </c>
      <c r="B296" s="2203"/>
      <c r="C296" s="617"/>
      <c r="D296" s="619"/>
      <c r="E296" s="617"/>
      <c r="F296" s="617"/>
      <c r="G296" s="617"/>
      <c r="H296" s="688"/>
      <c r="I296" s="617"/>
      <c r="J296" s="617"/>
      <c r="K296" s="1706">
        <f>'Revenues 9-14'!G275-'Expenditures 15-22'!K295</f>
        <v>-2861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18900</v>
      </c>
      <c r="M319" s="666"/>
      <c r="N319" s="666"/>
    </row>
    <row r="320" spans="1:14" s="675" customFormat="1" x14ac:dyDescent="0.2">
      <c r="A320" s="1545" t="s">
        <v>1908</v>
      </c>
      <c r="B320" s="699" t="s">
        <v>300</v>
      </c>
      <c r="C320" s="467"/>
      <c r="D320" s="467"/>
      <c r="E320" s="467">
        <v>11841</v>
      </c>
      <c r="F320" s="467"/>
      <c r="G320" s="467"/>
      <c r="H320" s="467"/>
      <c r="I320" s="467"/>
      <c r="J320" s="467"/>
      <c r="K320" s="1693">
        <f t="shared" ref="K320:K327" si="24">SUM(C320:J320)</f>
        <v>11841</v>
      </c>
      <c r="L320" s="467">
        <v>12115</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22290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25292</v>
      </c>
      <c r="F325" s="467"/>
      <c r="G325" s="467"/>
      <c r="H325" s="467"/>
      <c r="I325" s="467"/>
      <c r="J325" s="467"/>
      <c r="K325" s="1693">
        <f t="shared" si="24"/>
        <v>25292</v>
      </c>
      <c r="L325" s="467">
        <v>25000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288</v>
      </c>
      <c r="F327" s="467"/>
      <c r="G327" s="467"/>
      <c r="H327" s="467"/>
      <c r="I327" s="467"/>
      <c r="J327" s="467"/>
      <c r="K327" s="1693">
        <f t="shared" si="24"/>
        <v>288</v>
      </c>
      <c r="L327" s="467">
        <v>6598</v>
      </c>
      <c r="M327" s="666"/>
      <c r="N327" s="666"/>
    </row>
    <row r="328" spans="1:14" s="675" customFormat="1" x14ac:dyDescent="0.2">
      <c r="A328" s="1542" t="s">
        <v>492</v>
      </c>
      <c r="B328" s="691" t="s">
        <v>1194</v>
      </c>
      <c r="C328" s="474"/>
      <c r="D328" s="474"/>
      <c r="E328" s="474">
        <v>11654</v>
      </c>
      <c r="F328" s="474"/>
      <c r="G328" s="474"/>
      <c r="H328" s="474"/>
      <c r="I328" s="474"/>
      <c r="J328" s="474"/>
      <c r="K328" s="1721">
        <f>SUM(C328:J328)</f>
        <v>11654</v>
      </c>
      <c r="L328" s="474">
        <v>12000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49075</v>
      </c>
      <c r="F330" s="1692">
        <f t="shared" si="25"/>
        <v>0</v>
      </c>
      <c r="G330" s="1692">
        <f t="shared" si="25"/>
        <v>0</v>
      </c>
      <c r="H330" s="1692">
        <f t="shared" si="25"/>
        <v>0</v>
      </c>
      <c r="I330" s="1692">
        <f t="shared" si="25"/>
        <v>0</v>
      </c>
      <c r="J330" s="1692">
        <f t="shared" si="25"/>
        <v>0</v>
      </c>
      <c r="K330" s="1692">
        <f>SUM(K319:K329)</f>
        <v>49075</v>
      </c>
      <c r="L330" s="1692">
        <f>SUM(L319:L329)</f>
        <v>96903</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49075</v>
      </c>
      <c r="F342" s="1692">
        <f>SUM(F330)</f>
        <v>0</v>
      </c>
      <c r="G342" s="1692">
        <f>SUM(G330)</f>
        <v>0</v>
      </c>
      <c r="H342" s="1692">
        <f>SUM(H330,H334,H340)</f>
        <v>0</v>
      </c>
      <c r="I342" s="1692">
        <f>SUM(I330)</f>
        <v>0</v>
      </c>
      <c r="J342" s="1692">
        <f>SUM(J330)</f>
        <v>0</v>
      </c>
      <c r="K342" s="1692">
        <f>SUM(K330,K334,K340)</f>
        <v>49075</v>
      </c>
      <c r="L342" s="1699">
        <f>SUM(L330,L340,L341)</f>
        <v>96903</v>
      </c>
    </row>
    <row r="343" spans="1:14" ht="12.75" customHeight="1" thickTop="1" x14ac:dyDescent="0.2">
      <c r="A343" s="2188" t="s">
        <v>1053</v>
      </c>
      <c r="B343" s="2189"/>
      <c r="C343" s="617"/>
      <c r="D343" s="617"/>
      <c r="E343" s="617"/>
      <c r="F343" s="617"/>
      <c r="G343" s="617"/>
      <c r="H343" s="617"/>
      <c r="I343" s="617"/>
      <c r="J343" s="617"/>
      <c r="K343" s="1706">
        <f>'Revenues 9-14'!J275-'Expenditures 15-22'!K342</f>
        <v>-4815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26409</v>
      </c>
      <c r="F349" s="466"/>
      <c r="G349" s="466"/>
      <c r="H349" s="466"/>
      <c r="I349" s="467"/>
      <c r="J349" s="467"/>
      <c r="K349" s="1693">
        <f>SUM(C349:J349)</f>
        <v>26409</v>
      </c>
      <c r="L349" s="466">
        <v>26410</v>
      </c>
    </row>
    <row r="350" spans="1:14" ht="12.75" customHeight="1" thickBot="1" x14ac:dyDescent="0.25">
      <c r="A350" s="1690" t="s">
        <v>743</v>
      </c>
      <c r="B350" s="1691" t="s">
        <v>35</v>
      </c>
      <c r="C350" s="1692">
        <f>SUM(C348:C349)</f>
        <v>0</v>
      </c>
      <c r="D350" s="1692">
        <f t="shared" ref="D350:L350" si="26">SUM(D348:D349)</f>
        <v>0</v>
      </c>
      <c r="E350" s="1692">
        <f t="shared" si="26"/>
        <v>26409</v>
      </c>
      <c r="F350" s="1692">
        <f t="shared" si="26"/>
        <v>0</v>
      </c>
      <c r="G350" s="1692">
        <f t="shared" si="26"/>
        <v>0</v>
      </c>
      <c r="H350" s="1692">
        <f t="shared" si="26"/>
        <v>0</v>
      </c>
      <c r="I350" s="1692">
        <f t="shared" si="26"/>
        <v>0</v>
      </c>
      <c r="J350" s="1692">
        <f t="shared" si="26"/>
        <v>0</v>
      </c>
      <c r="K350" s="1692">
        <f t="shared" si="26"/>
        <v>26409</v>
      </c>
      <c r="L350" s="1692">
        <f t="shared" si="26"/>
        <v>26410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26409</v>
      </c>
      <c r="F352" s="1692">
        <f t="shared" si="27"/>
        <v>0</v>
      </c>
      <c r="G352" s="1692">
        <f t="shared" si="27"/>
        <v>0</v>
      </c>
      <c r="H352" s="1692">
        <f t="shared" si="27"/>
        <v>0</v>
      </c>
      <c r="I352" s="1692">
        <f t="shared" si="27"/>
        <v>0</v>
      </c>
      <c r="J352" s="1692">
        <f t="shared" si="27"/>
        <v>0</v>
      </c>
      <c r="K352" s="1692">
        <f t="shared" si="27"/>
        <v>26409</v>
      </c>
      <c r="L352" s="1692">
        <f t="shared" si="27"/>
        <v>26410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26409</v>
      </c>
      <c r="F367" s="1692">
        <f t="shared" si="28"/>
        <v>0</v>
      </c>
      <c r="G367" s="1692">
        <f t="shared" si="28"/>
        <v>0</v>
      </c>
      <c r="H367" s="1692">
        <f t="shared" si="28"/>
        <v>0</v>
      </c>
      <c r="I367" s="1692">
        <f t="shared" si="28"/>
        <v>0</v>
      </c>
      <c r="J367" s="1692">
        <f t="shared" si="28"/>
        <v>0</v>
      </c>
      <c r="K367" s="1692">
        <f t="shared" si="28"/>
        <v>26409</v>
      </c>
      <c r="L367" s="1692">
        <f t="shared" si="28"/>
        <v>26410</v>
      </c>
    </row>
    <row r="368" spans="1:14" ht="13.5" thickTop="1" x14ac:dyDescent="0.2">
      <c r="A368" s="2202" t="s">
        <v>1053</v>
      </c>
      <c r="B368" s="2203"/>
      <c r="C368" s="655"/>
      <c r="D368" s="655"/>
      <c r="E368" s="627"/>
      <c r="F368" s="627"/>
      <c r="G368" s="627"/>
      <c r="H368" s="627"/>
      <c r="I368" s="627"/>
      <c r="J368" s="624"/>
      <c r="K368" s="1693">
        <f>'Revenues 9-14'!K275-'Expenditures 15-22'!K367</f>
        <v>829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terms/"/>
    <ds:schemaRef ds:uri="http://schemas.microsoft.com/office/2006/metadata/properties"/>
    <ds:schemaRef ds:uri="6ce3111e-7420-4802-b50a-75d4e9a0b980"/>
    <ds:schemaRef ds:uri="http://purl.org/dc/dcmitype/"/>
    <ds:schemaRef ds:uri="http://schemas.microsoft.com/office/2006/documentManagement/types"/>
    <ds:schemaRef ds:uri="http://www.w3.org/XML/1998/namespace"/>
    <ds:schemaRef ds:uri="d21dc803-237d-4c68-8692-8d731fd29118"/>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2018-10-15T16:08:34Z</cp:lastPrinted>
  <dcterms:created xsi:type="dcterms:W3CDTF">2003-10-29T19:06:34Z</dcterms:created>
  <dcterms:modified xsi:type="dcterms:W3CDTF">2018-11-09T16:53:44Z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