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37" i="181" l="1"/>
  <c r="D35" i="181"/>
  <c r="D33" i="181"/>
  <c r="D32" i="181"/>
  <c r="D31" i="181"/>
  <c r="F63" i="29"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E35" i="181"/>
  <c r="F35" i="181" s="1"/>
  <c r="G35" i="181" s="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9" i="170"/>
  <c r="C36" i="170"/>
  <c r="C13" i="170"/>
  <c r="C15" i="170" s="1"/>
  <c r="C18" i="170" s="1"/>
  <c r="C21" i="170" s="1"/>
  <c r="C24" i="170" s="1"/>
  <c r="C28" i="170" s="1"/>
  <c r="A2" i="170"/>
  <c r="B2" i="177" l="1"/>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B7719" i="106" s="1"/>
  <c r="D7719" i="106" s="1"/>
  <c r="K23" i="12"/>
  <c r="K24" i="12" s="1"/>
  <c r="B7733" i="106" s="1"/>
  <c r="D7733" i="106" s="1"/>
  <c r="J12" i="12"/>
  <c r="J21" i="12"/>
  <c r="J23" i="12" s="1"/>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F31" i="108" s="1"/>
  <c r="K59" i="29"/>
  <c r="K56" i="29"/>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0" i="106" s="1"/>
  <c r="D1410" i="106" s="1"/>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K251" i="29"/>
  <c r="K252" i="29"/>
  <c r="B7090" i="106" s="1"/>
  <c r="D7090" i="106" s="1"/>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D11" i="37" s="1"/>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85" i="106"/>
  <c r="D6285" i="106" s="1"/>
  <c r="B6286" i="106"/>
  <c r="D6286"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s="1"/>
  <c r="B6302" i="106"/>
  <c r="D6302" i="106" s="1"/>
  <c r="B6303" i="106"/>
  <c r="D6303" i="106" s="1"/>
  <c r="B6304" i="106"/>
  <c r="D6304" i="106"/>
  <c r="B6305" i="106"/>
  <c r="D6305" i="106" s="1"/>
  <c r="B6307" i="106"/>
  <c r="D6307" i="106" s="1"/>
  <c r="B6308" i="106"/>
  <c r="D6308" i="106" s="1"/>
  <c r="B6309" i="106"/>
  <c r="D6309" i="106" s="1"/>
  <c r="B6310" i="106"/>
  <c r="D6310" i="106" s="1"/>
  <c r="B6311" i="106"/>
  <c r="D6311" i="106"/>
  <c r="B6312" i="106"/>
  <c r="D6312" i="106" s="1"/>
  <c r="B6313" i="106"/>
  <c r="D6313" i="106"/>
  <c r="B6314" i="106"/>
  <c r="D6314" i="106" s="1"/>
  <c r="B6315" i="106"/>
  <c r="D6315" i="106" s="1"/>
  <c r="B6316" i="106"/>
  <c r="D6316" i="106" s="1"/>
  <c r="B6317" i="106"/>
  <c r="D6317" i="106"/>
  <c r="B6319" i="106"/>
  <c r="D6319" i="106" s="1"/>
  <c r="B6320" i="106"/>
  <c r="D6320" i="106"/>
  <c r="B6321" i="106"/>
  <c r="D6321" i="106" s="1"/>
  <c r="B6322" i="106"/>
  <c r="D6322" i="106"/>
  <c r="B6323" i="106"/>
  <c r="D6323" i="106" s="1"/>
  <c r="B6324" i="106"/>
  <c r="D6324" i="106" s="1"/>
  <c r="B6325" i="106"/>
  <c r="D6325" i="106" s="1"/>
  <c r="B6326" i="106"/>
  <c r="D6326" i="106"/>
  <c r="B6327" i="106"/>
  <c r="D6327" i="106" s="1"/>
  <c r="B6328" i="106"/>
  <c r="D6328" i="106"/>
  <c r="B6329" i="106"/>
  <c r="D6329" i="106" s="1"/>
  <c r="B6330" i="106"/>
  <c r="D6330" i="106"/>
  <c r="B6331" i="106"/>
  <c r="D6331" i="106" s="1"/>
  <c r="B6332" i="106"/>
  <c r="D6332" i="106" s="1"/>
  <c r="B6333" i="106"/>
  <c r="D6333" i="106" s="1"/>
  <c r="B6334" i="106"/>
  <c r="D6334" i="106"/>
  <c r="B6335" i="106"/>
  <c r="D6335" i="106" s="1"/>
  <c r="B6336" i="106"/>
  <c r="D6336" i="106" s="1"/>
  <c r="B6337" i="106"/>
  <c r="D6337" i="106" s="1"/>
  <c r="B6338" i="106"/>
  <c r="D6338" i="106"/>
  <c r="B6339" i="106"/>
  <c r="D6339" i="106" s="1"/>
  <c r="B6340" i="106"/>
  <c r="D6340" i="106" s="1"/>
  <c r="B6341" i="106"/>
  <c r="D6341" i="106" s="1"/>
  <c r="B6342" i="106"/>
  <c r="D6342" i="106" s="1"/>
  <c r="B6343" i="106"/>
  <c r="D6343" i="106" s="1"/>
  <c r="B6344" i="106"/>
  <c r="D6344" i="106"/>
  <c r="B6345" i="106"/>
  <c r="D6345" i="106" s="1"/>
  <c r="B6346" i="106"/>
  <c r="D6346" i="106"/>
  <c r="B6347" i="106"/>
  <c r="D6347" i="106" s="1"/>
  <c r="B6348" i="106"/>
  <c r="D6348" i="106" s="1"/>
  <c r="B6349" i="106"/>
  <c r="D6349" i="106" s="1"/>
  <c r="B6350" i="106"/>
  <c r="D6350" i="106"/>
  <c r="B6353" i="106"/>
  <c r="D6353" i="106" s="1"/>
  <c r="B6354" i="106"/>
  <c r="D6354" i="106"/>
  <c r="B6355" i="106"/>
  <c r="D6355" i="106" s="1"/>
  <c r="B6356" i="106"/>
  <c r="D6356" i="106"/>
  <c r="B6358" i="106"/>
  <c r="D6358" i="106" s="1"/>
  <c r="B6359" i="106"/>
  <c r="D6359" i="106" s="1"/>
  <c r="B6360" i="106"/>
  <c r="D6360" i="106" s="1"/>
  <c r="B6361" i="106"/>
  <c r="D6361" i="106"/>
  <c r="B6362" i="106"/>
  <c r="D6362" i="106" s="1"/>
  <c r="B6363" i="106"/>
  <c r="D6363" i="106"/>
  <c r="B6364" i="106"/>
  <c r="D6364" i="106" s="1"/>
  <c r="B6365" i="106"/>
  <c r="D6365" i="106"/>
  <c r="B6366" i="106"/>
  <c r="D6366" i="106" s="1"/>
  <c r="B6367" i="106"/>
  <c r="D6367" i="106" s="1"/>
  <c r="B6368" i="106"/>
  <c r="D6368" i="106" s="1"/>
  <c r="B6369" i="106"/>
  <c r="D6369" i="106"/>
  <c r="B6370" i="106"/>
  <c r="D6370" i="106" s="1"/>
  <c r="B6371" i="106"/>
  <c r="D6371" i="106" s="1"/>
  <c r="B6372" i="106"/>
  <c r="D6372" i="106" s="1"/>
  <c r="B6373" i="106"/>
  <c r="D6373" i="106"/>
  <c r="B6374" i="106"/>
  <c r="D6374" i="106" s="1"/>
  <c r="B6375" i="106"/>
  <c r="D6375" i="106" s="1"/>
  <c r="B6376" i="106"/>
  <c r="D6376" i="106" s="1"/>
  <c r="B6377" i="106"/>
  <c r="D6377" i="106" s="1"/>
  <c r="B6378" i="106"/>
  <c r="D6378" i="106" s="1"/>
  <c r="B6379" i="106"/>
  <c r="D6379" i="106"/>
  <c r="B6380" i="106"/>
  <c r="D6380" i="106" s="1"/>
  <c r="B6381" i="106"/>
  <c r="D6381" i="106"/>
  <c r="B6382" i="106"/>
  <c r="D6382" i="106" s="1"/>
  <c r="B6383" i="106"/>
  <c r="D6383" i="106" s="1"/>
  <c r="B6384" i="106"/>
  <c r="D6384" i="106" s="1"/>
  <c r="B6385" i="106"/>
  <c r="D6385" i="106"/>
  <c r="B6386" i="106"/>
  <c r="D6386" i="106" s="1"/>
  <c r="B6387" i="106"/>
  <c r="D6387" i="106"/>
  <c r="B6388" i="106"/>
  <c r="D6388" i="106" s="1"/>
  <c r="B6389" i="106"/>
  <c r="D6389" i="106"/>
  <c r="B6390" i="106"/>
  <c r="D6390" i="106" s="1"/>
  <c r="B6391" i="106"/>
  <c r="D6391" i="106" s="1"/>
  <c r="B6392" i="106"/>
  <c r="D6392" i="106" s="1"/>
  <c r="B6393" i="106"/>
  <c r="D6393" i="106"/>
  <c r="B6394" i="106"/>
  <c r="D6394" i="106" s="1"/>
  <c r="B6395" i="106"/>
  <c r="D6395" i="106"/>
  <c r="B6398" i="106"/>
  <c r="D6398" i="106" s="1"/>
  <c r="B6399" i="106"/>
  <c r="D6399" i="106"/>
  <c r="B6401" i="106"/>
  <c r="D6401" i="106" s="1"/>
  <c r="B6402" i="106"/>
  <c r="D6402" i="106" s="1"/>
  <c r="B6403" i="106"/>
  <c r="D6403" i="106" s="1"/>
  <c r="B6404" i="106"/>
  <c r="D6404" i="106"/>
  <c r="B6405" i="106"/>
  <c r="D6405" i="106" s="1"/>
  <c r="B6406" i="106"/>
  <c r="D6406" i="106" s="1"/>
  <c r="B6407" i="106"/>
  <c r="D6407" i="106" s="1"/>
  <c r="B6408" i="106"/>
  <c r="D6408" i="106"/>
  <c r="B6410" i="106"/>
  <c r="D6410" i="106" s="1"/>
  <c r="B6411" i="106"/>
  <c r="D6411" i="106" s="1"/>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c r="B6617" i="106"/>
  <c r="D6617" i="106" s="1"/>
  <c r="B6618" i="106"/>
  <c r="D6618" i="106"/>
  <c r="B6619" i="106"/>
  <c r="D6619" i="106" s="1"/>
  <c r="B6620" i="106"/>
  <c r="D6620" i="106" s="1"/>
  <c r="B6621" i="106"/>
  <c r="D6621" i="106" s="1"/>
  <c r="B6622" i="106"/>
  <c r="D6622" i="106"/>
  <c r="B6623" i="106"/>
  <c r="D6623" i="106" s="1"/>
  <c r="B6624" i="106"/>
  <c r="D6624" i="106"/>
  <c r="B6625" i="106"/>
  <c r="D6625" i="106" s="1"/>
  <c r="B6626" i="106"/>
  <c r="D6626" i="106"/>
  <c r="B6627" i="106"/>
  <c r="D6627" i="106" s="1"/>
  <c r="B6628" i="106"/>
  <c r="D6628" i="106" s="1"/>
  <c r="B6629" i="106"/>
  <c r="D6629" i="106" s="1"/>
  <c r="B6630" i="106"/>
  <c r="D6630" i="106"/>
  <c r="B6631" i="106"/>
  <c r="D6631" i="106" s="1"/>
  <c r="B6632" i="106"/>
  <c r="D6632" i="106"/>
  <c r="B6633" i="106"/>
  <c r="D6633" i="106" s="1"/>
  <c r="B6634" i="106"/>
  <c r="D6634" i="106"/>
  <c r="B6635" i="106"/>
  <c r="D6635" i="106" s="1"/>
  <c r="B6636" i="106"/>
  <c r="D6636" i="106" s="1"/>
  <c r="B6637" i="106"/>
  <c r="D6637" i="106" s="1"/>
  <c r="B6638" i="106"/>
  <c r="D6638" i="106"/>
  <c r="B6639" i="106"/>
  <c r="D6639" i="106" s="1"/>
  <c r="B6640" i="106"/>
  <c r="D6640" i="106"/>
  <c r="B6641" i="106"/>
  <c r="D6641" i="106" s="1"/>
  <c r="B6642" i="106"/>
  <c r="D6642" i="106"/>
  <c r="B6643" i="106"/>
  <c r="D6643" i="106" s="1"/>
  <c r="B6644" i="106"/>
  <c r="D6644" i="106" s="1"/>
  <c r="B6645" i="106"/>
  <c r="D6645" i="106" s="1"/>
  <c r="B6646" i="106"/>
  <c r="D6646" i="106"/>
  <c r="B6647" i="106"/>
  <c r="D6647" i="106" s="1"/>
  <c r="B6648" i="106"/>
  <c r="D6648" i="106"/>
  <c r="B6649" i="106"/>
  <c r="D6649" i="106" s="1"/>
  <c r="B6650" i="106"/>
  <c r="D6650" i="106"/>
  <c r="B6651" i="106"/>
  <c r="D6651" i="106" s="1"/>
  <c r="B6652" i="106"/>
  <c r="D6652" i="106" s="1"/>
  <c r="B6653" i="106"/>
  <c r="D6653" i="106" s="1"/>
  <c r="B6654" i="106"/>
  <c r="D6654" i="106"/>
  <c r="B6655" i="106"/>
  <c r="D6655" i="106" s="1"/>
  <c r="B6656" i="106"/>
  <c r="D6656" i="106"/>
  <c r="B6657" i="106"/>
  <c r="D6657" i="106" s="1"/>
  <c r="B6658" i="106"/>
  <c r="D6658" i="106"/>
  <c r="B6659" i="106"/>
  <c r="D6659" i="106" s="1"/>
  <c r="B6660" i="106"/>
  <c r="D6660" i="106" s="1"/>
  <c r="B6661" i="106"/>
  <c r="D6661" i="106" s="1"/>
  <c r="B6662" i="106"/>
  <c r="D6662" i="106"/>
  <c r="B6663" i="106"/>
  <c r="D6663" i="106" s="1"/>
  <c r="B6664" i="106"/>
  <c r="D6664" i="106"/>
  <c r="B6665" i="106"/>
  <c r="D6665" i="106" s="1"/>
  <c r="B6666" i="106"/>
  <c r="D6666" i="106"/>
  <c r="B6667" i="106"/>
  <c r="D6667" i="106" s="1"/>
  <c r="B6668" i="106"/>
  <c r="D6668" i="106" s="1"/>
  <c r="B6669" i="106"/>
  <c r="D6669" i="106" s="1"/>
  <c r="B6670" i="106"/>
  <c r="D6670" i="106"/>
  <c r="B6671" i="106"/>
  <c r="D6671" i="106" s="1"/>
  <c r="B6672" i="106"/>
  <c r="D6672" i="106"/>
  <c r="B6673" i="106"/>
  <c r="D6673" i="106" s="1"/>
  <c r="B6674" i="106"/>
  <c r="D6674" i="106"/>
  <c r="B6675" i="106"/>
  <c r="D6675" i="106" s="1"/>
  <c r="B6676" i="106"/>
  <c r="D6676" i="106" s="1"/>
  <c r="B6677" i="106"/>
  <c r="D6677" i="106" s="1"/>
  <c r="B6678" i="106"/>
  <c r="D6678" i="106"/>
  <c r="B6679" i="106"/>
  <c r="D6679" i="106" s="1"/>
  <c r="B6680" i="106"/>
  <c r="D6680" i="106"/>
  <c r="B6681" i="106"/>
  <c r="D6681" i="106" s="1"/>
  <c r="B6682" i="106"/>
  <c r="D6682" i="106"/>
  <c r="B6683" i="106"/>
  <c r="D6683" i="106" s="1"/>
  <c r="B6684" i="106"/>
  <c r="D6684" i="106" s="1"/>
  <c r="B6685" i="106"/>
  <c r="D6685" i="106" s="1"/>
  <c r="B6686" i="106"/>
  <c r="D6686" i="106"/>
  <c r="B6687" i="106"/>
  <c r="D6687" i="106" s="1"/>
  <c r="B6688" i="106"/>
  <c r="D6688" i="106"/>
  <c r="B6689" i="106"/>
  <c r="D6689" i="106" s="1"/>
  <c r="B6690" i="106"/>
  <c r="D6690" i="106"/>
  <c r="B6691" i="106"/>
  <c r="D6691" i="106" s="1"/>
  <c r="B6692" i="106"/>
  <c r="D6692" i="106" s="1"/>
  <c r="B6693" i="106"/>
  <c r="D6693" i="106" s="1"/>
  <c r="B6694" i="106"/>
  <c r="D6694" i="106"/>
  <c r="B6695" i="106"/>
  <c r="D6695" i="106" s="1"/>
  <c r="B6696" i="106"/>
  <c r="D6696" i="106"/>
  <c r="B6697" i="106"/>
  <c r="D6697" i="106" s="1"/>
  <c r="B6698" i="106"/>
  <c r="D6698" i="106"/>
  <c r="B6699" i="106"/>
  <c r="D6699" i="106" s="1"/>
  <c r="B6700" i="106"/>
  <c r="D6700" i="106" s="1"/>
  <c r="B6701" i="106"/>
  <c r="D6701" i="106" s="1"/>
  <c r="B6702" i="106"/>
  <c r="D6702" i="106"/>
  <c r="B6703" i="106"/>
  <c r="D6703" i="106" s="1"/>
  <c r="B6704" i="106"/>
  <c r="D6704" i="106"/>
  <c r="B6705" i="106"/>
  <c r="D6705" i="106" s="1"/>
  <c r="B6706" i="106"/>
  <c r="D6706" i="106"/>
  <c r="B6707" i="106"/>
  <c r="D6707" i="106" s="1"/>
  <c r="B6708" i="106"/>
  <c r="D6708" i="106" s="1"/>
  <c r="B6709" i="106"/>
  <c r="D6709" i="106" s="1"/>
  <c r="B6710" i="106"/>
  <c r="D6710" i="106"/>
  <c r="B6711" i="106"/>
  <c r="D6711" i="106" s="1"/>
  <c r="B6712" i="106"/>
  <c r="D6712" i="106"/>
  <c r="B6713" i="106"/>
  <c r="D6713" i="106" s="1"/>
  <c r="B6714" i="106"/>
  <c r="D6714" i="106"/>
  <c r="B6715" i="106"/>
  <c r="D6715" i="106" s="1"/>
  <c r="B6716" i="106"/>
  <c r="D6716" i="106" s="1"/>
  <c r="B6717" i="106"/>
  <c r="D6717" i="106" s="1"/>
  <c r="B6718" i="106"/>
  <c r="D6718" i="106"/>
  <c r="B6719" i="106"/>
  <c r="D6719" i="106" s="1"/>
  <c r="B6720" i="106"/>
  <c r="D6720" i="106"/>
  <c r="B6721" i="106"/>
  <c r="D6721" i="106" s="1"/>
  <c r="B6722" i="106"/>
  <c r="D6722" i="106"/>
  <c r="B6723" i="106"/>
  <c r="D6723" i="106" s="1"/>
  <c r="B6724" i="106"/>
  <c r="D6724" i="106" s="1"/>
  <c r="B6725" i="106"/>
  <c r="D6725" i="106" s="1"/>
  <c r="B6726" i="106"/>
  <c r="D6726" i="106"/>
  <c r="B6727" i="106"/>
  <c r="D6727" i="106" s="1"/>
  <c r="B6728" i="106"/>
  <c r="D6728" i="106"/>
  <c r="B6729" i="106"/>
  <c r="D6729" i="106" s="1"/>
  <c r="B6730" i="106"/>
  <c r="D6730" i="106"/>
  <c r="B6731" i="106"/>
  <c r="D6731" i="106" s="1"/>
  <c r="B6732" i="106"/>
  <c r="D6732" i="106"/>
  <c r="B6733" i="106"/>
  <c r="D6733" i="106" s="1"/>
  <c r="B6734" i="106"/>
  <c r="D6734" i="106"/>
  <c r="B6735" i="106"/>
  <c r="D6735" i="106" s="1"/>
  <c r="B6736" i="106"/>
  <c r="D6736" i="106"/>
  <c r="B6737" i="106"/>
  <c r="D6737" i="106" s="1"/>
  <c r="B6738" i="106"/>
  <c r="D6738" i="106"/>
  <c r="B6739" i="106"/>
  <c r="D6739" i="106" s="1"/>
  <c r="B6740" i="106"/>
  <c r="D6740" i="106"/>
  <c r="B6741" i="106"/>
  <c r="D6741" i="106" s="1"/>
  <c r="B6742" i="106"/>
  <c r="D6742" i="106"/>
  <c r="B6743" i="106"/>
  <c r="D6743" i="106" s="1"/>
  <c r="B6744" i="106"/>
  <c r="D6744" i="106"/>
  <c r="B6745" i="106"/>
  <c r="D6745" i="106" s="1"/>
  <c r="B6746" i="106"/>
  <c r="D6746" i="106"/>
  <c r="B6747" i="106"/>
  <c r="D6747" i="106" s="1"/>
  <c r="B6748" i="106"/>
  <c r="D6748" i="106"/>
  <c r="B6749" i="106"/>
  <c r="D6749" i="106" s="1"/>
  <c r="B6750" i="106"/>
  <c r="D6750" i="106"/>
  <c r="B6751" i="106"/>
  <c r="D6751" i="106" s="1"/>
  <c r="B6752" i="106"/>
  <c r="D6752" i="106"/>
  <c r="B6753" i="106"/>
  <c r="D6753" i="106" s="1"/>
  <c r="B6754" i="106"/>
  <c r="D6754" i="106"/>
  <c r="B6755" i="106"/>
  <c r="D6755" i="106" s="1"/>
  <c r="B6756" i="106"/>
  <c r="D6756" i="106"/>
  <c r="B6757" i="106"/>
  <c r="D6757" i="106" s="1"/>
  <c r="B6758" i="106"/>
  <c r="D6758" i="106"/>
  <c r="B6759" i="106"/>
  <c r="D6759" i="106" s="1"/>
  <c r="B6760" i="106"/>
  <c r="D6760" i="106"/>
  <c r="B6761" i="106"/>
  <c r="D6761" i="106" s="1"/>
  <c r="B6762" i="106"/>
  <c r="D6762" i="106"/>
  <c r="B6763" i="106"/>
  <c r="D6763" i="106" s="1"/>
  <c r="B6764" i="106"/>
  <c r="D6764" i="106"/>
  <c r="B6765" i="106"/>
  <c r="D6765" i="106" s="1"/>
  <c r="B6766" i="106"/>
  <c r="D6766" i="106"/>
  <c r="B6767" i="106"/>
  <c r="D6767" i="106" s="1"/>
  <c r="B6768" i="106"/>
  <c r="D6768" i="106"/>
  <c r="B6769" i="106"/>
  <c r="D6769" i="106" s="1"/>
  <c r="B6770" i="106"/>
  <c r="D6770" i="106"/>
  <c r="B6771" i="106"/>
  <c r="D6771" i="106" s="1"/>
  <c r="B6772" i="106"/>
  <c r="D6772" i="106"/>
  <c r="B6773" i="106"/>
  <c r="D6773" i="106" s="1"/>
  <c r="B6774" i="106"/>
  <c r="D6774" i="106"/>
  <c r="B6775" i="106"/>
  <c r="D6775" i="106" s="1"/>
  <c r="B6776" i="106"/>
  <c r="D6776" i="106"/>
  <c r="B6777" i="106"/>
  <c r="D6777" i="106" s="1"/>
  <c r="B6778" i="106"/>
  <c r="D6778" i="106"/>
  <c r="B6779" i="106"/>
  <c r="D6779" i="106" s="1"/>
  <c r="B6780" i="106"/>
  <c r="D6780" i="106"/>
  <c r="B6781" i="106"/>
  <c r="D6781" i="106" s="1"/>
  <c r="B6782" i="106"/>
  <c r="D6782" i="106"/>
  <c r="B6783" i="106"/>
  <c r="D6783" i="106" s="1"/>
  <c r="B6784" i="106"/>
  <c r="D6784" i="106"/>
  <c r="B6785" i="106"/>
  <c r="D6785" i="106" s="1"/>
  <c r="B6786" i="106"/>
  <c r="D6786" i="106"/>
  <c r="B6787" i="106"/>
  <c r="D6787" i="106" s="1"/>
  <c r="B6788" i="106"/>
  <c r="D6788" i="106"/>
  <c r="B6789" i="106"/>
  <c r="D6789" i="106" s="1"/>
  <c r="B6790" i="106"/>
  <c r="D6790" i="106"/>
  <c r="B6791" i="106"/>
  <c r="D6791" i="106" s="1"/>
  <c r="B6792" i="106"/>
  <c r="D6792" i="106"/>
  <c r="B6793" i="106"/>
  <c r="D6793" i="106" s="1"/>
  <c r="B6794" i="106"/>
  <c r="D6794" i="106"/>
  <c r="B6795" i="106"/>
  <c r="D6795" i="106" s="1"/>
  <c r="B6796" i="106"/>
  <c r="D6796" i="106"/>
  <c r="B6797" i="106"/>
  <c r="D6797" i="106" s="1"/>
  <c r="B6798" i="106"/>
  <c r="D6798" i="106"/>
  <c r="B6799" i="106"/>
  <c r="D6799" i="106" s="1"/>
  <c r="B6800" i="106"/>
  <c r="D6800" i="106"/>
  <c r="B6801" i="106"/>
  <c r="D6801" i="106" s="1"/>
  <c r="B6802" i="106"/>
  <c r="D6802" i="106"/>
  <c r="B6803" i="106"/>
  <c r="D6803" i="106" s="1"/>
  <c r="B6804" i="106"/>
  <c r="D6804" i="106"/>
  <c r="B6805" i="106"/>
  <c r="D6805" i="106" s="1"/>
  <c r="B6806" i="106"/>
  <c r="D6806" i="106"/>
  <c r="B6807" i="106"/>
  <c r="D6807" i="106" s="1"/>
  <c r="B6808" i="106"/>
  <c r="D6808" i="106"/>
  <c r="B6809" i="106"/>
  <c r="D6809" i="106" s="1"/>
  <c r="B6810" i="106"/>
  <c r="D6810" i="106"/>
  <c r="B6811" i="106"/>
  <c r="D6811" i="106" s="1"/>
  <c r="B6812" i="106"/>
  <c r="D6812" i="106"/>
  <c r="B6813" i="106"/>
  <c r="D6813" i="106" s="1"/>
  <c r="B6814" i="106"/>
  <c r="D6814" i="106"/>
  <c r="B6815" i="106"/>
  <c r="D6815" i="106" s="1"/>
  <c r="B6816" i="106"/>
  <c r="D6816" i="106"/>
  <c r="B6817" i="106"/>
  <c r="D6817" i="106" s="1"/>
  <c r="B6818" i="106"/>
  <c r="D6818" i="106"/>
  <c r="B6819" i="106"/>
  <c r="D6819" i="106" s="1"/>
  <c r="B6820" i="106"/>
  <c r="D6820" i="106"/>
  <c r="B6821" i="106"/>
  <c r="D6821" i="106" s="1"/>
  <c r="B6822" i="106"/>
  <c r="D6822" i="106"/>
  <c r="B6823" i="106"/>
  <c r="D6823" i="106" s="1"/>
  <c r="B6824" i="106"/>
  <c r="D6824" i="106"/>
  <c r="B6825" i="106"/>
  <c r="D6825" i="106" s="1"/>
  <c r="B6826" i="106"/>
  <c r="D6826" i="106"/>
  <c r="B6827" i="106"/>
  <c r="D6827" i="106" s="1"/>
  <c r="B6828" i="106"/>
  <c r="D6828" i="106"/>
  <c r="B6829" i="106"/>
  <c r="D6829" i="106" s="1"/>
  <c r="B6830" i="106"/>
  <c r="D6830" i="106"/>
  <c r="B6831" i="106"/>
  <c r="D6831" i="106" s="1"/>
  <c r="B6832" i="106"/>
  <c r="D6832" i="106"/>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68" i="36"/>
  <c r="D69" i="36"/>
  <c r="D71" i="36"/>
  <c r="D72" i="36"/>
  <c r="D79" i="36"/>
  <c r="B64" i="127"/>
  <c r="B65" i="127"/>
  <c r="D26" i="108"/>
  <c r="E26" i="108"/>
  <c r="F26" i="108"/>
  <c r="G26" i="108"/>
  <c r="D27" i="108"/>
  <c r="E27" i="108"/>
  <c r="G27" i="108"/>
  <c r="F36" i="108"/>
  <c r="G28" i="108"/>
  <c r="G30"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c r="D5355" i="106" s="1"/>
  <c r="E108" i="5"/>
  <c r="B5526" i="106"/>
  <c r="D5526" i="106" s="1"/>
  <c r="F108" i="5"/>
  <c r="B5587" i="106"/>
  <c r="D5587" i="106" s="1"/>
  <c r="G108" i="5"/>
  <c r="B5737" i="106"/>
  <c r="D5737" i="106" s="1"/>
  <c r="H108" i="5"/>
  <c r="H109" i="5" s="1"/>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c r="D5383" i="106" s="1"/>
  <c r="G140" i="5"/>
  <c r="G144" i="5"/>
  <c r="B5756" i="106" s="1"/>
  <c r="D5756" i="106" s="1"/>
  <c r="G154" i="5"/>
  <c r="B4357" i="106" s="1"/>
  <c r="D4357" i="106" s="1"/>
  <c r="G172" i="5"/>
  <c r="G173" i="5" s="1"/>
  <c r="B5778" i="106" s="1"/>
  <c r="D5778"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s="1"/>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C14" i="4"/>
  <c r="B2558" i="106" s="1"/>
  <c r="D2558" i="106" s="1"/>
  <c r="D14" i="4"/>
  <c r="B2570" i="106" s="1"/>
  <c r="D2570" i="106" s="1"/>
  <c r="F14" i="4"/>
  <c r="B2597" i="106" s="1"/>
  <c r="D2597" i="106" s="1"/>
  <c r="B2633" i="106"/>
  <c r="D2633" i="106" s="1"/>
  <c r="D7" i="118"/>
  <c r="D8" i="118"/>
  <c r="D9" i="118"/>
  <c r="H14" i="118"/>
  <c r="H19" i="118"/>
  <c r="H24" i="118"/>
  <c r="H28" i="118"/>
  <c r="H29" i="118"/>
  <c r="K28" i="118" s="1"/>
  <c r="O27" i="118" s="1"/>
  <c r="O29" i="118" s="1"/>
  <c r="H33" i="118"/>
  <c r="D22" i="37"/>
  <c r="H22" i="37"/>
  <c r="J22" i="37"/>
  <c r="L22" i="37"/>
  <c r="D24" i="37"/>
  <c r="B4270" i="106" s="1"/>
  <c r="D4270" i="106" s="1"/>
  <c r="L5" i="11"/>
  <c r="B2056" i="106" s="1"/>
  <c r="D2056" i="106" s="1"/>
  <c r="D4" i="7"/>
  <c r="B1760" i="106" s="1"/>
  <c r="D1760" i="106" s="1"/>
  <c r="D13" i="7"/>
  <c r="B3726" i="106" s="1"/>
  <c r="D3726" i="106" s="1"/>
  <c r="F136" i="34"/>
  <c r="F131" i="34"/>
  <c r="F127" i="34"/>
  <c r="F111" i="34"/>
  <c r="B5752" i="106"/>
  <c r="D5752" i="106" s="1"/>
  <c r="B5599" i="106"/>
  <c r="D5599" i="106" s="1"/>
  <c r="K274" i="5"/>
  <c r="D7" i="7"/>
  <c r="B1763" i="106" s="1"/>
  <c r="D1763" i="106" s="1"/>
  <c r="D17" i="7"/>
  <c r="B4104" i="106" s="1"/>
  <c r="D4104" i="106" s="1"/>
  <c r="D11" i="7"/>
  <c r="B1768" i="106" s="1"/>
  <c r="D1768" i="106" s="1"/>
  <c r="D15" i="7"/>
  <c r="B1772" i="106" s="1"/>
  <c r="D1772" i="106" s="1"/>
  <c r="E30" i="108" l="1"/>
  <c r="B6025" i="106"/>
  <c r="D6025" i="106" s="1"/>
  <c r="H4" i="4"/>
  <c r="B2655" i="106" s="1"/>
  <c r="D2655" i="106" s="1"/>
  <c r="B7199" i="106"/>
  <c r="D7199" i="106" s="1"/>
  <c r="C342" i="29"/>
  <c r="B7216" i="106" s="1"/>
  <c r="D7216" i="106" s="1"/>
  <c r="B3649" i="106"/>
  <c r="D3649" i="106" s="1"/>
  <c r="G367" i="29"/>
  <c r="B3650" i="106" s="1"/>
  <c r="D3650" i="106" s="1"/>
  <c r="E14" i="145"/>
  <c r="G14" i="145" s="1"/>
  <c r="B1124" i="106"/>
  <c r="D1124" i="106" s="1"/>
  <c r="B1746" i="106"/>
  <c r="D1746" i="106" s="1"/>
  <c r="J352" i="29"/>
  <c r="E15" i="145"/>
  <c r="G15" i="145" s="1"/>
  <c r="B1126" i="106"/>
  <c r="D1126" i="106" s="1"/>
  <c r="B6261" i="106"/>
  <c r="D6261" i="106" s="1"/>
  <c r="J77" i="4"/>
  <c r="B6262" i="106" s="1"/>
  <c r="D6262" i="106" s="1"/>
  <c r="I173" i="5"/>
  <c r="B4216" i="106" s="1"/>
  <c r="D4216" i="106" s="1"/>
  <c r="F128" i="34"/>
  <c r="B5770" i="106"/>
  <c r="D5770" i="106" s="1"/>
  <c r="G5" i="4"/>
  <c r="B3409" i="106" s="1"/>
  <c r="D3409" i="106" s="1"/>
  <c r="F45" i="34"/>
  <c r="F36" i="34"/>
  <c r="H173" i="5"/>
  <c r="F130" i="34"/>
  <c r="D9" i="7"/>
  <c r="B1767" i="106" s="1"/>
  <c r="D1767" i="106" s="1"/>
  <c r="F172" i="5"/>
  <c r="B5644" i="106" s="1"/>
  <c r="D5644" i="106" s="1"/>
  <c r="E109" i="5"/>
  <c r="E4" i="4" s="1"/>
  <c r="B2630" i="106" s="1"/>
  <c r="D2630" i="106" s="1"/>
  <c r="L312" i="29"/>
  <c r="F66" i="34"/>
  <c r="B3621" i="106"/>
  <c r="D3621" i="106" s="1"/>
  <c r="C367" i="29"/>
  <c r="B3622" i="106" s="1"/>
  <c r="D3622" i="106" s="1"/>
  <c r="B3170" i="106"/>
  <c r="D3170" i="106" s="1"/>
  <c r="H76" i="4"/>
  <c r="B3298" i="106" s="1"/>
  <c r="D3298" i="106" s="1"/>
  <c r="K285" i="29"/>
  <c r="B3723" i="106"/>
  <c r="D3723" i="106" s="1"/>
  <c r="B1364" i="106"/>
  <c r="D1364" i="106" s="1"/>
  <c r="G210" i="29"/>
  <c r="B1365" i="106" s="1"/>
  <c r="D1365" i="106" s="1"/>
  <c r="D6103" i="106"/>
  <c r="H365" i="29"/>
  <c r="K76" i="4"/>
  <c r="B3586" i="106" s="1"/>
  <c r="D3586" i="106" s="1"/>
  <c r="F68" i="34"/>
  <c r="L13" i="11"/>
  <c r="B2060" i="106" s="1"/>
  <c r="D2060" i="106" s="1"/>
  <c r="K26" i="12"/>
  <c r="B7743" i="106" s="1"/>
  <c r="D7743" i="106" s="1"/>
  <c r="N22" i="3"/>
  <c r="B283" i="106" s="1"/>
  <c r="D283" i="106" s="1"/>
  <c r="F19" i="7"/>
  <c r="B1807" i="106" s="1"/>
  <c r="D1807" i="106" s="1"/>
  <c r="K350" i="29"/>
  <c r="L342" i="29"/>
  <c r="G14" i="4"/>
  <c r="B2609" i="106" s="1"/>
  <c r="D2609" i="106" s="1"/>
  <c r="F72" i="34"/>
  <c r="F65" i="34"/>
  <c r="E29" i="108"/>
  <c r="G29" i="108"/>
  <c r="K184" i="29"/>
  <c r="F13" i="4" s="1"/>
  <c r="B2596" i="106" s="1"/>
  <c r="D2596" i="106" s="1"/>
  <c r="B1329" i="106"/>
  <c r="D1329" i="106" s="1"/>
  <c r="F61" i="34"/>
  <c r="F28" i="108"/>
  <c r="C129" i="29"/>
  <c r="C151" i="29" s="1"/>
  <c r="B1226" i="106" s="1"/>
  <c r="D1226" i="106" s="1"/>
  <c r="E28" i="108"/>
  <c r="F37" i="108"/>
  <c r="D31" i="108"/>
  <c r="D41" i="108" s="1"/>
  <c r="E43" i="108" s="1"/>
  <c r="B2724" i="106"/>
  <c r="D2724" i="106" s="1"/>
  <c r="F35" i="34"/>
  <c r="D12" i="7"/>
  <c r="B1769" i="106" s="1"/>
  <c r="D1769" i="106" s="1"/>
  <c r="G109" i="5"/>
  <c r="D109" i="5"/>
  <c r="B5356" i="106" s="1"/>
  <c r="D5356" i="106" s="1"/>
  <c r="D5" i="7"/>
  <c r="B1761" i="106" s="1"/>
  <c r="D1761" i="106" s="1"/>
  <c r="F106" i="34"/>
  <c r="C172" i="5"/>
  <c r="F94" i="34"/>
  <c r="C109" i="5"/>
  <c r="B5121" i="106" s="1"/>
  <c r="D5121" i="106" s="1"/>
  <c r="B5066" i="106"/>
  <c r="D5066" i="106" s="1"/>
  <c r="D54" i="36"/>
  <c r="D31" i="36"/>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L279" i="29"/>
  <c r="L295" i="29" s="1"/>
  <c r="L74" i="29"/>
  <c r="K33" i="29"/>
  <c r="B720" i="106"/>
  <c r="D720" i="106" s="1"/>
  <c r="B2031" i="106"/>
  <c r="D2031" i="106" s="1"/>
  <c r="B7618" i="106"/>
  <c r="L14" i="11"/>
  <c r="B7623" i="106" s="1"/>
  <c r="D7252" i="106"/>
  <c r="D7250" i="106"/>
  <c r="B7230" i="106"/>
  <c r="D7230" i="106" s="1"/>
  <c r="I352" i="29"/>
  <c r="I367" i="29"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D274" i="5"/>
  <c r="B7270" i="106"/>
  <c r="J367" i="29" l="1"/>
  <c r="B7245" i="106" s="1"/>
  <c r="D7245" i="106" s="1"/>
  <c r="B7235" i="106"/>
  <c r="D7235" i="106" s="1"/>
  <c r="K77" i="4"/>
  <c r="B3587" i="106" s="1"/>
  <c r="D3587" i="106" s="1"/>
  <c r="F275" i="5"/>
  <c r="H367" i="29"/>
  <c r="B3660" i="106" s="1"/>
  <c r="D3660" i="106" s="1"/>
  <c r="B7242" i="106"/>
  <c r="D7242" i="106" s="1"/>
  <c r="B5906" i="106"/>
  <c r="D5906" i="106" s="1"/>
  <c r="H6" i="4"/>
  <c r="B2656" i="106" s="1"/>
  <c r="D2656" i="106" s="1"/>
  <c r="B5527" i="106"/>
  <c r="D5527" i="106" s="1"/>
  <c r="F274" i="5"/>
  <c r="F73" i="34"/>
  <c r="G15" i="4"/>
  <c r="B6032" i="106" s="1"/>
  <c r="D6032" i="106" s="1"/>
  <c r="D19" i="7"/>
  <c r="B1775" i="106" s="1"/>
  <c r="D1775" i="106" s="1"/>
  <c r="B1328" i="106"/>
  <c r="D1328" i="106" s="1"/>
  <c r="D44" i="36"/>
  <c r="B3724" i="106"/>
  <c r="D3724" i="106" s="1"/>
  <c r="L16" i="11"/>
  <c r="B2061" i="106" s="1"/>
  <c r="D2061" i="106" s="1"/>
  <c r="N23" i="3"/>
  <c r="B284" i="106" s="1"/>
  <c r="D284" i="106" s="1"/>
  <c r="B3670" i="106"/>
  <c r="D3670" i="106" s="1"/>
  <c r="K352" i="29"/>
  <c r="K342" i="29"/>
  <c r="F13" i="34" s="1"/>
  <c r="B1317" i="106"/>
  <c r="D1317" i="106" s="1"/>
  <c r="F41" i="108"/>
  <c r="G43" i="108" s="1"/>
  <c r="L114" i="29"/>
  <c r="C114" i="29"/>
  <c r="B757" i="106" s="1"/>
  <c r="D757" i="106" s="1"/>
  <c r="B6024" i="106"/>
  <c r="D6024" i="106" s="1"/>
  <c r="G4" i="4"/>
  <c r="B2603" i="106" s="1"/>
  <c r="D2603" i="106" s="1"/>
  <c r="D4" i="4"/>
  <c r="B2564" i="106" s="1"/>
  <c r="D2564" i="106" s="1"/>
  <c r="B5214" i="106"/>
  <c r="D5214" i="106" s="1"/>
  <c r="C173" i="5"/>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B5507" i="106"/>
  <c r="D5507" i="106" s="1"/>
  <c r="B7298" i="106"/>
  <c r="B7299" i="106"/>
  <c r="F8" i="4" l="1"/>
  <c r="F10" i="4" s="1"/>
  <c r="B4125" i="106" s="1"/>
  <c r="D4125" i="106" s="1"/>
  <c r="B7224" i="106"/>
  <c r="D7224" i="106" s="1"/>
  <c r="H8" i="4"/>
  <c r="K13" i="4"/>
  <c r="B3572" i="106" s="1"/>
  <c r="D3572" i="106" s="1"/>
  <c r="B3672" i="106"/>
  <c r="D3672" i="106" s="1"/>
  <c r="K367" i="29"/>
  <c r="K368" i="29" s="1"/>
  <c r="B3681" i="106" s="1"/>
  <c r="D3681" i="106" s="1"/>
  <c r="G41" i="108"/>
  <c r="G44" i="108" s="1"/>
  <c r="G45" i="108" s="1"/>
  <c r="E41" i="108"/>
  <c r="E44" i="108" s="1"/>
  <c r="E45" i="108" s="1"/>
  <c r="J8" i="4"/>
  <c r="J10" i="4" s="1"/>
  <c r="B6225" i="106" s="1"/>
  <c r="D6225" i="106"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6223" i="106"/>
  <c r="D6223" i="106" s="1"/>
  <c r="B5508" i="106"/>
  <c r="D5508" i="106" s="1"/>
  <c r="D8" i="4"/>
  <c r="B2567" i="106"/>
  <c r="D2567" i="106" s="1"/>
  <c r="B2595" i="106" l="1"/>
  <c r="D2595" i="106" s="1"/>
  <c r="K17" i="4"/>
  <c r="K19" i="4" s="1"/>
  <c r="B4144" i="106" s="1"/>
  <c r="D4144" i="106" s="1"/>
  <c r="B2658" i="106"/>
  <c r="D2658" i="106" s="1"/>
  <c r="H10" i="4"/>
  <c r="B4127" i="106" s="1"/>
  <c r="D4127" i="106" s="1"/>
  <c r="B3678" i="106"/>
  <c r="D3678"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K20" i="4" l="1"/>
  <c r="K78" i="4"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D78" i="4"/>
  <c r="B2574" i="106"/>
  <c r="D2574" i="106" s="1"/>
  <c r="F8" i="146"/>
  <c r="F179" i="34" l="1"/>
  <c r="F79" i="34"/>
  <c r="B3576" i="106"/>
  <c r="D3576" i="106" s="1"/>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<sst xmlns="http://schemas.openxmlformats.org/spreadsheetml/2006/main" count="5067" uniqueCount="2128">
  <si>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</si>
  <si>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</si>
  <si>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</si>
  <si>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</si>
  <si>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</si>
  <si>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</si>
  <si>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</si>
  <si>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</si>
  <si>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</si>
  <si>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</si>
  <si>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</si>
  <si>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</si>
  <si>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</si>
  <si>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</si>
  <si>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</si>
  <si>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</si>
  <si>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</si>
  <si>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</si>
  <si>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</si>
  <si>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</si>
  <si>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</si>
  <si>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</si>
  <si>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</si>
  <si>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</si>
  <si>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</si>
  <si>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</si>
  <si>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</si>
  <si>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</si>
  <si>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</si>
  <si>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</si>
  <si>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</si>
  <si>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</si>
  <si>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</si>
  <si>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</si>
  <si>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</si>
  <si>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</si>
  <si>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</si>
  <si>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</si>
  <si>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</si>
  <si>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</si>
  <si>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</si>
  <si>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</si>
  <si>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</si>
  <si>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</si>
  <si>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</si>
  <si>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</si>
  <si>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</si>
  <si>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</si>
  <si>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</si>
  <si>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</si>
  <si>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</si>
  <si>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</si>
  <si>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</si>
  <si>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</si>
  <si>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</si>
  <si>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</si>
  <si>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</si>
  <si>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</si>
  <si>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</si>
  <si>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</si>
  <si>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</si>
  <si>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</si>
  <si>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</si>
  <si>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</si>
  <si>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</si>
  <si>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</si>
  <si>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</si>
  <si>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</si>
  <si>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</si>
  <si>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</si>
  <si>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</si>
  <si>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</si>
  <si>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</si>
  <si>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</si>
  <si>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</si>
  <si>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</si>
  <si>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</si>
  <si>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</si>
  <si>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</si>
  <si>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</si>
  <si>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</si>
  <si>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</si>
  <si>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</si>
  <si>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</si>
  <si>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</si>
  <si>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</si>
  <si>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</si>
  <si>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</si>
  <si>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</si>
  <si>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</si>
  <si>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</si>
  <si>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</si>
  <si>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</si>
  <si>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</si>
  <si>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</si>
  <si>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</si>
  <si>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</si>
  <si>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</si>
  <si>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</si>
  <si>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</si>
  <si>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</si>
  <si>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</si>
  <si>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</si>
  <si>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</si>
  <si>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</si>
  <si>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</si>
  <si>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</si>
  <si>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</si>
  <si>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</si>
  <si>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</si>
  <si>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</si>
  <si>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</si>
  <si>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</si>
  <si>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</si>
  <si>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</si>
  <si>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</si>
  <si>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</si>
  <si>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</si>
  <si>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</si>
  <si>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</si>
  <si>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</si>
  <si>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</si>
  <si>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</si>
  <si>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</si>
  <si>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</si>
  <si>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</si>
  <si>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</si>
  <si>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</si>
  <si>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</si>
  <si>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</si>
  <si>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</si>
  <si>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</si>
  <si>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</si>
  <si>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</si>
  <si>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</si>
  <si>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</si>
  <si>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</si>
  <si>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</si>
  <si>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</si>
  <si>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</si>
  <si>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</si>
  <si>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</si>
  <si>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</si>
  <si>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</si>
  <si>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</si>
  <si>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</si>
  <si>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</si>
  <si>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</si>
  <si>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</si>
  <si>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</si>
  <si>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</si>
  <si>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</si>
  <si>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</si>
  <si>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</si>
  <si>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</si>
  <si>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</si>
  <si>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</si>
  <si>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</si>
  <si>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</si>
  <si>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</si>
  <si>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</si>
  <si>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</si>
  <si>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</si>
  <si>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</si>
  <si>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</si>
  <si>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</si>
  <si>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</si>
  <si>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</si>
  <si>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</si>
  <si>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</si>
  <si>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</si>
  <si>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</si>
  <si>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</si>
  <si>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</si>
  <si>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</si>
  <si>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</si>
  <si>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</si>
  <si>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</si>
  <si>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</si>
  <si>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</si>
  <si>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</si>
  <si>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</si>
  <si>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</si>
  <si>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</si>
  <si>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</si>
  <si>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</si>
  <si>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</si>
  <si>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</si>
  <si>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</si>
  <si>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</si>
  <si>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</si>
  <si>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</si>
  <si>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</si>
  <si>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</si>
  <si>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</si>
  <si>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</si>
  <si>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</si>
  <si>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</si>
  <si>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</si>
  <si>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</si>
  <si>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</si>
  <si>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</si>
  <si>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</si>
  <si>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</si>
  <si>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</si>
  <si>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</si>
  <si>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</si>
  <si>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</si>
  <si>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</si>
  <si>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</si>
  <si>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</si>
  <si>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</si>
  <si>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</si>
  <si>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</si>
  <si>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</si>
  <si>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</si>
  <si>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</si>
  <si>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</si>
  <si>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</si>
  <si>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</si>
  <si>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</si>
  <si>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</si>
  <si>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</si>
  <si>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</si>
  <si>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</si>
  <si>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</si>
  <si>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</si>
  <si>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</si>
  <si>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</si>
  <si>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</si>
  <si>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</si>
  <si>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</si>
  <si>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</si>
  <si>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</si>
  <si>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</si>
  <si>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</si>
  <si>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</si>
  <si>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</si>
  <si>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</si>
  <si>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</si>
  <si>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</si>
  <si>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</si>
  <si>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</si>
  <si>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</si>
  <si>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</si>
  <si>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</si>
  <si>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</si>
  <si>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</si>
  <si>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</si>
  <si>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</si>
  <si>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</si>
  <si>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</si>
  <si>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</si>
  <si>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</si>
  <si>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</si>
  <si>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</si>
  <si>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</si>
  <si>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</si>
  <si>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</si>
  <si>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</si>
  <si>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</si>
  <si>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</si>
  <si>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</si>
  <si>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</si>
  <si>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</si>
  <si>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</si>
  <si>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</si>
  <si>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</si>
  <si>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</si>
  <si>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</si>
  <si>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</si>
  <si>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</si>
  <si>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</si>
  <si>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</si>
  <si>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</si>
  <si>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</si>
  <si>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</si>
  <si>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</si>
  <si>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</si>
  <si>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</si>
  <si>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</si>
  <si>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</si>
  <si>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</si>
  <si>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</si>
  <si>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</si>
  <si>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</si>
  <si>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</si>
  <si>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</si>
  <si>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</si>
  <si>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</si>
  <si>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</si>
  <si>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</si>
  <si>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</si>
  <si>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</si>
  <si>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</si>
  <si>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</si>
  <si>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</si>
  <si>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</si>
  <si>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</si>
  <si>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</si>
  <si>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</si>
  <si>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</si>
  <si>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</si>
  <si>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</si>
  <si>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</si>
  <si>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</si>
  <si>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</si>
  <si>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</si>
  <si>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</si>
  <si>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</si>
  <si>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</si>
  <si>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</si>
  <si>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</si>
  <si>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</si>
  <si>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</si>
  <si>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</si>
  <si>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</si>
  <si>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</si>
  <si>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</si>
  <si>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</si>
  <si>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</si>
  <si>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</si>
  <si>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</si>
  <si>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</si>
  <si>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</si>
  <si>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</si>
  <si>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</si>
  <si>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</si>
  <si>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</si>
  <si>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</si>
  <si>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</si>
  <si>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</si>
  <si>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</si>
  <si>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</si>
  <si>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</si>
  <si>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</si>
  <si>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</si>
  <si>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</si>
  <si>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</si>
  <si>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</si>
  <si>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</si>
  <si>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</si>
  <si>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</si>
  <si>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</si>
  <si>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</si>
  <si>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</si>
  <si>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</si>
  <si>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</si>
  <si>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</si>
  <si>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</si>
  <si>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</si>
  <si>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</si>
  <si>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</si>
  <si>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</si>
  <si>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</si>
  <si>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</si>
  <si>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</si>
  <si>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</si>
  <si>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</si>
  <si>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</si>
  <si>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</si>
  <si>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</si>
  <si>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</si>
  <si>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</si>
  <si>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</si>
  <si>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</si>
  <si>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</si>
  <si>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</si>
  <si>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</si>
  <si>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</si>
  <si>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</si>
  <si>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</si>
  <si>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</si>
  <si>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</si>
  <si>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</si>
  <si>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</si>
  <si>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</si>
  <si>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</si>
  <si>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</si>
  <si>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</si>
  <si>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</si>
  <si>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</si>
  <si>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</si>
  <si>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</si>
  <si>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</si>
  <si>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</si>
  <si>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</si>
  <si>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</si>
  <si>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</si>
  <si>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</si>
  <si>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</si>
  <si>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</si>
  <si>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</si>
  <si>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</si>
  <si>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</si>
  <si>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</si>
  <si>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</si>
  <si>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</si>
  <si>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</si>
  <si>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</si>
  <si>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</si>
  <si>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</si>
  <si>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</si>
  <si>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</si>
  <si>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</si>
  <si>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</si>
  <si>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</si>
  <si>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</si>
  <si>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</si>
  <si>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</si>
  <si>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</si>
  <si>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</si>
  <si>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</si>
  <si>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</si>
  <si>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</si>
  <si>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</si>
  <si>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</si>
  <si>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</si>
  <si>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</si>
  <si>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</si>
  <si>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</si>
  <si>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</si>
  <si>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</si>
  <si>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</si>
  <si>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</si>
  <si>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</si>
  <si>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</si>
  <si>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</si>
  <si>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</si>
  <si>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</si>
  <si>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</si>
  <si>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</si>
  <si>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</si>
  <si>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</si>
  <si>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</si>
  <si>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</si>
  <si>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</si>
  <si>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</si>
  <si>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</si>
  <si>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</si>
  <si>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</si>
  <si>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</si>
  <si>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</si>
  <si>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</si>
  <si>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</si>
  <si>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</si>
  <si>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</si>
  <si>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</si>
  <si>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</si>
  <si>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</si>
  <si>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</si>
  <si>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</si>
  <si>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</si>
  <si>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</si>
  <si>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</si>
  <si>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</si>
  <si>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</si>
  <si>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</si>
  <si>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</si>
  <si>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</si>
  <si>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</si>
  <si>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</si>
  <si>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</si>
  <si>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</si>
  <si>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</si>
  <si>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</si>
  <si>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</si>
  <si>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</si>
  <si>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</si>
  <si>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</si>
  <si>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</si>
  <si>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</si>
  <si>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</si>
  <si>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</si>
  <si>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</si>
  <si>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</si>
  <si>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</si>
  <si>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</si>
  <si>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</si>
  <si>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</si>
  <si>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</si>
  <si>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</si>
  <si>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</si>
  <si>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</si>
  <si>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</si>
  <si>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</si>
  <si>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</si>
  <si>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</si>
  <si>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</si>
  <si>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</si>
  <si>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</si>
  <si>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</si>
  <si>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</si>
  <si>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</si>
  <si>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</si>
  <si>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</si>
  <si>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</si>
  <si>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</si>
  <si>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</si>
  <si>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</si>
  <si>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</si>
  <si>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</si>
  <si>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</si>
  <si>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</si>
  <si>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</si>
  <si>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</si>
  <si>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</si>
  <si>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</si>
  <si>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</si>
  <si>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</si>
  <si>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</si>
  <si>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</si>
  <si>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</si>
  <si>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</si>
  <si>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</si>
  <si>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</si>
  <si>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</si>
  <si>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</si>
  <si>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</si>
  <si>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</si>
  <si>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</si>
  <si>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</si>
  <si>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</si>
  <si>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</si>
  <si>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</si>
  <si>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</si>
  <si>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</si>
  <si>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</si>
  <si>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</si>
  <si>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</si>
  <si>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</si>
  <si>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</si>
  <si>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</si>
  <si>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</si>
  <si>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</si>
  <si>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</si>
  <si>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</si>
  <si>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</si>
  <si>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</si>
  <si>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</si>
  <si>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</si>
  <si>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</si>
  <si>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</si>
  <si>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</si>
  <si>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</si>
  <si>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</si>
  <si>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</si>
  <si>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</si>
  <si>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</si>
  <si>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</si>
  <si>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</si>
  <si>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</si>
  <si>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</si>
  <si>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</si>
  <si>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</si>
  <si>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</si>
  <si>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</si>
  <si>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</si>
  <si>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</si>
  <si>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</si>
  <si>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</si>
  <si>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</si>
  <si>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</si>
  <si>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</si>
  <si>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</si>
  <si>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</si>
  <si>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</si>
  <si>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</si>
  <si>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</si>
  <si>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</si>
  <si>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</si>
  <si>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</si>
  <si>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</si>
  <si>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</si>
  <si>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</si>
  <si>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</si>
  <si>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</si>
  <si>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</si>
  <si>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</si>
  <si>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</si>
  <si>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</si>
  <si>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</si>
  <si>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</si>
  <si>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</si>
  <si>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</si>
  <si>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</si>
  <si>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</si>
  <si>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</si>
  <si>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</si>
  <si>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</si>
  <si>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</si>
  <si>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</si>
  <si>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</si>
  <si>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</si>
  <si>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</si>
  <si>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</si>
  <si>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</si>
  <si>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</si>
  <si>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</si>
  <si>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</si>
  <si>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</si>
  <si>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</si>
  <si>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</si>
  <si>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</si>
  <si>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</si>
  <si>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</si>
  <si>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</si>
  <si>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</si>
  <si>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</si>
  <si>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</si>
  <si>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</si>
  <si>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</si>
  <si>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</si>
  <si>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</si>
  <si>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</si>
  <si>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</si>
  <si>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</si>
  <si>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</si>
  <si>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</si>
  <si>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</si>
  <si>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</si>
  <si>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</si>
  <si>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</si>
  <si>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</si>
  <si>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</si>
  <si>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</si>
  <si>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</si>
  <si>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</si>
  <si>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</si>
  <si>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</si>
  <si>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</si>
  <si>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</si>
  <si>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</si>
  <si>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</si>
  <si>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</si>
  <si>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</si>
  <si>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</si>
  <si>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</si>
  <si>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</si>
  <si>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</si>
  <si>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</si>
  <si>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</si>
  <si>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</si>
  <si>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</si>
  <si>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</si>
  <si>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</si>
  <si>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</si>
  <si>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</si>
  <si>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</si>
  <si>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</si>
  <si>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</si>
  <si>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</si>
  <si>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</si>
  <si>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</si>
  <si>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</si>
  <si>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</si>
  <si>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</si>
  <si>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</si>
  <si>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</si>
  <si>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</si>
  <si>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</si>
  <si>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</si>
  <si>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</si>
  <si>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</si>
  <si>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</si>
  <si>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</si>
  <si>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</si>
  <si>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</si>
  <si>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</si>
  <si>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</si>
  <si>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</si>
  <si>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</si>
  <si>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</si>
  <si>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</si>
  <si>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</si>
  <si>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</si>
  <si>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</si>
  <si>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</si>
  <si>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</si>
  <si>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</si>
  <si>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</si>
  <si>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</si>
  <si>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</si>
  <si>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</si>
  <si>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</si>
  <si>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</si>
  <si>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</si>
  <si>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</si>
  <si>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</si>
  <si>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</si>
  <si>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</si>
  <si>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</si>
  <si>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</si>
  <si>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</si>
  <si>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</si>
  <si>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</si>
  <si>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</si>
  <si>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</si>
  <si>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</si>
  <si>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</si>
  <si>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</si>
  <si>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</si>
  <si>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</si>
  <si>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</si>
  <si>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</si>
  <si>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</si>
  <si>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</si>
  <si>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</si>
  <si>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</si>
  <si>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</si>
  <si>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</si>
  <si>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</si>
  <si>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</si>
  <si>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</si>
  <si>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</si>
  <si>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</si>
  <si>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</si>
  <si>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</si>
  <si>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</si>
  <si>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</si>
  <si>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</si>
  <si>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</si>
  <si>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</si>
  <si>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</si>
  <si>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</si>
  <si>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</si>
  <si>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</si>
  <si>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</si>
  <si>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</si>
  <si>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</si>
  <si>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</si>
  <si>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</si>
  <si>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</si>
  <si>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</si>
  <si>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</si>
  <si>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</si>
  <si>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</si>
  <si>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</si>
  <si>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</si>
  <si>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</si>
  <si>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</si>
  <si>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</si>
  <si>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</si>
  <si>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</si>
  <si>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</si>
  <si>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</si>
  <si>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</si>
  <si>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</si>
  <si>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</si>
  <si>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</si>
  <si>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</si>
  <si>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</si>
  <si>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</si>
  <si>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</si>
  <si>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</si>
  <si>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</si>
  <si>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</si>
  <si>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</si>
  <si>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</si>
  <si>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</si>
  <si>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</si>
  <si>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</si>
  <si>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</si>
  <si>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</si>
  <si>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</si>
  <si>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</si>
  <si>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</si>
  <si>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</si>
  <si>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</si>
  <si>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</si>
  <si>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</si>
  <si>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</si>
  <si>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</si>
  <si>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</si>
  <si>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</si>
  <si>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</si>
  <si>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</si>
  <si>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</si>
  <si>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</si>
  <si>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</si>
  <si>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</si>
  <si>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</si>
  <si>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</si>
  <si>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</si>
  <si>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</si>
  <si>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</si>
  <si>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</si>
  <si>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</si>
  <si>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</si>
  <si>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</si>
  <si>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</si>
  <si>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</si>
  <si>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</si>
  <si>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</si>
  <si>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</si>
  <si>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</si>
  <si>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</si>
  <si>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</si>
  <si>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</si>
  <si>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</si>
  <si>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</si>
  <si>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</si>
  <si>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</si>
  <si>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</si>
  <si>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</si>
  <si>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</si>
  <si>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</si>
  <si>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</si>
  <si>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</si>
  <si>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</si>
  <si>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</si>
  <si>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</si>
  <si>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</si>
  <si>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</si>
  <si>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</si>
  <si>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</si>
  <si>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</si>
  <si>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</si>
  <si>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</si>
  <si>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</si>
  <si>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</si>
  <si>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</si>
  <si>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</si>
  <si>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</si>
  <si>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</si>
  <si>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</si>
  <si>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</si>
  <si>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</si>
  <si>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</si>
  <si>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</si>
  <si>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</si>
  <si>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</si>
  <si>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</si>
  <si>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</si>
  <si>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</si>
  <si>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</si>
  <si>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</si>
  <si>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</si>
  <si>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</si>
  <si>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</si>
  <si>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</si>
  <si>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</si>
  <si>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</si>
  <si>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</si>
  <si>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</si>
  <si>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</si>
  <si>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</si>
  <si>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</si>
  <si>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</si>
  <si>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</si>
  <si>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</si>
  <si>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</si>
  <si>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</si>
  <si>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</si>
  <si>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</si>
  <si>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</si>
  <si>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</si>
  <si>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</si>
  <si>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</si>
  <si>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</si>
  <si>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</si>
  <si>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</si>
  <si>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</si>
  <si>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</si>
  <si>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</si>
  <si>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</si>
  <si>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</si>
  <si>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</si>
  <si>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</si>
  <si>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</si>
  <si>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</si>
  <si>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</si>
  <si>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</si>
  <si>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</si>
  <si>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</si>
  <si>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</si>
  <si>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</si>
  <si>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</si>
  <si>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</si>
  <si>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</si>
  <si>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</si>
  <si>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</si>
  <si>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</si>
  <si>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</si>
  <si>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</si>
  <si>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</si>
  <si>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</si>
  <si>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</si>
  <si>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</si>
  <si>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</si>
  <si>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</si>
  <si>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</si>
  <si>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</si>
  <si>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</si>
  <si>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</si>
  <si>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</si>
  <si>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</si>
  <si>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</si>
  <si>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</si>
  <si>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</si>
  <si>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</si>
  <si>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</si>
  <si>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</si>
  <si>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</si>
  <si>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</si>
  <si>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</si>
  <si>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</si>
  <si>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</si>
  <si>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</si>
  <si>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</si>
  <si>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</si>
  <si>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</si>
  <si>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</si>
  <si>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</si>
  <si>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</si>
  <si>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</si>
  <si>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</si>
  <si>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</si>
  <si>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</si>
  <si>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</si>
  <si>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</si>
  <si>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</si>
  <si>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</si>
  <si>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</si>
  <si>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</si>
  <si>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</si>
  <si>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</si>
  <si>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</si>
  <si>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</si>
  <si>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</si>
  <si>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</si>
  <si>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</si>
  <si>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</si>
  <si>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</si>
  <si>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</si>
  <si>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</si>
  <si>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</si>
  <si>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</si>
  <si>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</si>
  <si>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</si>
  <si>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</si>
  <si>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</si>
  <si>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</si>
  <si>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</si>
  <si>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</si>
  <si>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</si>
  <si>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</si>
  <si>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</si>
  <si>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</si>
  <si>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</si>
  <si>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</si>
  <si>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</si>
  <si>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</si>
  <si>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</si>
  <si>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</si>
  <si>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</si>
  <si>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</si>
  <si>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</si>
  <si>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</si>
  <si>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</si>
  <si>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</si>
  <si>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</si>
  <si>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</si>
  <si>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</si>
  <si>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</si>
  <si>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</si>
  <si>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</si>
  <si>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</si>
  <si>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</si>
  <si>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</si>
  <si>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</si>
  <si>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</si>
  <si>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</si>
  <si>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</si>
  <si>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</si>
  <si>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</si>
  <si>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</si>
  <si>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</si>
  <si>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</si>
  <si>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</si>
  <si>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</si>
  <si>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</si>
  <si>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</si>
  <si>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</si>
  <si>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</si>
  <si>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</si>
  <si>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</si>
  <si>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</si>
  <si>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</si>
  <si>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</si>
  <si>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</si>
  <si>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</si>
  <si>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</si>
  <si>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</si>
  <si>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</si>
  <si>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</si>
  <si>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</si>
  <si>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</si>
  <si>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</si>
  <si>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</si>
  <si>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</si>
  <si>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</si>
  <si>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</si>
  <si>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</si>
  <si>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</si>
  <si>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</si>
  <si>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</si>
  <si>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</si>
  <si>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</si>
  <si>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</si>
  <si>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</si>
  <si>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</si>
  <si>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</si>
  <si>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</si>
  <si>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</si>
  <si>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</si>
  <si>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</si>
  <si>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</si>
  <si>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</si>
  <si>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</si>
  <si>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</si>
  <si>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</si>
  <si>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</si>
  <si>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</si>
  <si>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</si>
  <si>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</si>
  <si>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</si>
  <si>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</si>
  <si>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</si>
  <si>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</si>
  <si>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</si>
  <si>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</si>
  <si>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</si>
  <si>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</si>
  <si>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</si>
  <si>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</si>
  <si>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</si>
  <si>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</si>
  <si>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</si>
  <si>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</si>
  <si>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</si>
  <si>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</si>
  <si>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</si>
  <si>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</si>
  <si>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</si>
  <si>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</si>
  <si>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</si>
  <si>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</si>
  <si>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</si>
  <si>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</si>
  <si>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</si>
  <si>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</si>
  <si>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</si>
  <si>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</si>
  <si>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</si>
  <si>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</si>
  <si>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</si>
  <si>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</si>
  <si>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</si>
  <si>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</si>
  <si>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</si>
  <si>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</si>
  <si>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</si>
  <si>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</si>
  <si>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</si>
  <si>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</si>
  <si>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</si>
  <si>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</si>
  <si>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</si>
  <si>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</si>
  <si>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</si>
  <si>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</si>
  <si>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</si>
  <si>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</si>
  <si>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</si>
  <si>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</si>
  <si>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</si>
  <si>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</si>
  <si>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</si>
  <si>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</si>
  <si>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</si>
  <si>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</si>
  <si>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</si>
  <si>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</si>
  <si>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</si>
  <si>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</si>
  <si>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</si>
  <si>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</si>
  <si>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</si>
  <si>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</si>
  <si>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</si>
  <si>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</si>
  <si>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</si>
  <si>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</si>
  <si>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</si>
  <si>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</si>
  <si>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</si>
  <si>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</si>
  <si>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</si>
  <si>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</si>
  <si>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</si>
  <si>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</si>
  <si>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</si>
  <si>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</si>
  <si>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</si>
  <si>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</si>
  <si>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</si>
  <si>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</si>
  <si>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</si>
  <si>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</si>
  <si>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</si>
  <si>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</si>
  <si>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</si>
  <si>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</si>
  <si>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</si>
  <si>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</si>
  <si>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</si>
  <si>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</si>
  <si>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</si>
  <si>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</si>
  <si>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</si>
  <si>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</si>
  <si>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</si>
  <si>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</si>
  <si>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</si>
  <si>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</si>
  <si>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</si>
  <si>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</si>
  <si>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</si>
  <si>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</si>
  <si>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</si>
  <si>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</si>
  <si>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</si>
  <si>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</si>
  <si>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</si>
  <si>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</si>
  <si>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</si>
  <si>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</si>
  <si>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</si>
  <si>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</si>
  <si>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</si>
  <si>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</si>
  <si>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</si>
  <si>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</si>
  <si>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</si>
  <si>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</si>
  <si>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</si>
  <si>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</si>
  <si>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</si>
  <si>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</si>
  <si>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</si>
  <si>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</si>
  <si>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</si>
  <si>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</si>
  <si>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</si>
  <si>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</si>
  <si>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</si>
  <si>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</si>
  <si>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</si>
  <si>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</si>
  <si>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</si>
  <si>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</si>
  <si>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</si>
  <si>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</si>
  <si>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</si>
  <si>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</si>
  <si>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</si>
  <si>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</si>
  <si>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</si>
  <si>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</si>
  <si>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</si>
  <si>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</si>
  <si>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</si>
  <si>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</si>
  <si>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</si>
  <si>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</si>
  <si>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</si>
  <si>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</si>
  <si>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</si>
  <si>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</si>
  <si>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</si>
  <si>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</si>
  <si>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</si>
  <si>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</si>
  <si>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</si>
  <si>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</si>
  <si>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</si>
  <si>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</si>
  <si>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</si>
  <si>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</si>
  <si>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</si>
  <si>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</si>
  <si>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</si>
  <si>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</si>
  <si>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</si>
  <si>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</si>
  <si>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</si>
  <si>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</si>
  <si>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</si>
  <si>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</si>
  <si>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</si>
  <si>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</si>
  <si>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</si>
  <si>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</si>
  <si>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</si>
  <si>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</si>
  <si>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</si>
  <si>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</si>
  <si>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</si>
  <si>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</si>
  <si>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</si>
  <si>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</si>
  <si>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</si>
  <si>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</si>
  <si>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</si>
  <si>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</si>
  <si>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</si>
  <si>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</si>
  <si>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</si>
  <si>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</si>
  <si>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</si>
  <si>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</si>
  <si>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</si>
  <si>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</si>
  <si>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</si>
  <si>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</si>
  <si>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</si>
  <si>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</si>
  <si>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</si>
  <si>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</si>
  <si>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</si>
  <si>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</si>
  <si>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</si>
  <si>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</si>
  <si>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</si>
  <si>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</si>
  <si>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</si>
  <si>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</si>
  <si>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</si>
  <si>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</si>
  <si>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</si>
  <si>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</si>
  <si>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</si>
  <si>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</si>
  <si>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</si>
  <si>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</si>
  <si>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</si>
  <si>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</si>
  <si>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</si>
  <si>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</si>
  <si>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</si>
  <si>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</si>
  <si>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</si>
  <si>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</si>
  <si>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</si>
  <si>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</si>
  <si>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</si>
  <si>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</si>
  <si>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</si>
  <si>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</si>
  <si>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</si>
  <si>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</si>
  <si>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</si>
  <si>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</si>
  <si>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</si>
  <si>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</si>
  <si>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</si>
  <si>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</si>
  <si>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</si>
  <si>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</si>
  <si>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</si>
  <si>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</si>
  <si>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</si>
  <si>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</si>
  <si>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</si>
  <si>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</si>
  <si>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</si>
  <si>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</si>
  <si>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</si>
  <si>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</si>
  <si>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</si>
  <si>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</si>
  <si>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</si>
  <si>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</si>
  <si>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</si>
  <si>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</si>
  <si>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</si>
  <si>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</si>
  <si>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</si>
  <si>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</si>
  <si>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</si>
  <si>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</si>
  <si>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</si>
  <si>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</si>
  <si>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</si>
  <si>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</si>
  <si>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</si>
  <si>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</si>
  <si>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</si>
  <si>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</si>
  <si>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</si>
  <si>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</si>
  <si>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</si>
  <si>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</si>
  <si>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</si>
  <si>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</si>
  <si>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</si>
  <si>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</si>
  <si>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</si>
  <si>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</si>
  <si>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</si>
  <si>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</si>
  <si>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</si>
  <si>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</si>
  <si>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</si>
  <si>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</si>
  <si>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</si>
  <si>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</si>
  <si>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</si>
  <si>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</si>
  <si>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</si>
  <si>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</si>
  <si>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</si>
  <si>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</si>
  <si>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</si>
  <si>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</si>
  <si>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</si>
  <si>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</si>
  <si>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</si>
  <si>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</si>
  <si>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</si>
  <si>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</si>
  <si>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</si>
  <si>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</si>
  <si>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</si>
  <si>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</si>
  <si>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</si>
  <si>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</si>
  <si>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</si>
  <si>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</si>
  <si>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</si>
  <si>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</si>
  <si>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</si>
  <si>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</si>
  <si>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</si>
  <si>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</si>
  <si>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</si>
  <si>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</si>
  <si>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</si>
  <si>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</si>
  <si>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</si>
  <si>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</si>
  <si>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</si>
  <si>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</si>
  <si>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</si>
  <si>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</si>
  <si>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</si>
  <si>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</si>
  <si>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</si>
  <si>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</si>
  <si>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</si>
  <si>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</si>
  <si>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</si>
  <si>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</si>
  <si>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</si>
  <si>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</si>
  <si>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</si>
  <si>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</si>
  <si>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</si>
  <si>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</si>
  <si>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</si>
  <si>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</si>
  <si>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</si>
  <si>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</si>
  <si>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</si>
  <si>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</si>
  <si>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</si>
  <si>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</si>
  <si>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</si>
  <si>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</si>
  <si>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</si>
  <si>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</si>
  <si>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</si>
  <si>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</si>
  <si>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</si>
  <si>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</si>
  <si>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</si>
  <si>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</si>
  <si>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</si>
  <si>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</si>
  <si>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</si>
  <si>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</si>
  <si>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</si>
  <si>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</si>
  <si>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</si>
  <si>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</si>
  <si>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</si>
  <si>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</si>
  <si>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</si>
  <si>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</si>
  <si>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</si>
  <si>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</si>
  <si>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</si>
  <si>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</si>
  <si>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</si>
  <si>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</si>
  <si>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</si>
  <si>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</si>
  <si>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</si>
  <si>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</si>
  <si>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</si>
  <si>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</si>
  <si>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</si>
  <si>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</si>
  <si>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</si>
  <si>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</si>
  <si>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</si>
  <si>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</si>
  <si>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</si>
  <si>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</si>
  <si>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</si>
  <si>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</si>
  <si>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</si>
  <si>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</si>
  <si>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</si>
  <si>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</si>
  <si>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</si>
  <si>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</si>
  <si>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</si>
  <si>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</si>
  <si>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</si>
  <si>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</si>
  <si>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</si>
  <si>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</si>
  <si>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</si>
  <si>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</si>
  <si>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</si>
  <si>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</si>
  <si>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</si>
  <si>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</si>
  <si>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</si>
  <si>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</si>
  <si>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</si>
  <si>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</si>
  <si>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</si>
  <si>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</si>
  <si>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</si>
  <si>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</si>
  <si>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</si>
  <si>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</si>
  <si>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</si>
  <si>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</si>
  <si>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</si>
  <si>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</si>
  <si>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</si>
  <si>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</si>
  <si>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</si>
  <si>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</si>
  <si>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</si>
  <si>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</si>
  <si>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</si>
  <si>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</si>
  <si>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</si>
  <si>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</si>
  <si>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</si>
  <si>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</si>
  <si>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</si>
  <si>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</si>
  <si>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</si>
  <si>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</si>
  <si>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</si>
  <si>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</si>
  <si>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</si>
  <si>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</si>
  <si>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</si>
  <si>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</si>
  <si>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</si>
  <si>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</si>
  <si>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</si>
  <si>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</si>
  <si>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</si>
  <si>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</si>
  <si>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</si>
  <si>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</si>
  <si>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</si>
  <si>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</si>
  <si>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</si>
  <si>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</si>
  <si>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</si>
  <si>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</si>
  <si>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</si>
  <si>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</si>
  <si>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</si>
  <si>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</si>
  <si>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</si>
  <si>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</si>
  <si>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</si>
  <si>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</si>
  <si>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</si>
  <si>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</si>
  <si>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</si>
  <si>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</si>
  <si>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</si>
  <si>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</si>
  <si>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</si>
  <si>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</si>
  <si>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</si>
  <si>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</si>
  <si>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</si>
  <si>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</si>
  <si>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</si>
  <si>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</si>
  <si>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</si>
  <si>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</si>
  <si>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</si>
  <si>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</si>
  <si>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</si>
  <si>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</si>
  <si>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</si>
  <si>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</si>
  <si>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</si>
  <si>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</si>
  <si>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</si>
  <si>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</si>
  <si>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</si>
  <si>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</si>
  <si>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</si>
  <si>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</si>
  <si>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</si>
  <si>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</si>
  <si>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</si>
  <si>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</si>
  <si>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</si>
  <si>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</si>
  <si>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</si>
  <si>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</si>
  <si>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</si>
  <si>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</si>
  <si>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</si>
  <si>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</si>
  <si>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</si>
  <si>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</si>
  <si>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</si>
  <si>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</si>
  <si>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</si>
  <si>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</si>
  <si>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</si>
  <si>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</si>
  <si>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</si>
  <si>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</si>
  <si>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</si>
  <si>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</si>
  <si>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</si>
  <si>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</si>
  <si>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</si>
  <si>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</si>
  <si>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</si>
  <si>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</si>
  <si>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</si>
  <si>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</si>
  <si>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</si>
  <si>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</si>
  <si>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</si>
  <si>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</si>
  <si>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</si>
  <si>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</si>
  <si>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</si>
  <si>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</si>
  <si>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</si>
  <si>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</si>
  <si>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</si>
  <si>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</si>
  <si>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</si>
  <si>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</si>
  <si>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</si>
  <si>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</si>
  <si>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</si>
  <si>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</si>
  <si>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</si>
  <si>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</si>
  <si>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</si>
  <si>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</si>
  <si>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</si>
  <si>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</si>
  <si>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</si>
  <si>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</si>
  <si>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</si>
  <si>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</si>
  <si>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</si>
  <si>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</si>
  <si>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</si>
  <si>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</si>
  <si>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</si>
  <si>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</si>
  <si>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</si>
  <si>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</si>
  <si>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</si>
  <si>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</si>
  <si>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</si>
  <si>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</si>
  <si>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</si>
  <si>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</si>
  <si>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</si>
  <si>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</si>
  <si>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</si>
  <si>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</si>
  <si>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</si>
  <si>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</si>
  <si>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</si>
  <si>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</si>
  <si>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</si>
  <si>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</si>
  <si>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</si>
  <si>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</si>
  <si>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</si>
  <si>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</si>
  <si>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</si>
  <si>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</si>
  <si>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</si>
  <si>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</si>
  <si>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</si>
  <si>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</si>
  <si>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</si>
  <si>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</si>
  <si>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</si>
  <si>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</si>
  <si>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</si>
  <si>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</si>
  <si>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</si>
  <si>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</si>
  <si>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</si>
  <si>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</si>
  <si>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</si>
  <si>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</si>
  <si>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</si>
  <si>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</si>
  <si>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</si>
  <si>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</si>
  <si>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</si>
  <si>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</si>
  <si>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</si>
  <si>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</si>
  <si>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</si>
  <si>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</si>
  <si>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</si>
  <si>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</si>
  <si>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</si>
  <si>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</si>
  <si>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</si>
  <si>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</si>
  <si>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</si>
  <si>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</si>
  <si>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</si>
  <si>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</si>
  <si>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</si>
  <si>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</si>
  <si>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</si>
  <si>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</si>
  <si>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</si>
  <si>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</si>
  <si>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</si>
  <si>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</si>
  <si>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</si>
  <si>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</si>
  <si>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</si>
  <si>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</si>
  <si>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</si>
  <si>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</si>
  <si>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</si>
  <si>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</si>
  <si>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</si>
  <si>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</si>
  <si>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</si>
  <si>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</si>
  <si>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</si>
  <si>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</si>
  <si>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</si>
  <si>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</si>
  <si>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</si>
  <si>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</si>
  <si>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</si>
  <si>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</si>
  <si>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</si>
  <si>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</si>
  <si>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</si>
  <si>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</si>
  <si>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</si>
  <si>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</si>
  <si>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</si>
  <si>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</si>
  <si>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</si>
  <si>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</si>
  <si>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</si>
  <si>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</si>
  <si>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</si>
  <si>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</si>
  <si>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</si>
  <si>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</si>
  <si>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</si>
  <si>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</si>
  <si>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</si>
  <si>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</si>
  <si>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</si>
  <si>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</si>
  <si>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</si>
  <si>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</si>
  <si>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</si>
  <si>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</si>
  <si>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</si>
  <si>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</si>
  <si>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</si>
  <si>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</si>
  <si>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</si>
  <si>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</si>
  <si>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</si>
  <si>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</si>
  <si>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</si>
  <si>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</si>
  <si>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</si>
  <si>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</si>
  <si>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</si>
  <si>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</si>
  <si>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</si>
  <si>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</si>
  <si>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</si>
  <si>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</si>
  <si>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</si>
  <si>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</si>
  <si>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</si>
  <si>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</si>
  <si>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</si>
  <si>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</si>
  <si>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</si>
  <si>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</si>
  <si>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</si>
  <si>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</si>
  <si>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</si>
  <si>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</si>
  <si>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</si>
  <si>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</si>
  <si>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</si>
  <si>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</si>
  <si>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</si>
  <si>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</si>
  <si>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</si>
  <si>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</si>
  <si>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</si>
  <si>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</si>
  <si>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</si>
  <si>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</si>
  <si>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</si>
  <si>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</si>
  <si>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</si>
  <si>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</si>
  <si>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</si>
  <si>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</si>
  <si>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</si>
  <si>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</si>
  <si>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</si>
  <si>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</si>
  <si>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</si>
  <si>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</si>
  <si>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</si>
  <si>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</si>
  <si>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</si>
  <si>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</si>
  <si>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</si>
  <si>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</si>
  <si>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</si>
  <si>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</si>
  <si>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</si>
  <si>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</si>
  <si>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</si>
  <si>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</si>
  <si>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</si>
  <si>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</si>
  <si>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</si>
  <si>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</si>
  <si>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</si>
  <si>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</si>
  <si>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</si>
  <si>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</si>
  <si>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</si>
  <si>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</si>
  <si>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</si>
  <si>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</si>
  <si>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</si>
  <si>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</si>
  <si>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</si>
  <si>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</si>
  <si>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</si>
  <si>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</si>
  <si>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</si>
  <si>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</si>
  <si>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</si>
  <si>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</si>
  <si>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</si>
  <si>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</si>
  <si>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</si>
  <si>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</si>
  <si>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</si>
  <si>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</si>
  <si>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</si>
  <si>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</si>
  <si>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</si>
  <si>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</si>
  <si>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</si>
  <si>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</si>
  <si>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</si>
  <si>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</si>
  <si>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</si>
  <si>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</si>
  <si>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</si>
  <si>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</si>
  <si>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</si>
  <si>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</si>
  <si>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</si>
  <si>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</si>
  <si>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</si>
  <si>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</si>
  <si>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</si>
  <si>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</si>
  <si>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</si>
  <si>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</si>
  <si>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</si>
  <si>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</si>
  <si>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</si>
  <si>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</si>
  <si>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</si>
  <si>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</si>
  <si>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</si>
  <si>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</si>
  <si>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</si>
  <si>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</si>
  <si>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</si>
  <si>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</si>
  <si>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</si>
  <si>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</si>
  <si>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</si>
  <si>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</si>
  <si>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</si>
  <si>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</si>
  <si>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</si>
  <si>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</si>
  <si>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</si>
  <si>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</si>
  <si>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</si>
  <si>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</si>
  <si>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</si>
  <si>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</si>
  <si>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</si>
  <si>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</si>
  <si>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</si>
  <si>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</si>
  <si>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</si>
  <si>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</si>
  <si>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</si>
  <si>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</si>
  <si>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</si>
  <si>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</si>
  <si>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</si>
  <si>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</si>
  <si>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</si>
  <si>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</si>
  <si>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</si>
  <si>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</si>
  <si>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</si>
  <si>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</si>
  <si>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</si>
  <si>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</si>
  <si>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</si>
  <si>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</si>
  <si>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</si>
  <si>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</si>
  <si>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</si>
  <si>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</si>
  <si>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</si>
  <si>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</si>
  <si>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</si>
  <si>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</si>
  <si>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</si>
  <si>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</si>
  <si>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</si>
  <si>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</si>
  <si>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</si>
  <si>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</si>
  <si>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</si>
  <si>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</si>
  <si>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</si>
  <si>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</si>
  <si>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</si>
  <si>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</si>
  <si>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</si>
  <si>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</si>
  <si>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</si>
  <si>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</si>
  <si>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</si>
  <si>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</si>
  <si>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</si>
  <si>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</si>
  <si>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</si>
  <si>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</si>
  <si>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</si>
  <si>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</si>
  <si>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</si>
  <si>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</si>
  <si>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</si>
  <si>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</si>
  <si>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</si>
  <si>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</si>
  <si>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</si>
  <si>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</si>
  <si>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</si>
  <si>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</si>
  <si>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</si>
  <si>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</si>
  <si>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</si>
  <si>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</si>
  <si>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</si>
  <si>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</si>
  <si>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</si>
  <si>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</si>
  <si>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</si>
  <si>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</si>
  <si>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</si>
  <si>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</si>
  <si>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</si>
  <si>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</si>
  <si>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</si>
  <si>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</si>
  <si>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</si>
  <si>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</si>
  <si>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</si>
  <si>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</si>
  <si>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</si>
  <si>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</si>
  <si>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</si>
  <si>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</si>
  <si>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</si>
  <si>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</si>
  <si>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</si>
  <si>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</si>
  <si>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</si>
  <si>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</si>
  <si>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</si>
  <si>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</si>
  <si>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</si>
  <si>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</si>
  <si>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</si>
  <si>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</si>
  <si>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</si>
  <si>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</si>
  <si>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</si>
  <si>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</si>
  <si>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</si>
  <si>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</si>
  <si>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</si>
  <si>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</si>
  <si>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</si>
  <si>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</si>
  <si>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</si>
  <si>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</si>
  <si>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</si>
  <si>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</si>
  <si>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</si>
  <si>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</si>
  <si>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</si>
  <si>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</si>
  <si>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</si>
  <si>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</si>
  <si>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</si>
  <si>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</si>
  <si>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</si>
  <si>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</si>
  <si>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</si>
  <si>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</si>
  <si>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</si>
  <si>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</si>
  <si>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</si>
  <si>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</si>
  <si>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</si>
  <si>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</si>
  <si>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</si>
  <si>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</si>
  <si>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</si>
  <si>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</si>
  <si>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</si>
  <si>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</si>
  <si>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</si>
  <si>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</si>
  <si>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</si>
  <si>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</si>
  <si>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</si>
  <si>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</si>
  <si>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</si>
  <si>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</si>
  <si>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</si>
  <si>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</si>
  <si>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</si>
  <si>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</si>
  <si>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</si>
  <si>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</si>
  <si>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</si>
  <si>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</si>
  <si>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</si>
  <si>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</si>
  <si>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</si>
  <si>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</si>
  <si>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</si>
  <si>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</si>
  <si>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</si>
  <si>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</si>
  <si>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</si>
  <si>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</si>
  <si>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</si>
  <si>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</si>
  <si>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</si>
  <si>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</si>
  <si>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</si>
  <si>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</si>
  <si>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</si>
  <si>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</si>
  <si>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</si>
  <si>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</si>
  <si>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</si>
  <si>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</si>
  <si>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</si>
  <si>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</si>
  <si>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</si>
  <si>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</si>
  <si>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</si>
  <si>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</si>
  <si>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</si>
  <si>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</si>
  <si>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</si>
  <si>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</si>
  <si>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</si>
  <si>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</si>
  <si>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</si>
  <si>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</si>
  <si>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</si>
  <si>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</si>
  <si>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</si>
  <si>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</si>
  <si>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</si>
  <si>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</si>
  <si>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</si>
  <si>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</si>
  <si>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</si>
  <si>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</si>
  <si>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</si>
  <si>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</si>
  <si>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</si>
  <si>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</si>
  <si>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</si>
  <si>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</si>
  <si>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</si>
  <si>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</si>
  <si>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</si>
  <si>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</si>
  <si>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</si>
  <si>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</si>
  <si>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</si>
  <si>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</si>
  <si>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</si>
  <si>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</si>
  <si>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</si>
  <si>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</si>
  <si>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</si>
  <si>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</si>
  <si>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</si>
  <si>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</si>
  <si>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</si>
  <si>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</si>
  <si>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</si>
  <si>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</si>
  <si>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</si>
  <si>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</si>
  <si>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LASALLE, DEKALB, AND LEE</t>
  </si>
  <si>
    <t>415 W UNION STREET</t>
  </si>
  <si>
    <t xml:space="preserve">EARLVILLE  </t>
  </si>
  <si>
    <t>maviles@earlville9.org</t>
  </si>
  <si>
    <t>Rich Faivre</t>
  </si>
  <si>
    <t>rfaivre@earlville9.org</t>
  </si>
  <si>
    <t>815-246-8361</t>
  </si>
  <si>
    <t>815-246-8672</t>
  </si>
  <si>
    <t>MACK &amp; ASSOCIATES, P.C.</t>
  </si>
  <si>
    <t>TAWNYA MACK, CPA</t>
  </si>
  <si>
    <t>116 E WASHINGTON STREET, SUITE ONE</t>
  </si>
  <si>
    <t>MORRIS</t>
  </si>
  <si>
    <t>IL</t>
  </si>
  <si>
    <t>815-942-3306</t>
  </si>
  <si>
    <t>815-942-9430</t>
  </si>
  <si>
    <t>066-005100</t>
  </si>
  <si>
    <t>tmack@mackcpas.com</t>
  </si>
  <si>
    <t>Management is not properly recording liabilities related to accrued payroll and employee benefits.</t>
  </si>
  <si>
    <t>PDF IN OPINION PAGE WITH SIGNATURE</t>
  </si>
  <si>
    <t>X</t>
  </si>
  <si>
    <t>G.O. School Refunding Bonds, Series 2015</t>
  </si>
  <si>
    <t>G.O. School Refunding Bonds, Series 2016</t>
  </si>
  <si>
    <t>G.O. School Bonds Series 2017</t>
  </si>
  <si>
    <t>LaSalle County Food Cooperative</t>
  </si>
  <si>
    <t>LaSalle County Educational Alliance</t>
  </si>
  <si>
    <t>Indian Valley Vocational Center</t>
  </si>
  <si>
    <t>Pg 8, Line 80, Educational Fund - Prior Period Adjustment</t>
  </si>
  <si>
    <t>Pg 8, Line 80, Operations &amp; Maintenance Fund - Prior Period Adjustment</t>
  </si>
  <si>
    <t>Pg 8, Line 80, Transportation Fund - Prior Period Adjustment</t>
  </si>
  <si>
    <t>Pg 8, Line 80, Tort Fund - Prior Period Adjustment</t>
  </si>
  <si>
    <t>Pg 11, Line 107, Educational Fund - Miscellaneous</t>
  </si>
  <si>
    <t>Pg 18, Line 171, Debt Services Fund - Bond Fees</t>
  </si>
  <si>
    <t>Pg 12, Line 177, Educational Fund - Federal Erate reimbursements</t>
  </si>
  <si>
    <t>ED - FISCAL SERVICES - PURCHASED SERVICES</t>
  </si>
  <si>
    <t>10-2520-300</t>
  </si>
  <si>
    <t>SKYWARD, INC.</t>
  </si>
  <si>
    <t>O&amp;M - O&amp;M PLANT - PURCHASED SERVICES</t>
  </si>
  <si>
    <t>20-2540-300</t>
  </si>
  <si>
    <t>WALTER BROS, INC.</t>
  </si>
  <si>
    <t>A BEEP, LLC</t>
  </si>
  <si>
    <t>RIVAL 5 TECHNOLOGIES</t>
  </si>
  <si>
    <t>ED - INTERNAL SERVICES - PURCHASED SERVICES</t>
  </si>
  <si>
    <t>10-2570-300</t>
  </si>
  <si>
    <t>MARCO, INC</t>
  </si>
  <si>
    <t>ED - DATA PROCESSING - PURCHASED SERVICES</t>
  </si>
  <si>
    <t>10-2660-300</t>
  </si>
  <si>
    <t>PRAIRIE TECHNOLOGY</t>
  </si>
  <si>
    <t>SOCS</t>
  </si>
  <si>
    <t>TECHNOLOGY MGMT REVO</t>
  </si>
  <si>
    <t>Earlville CUSD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</si>
</sst>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60614</xdr:colOff>
          <xdr:row>4</xdr:row>
          <xdr:rowOff>17318</xdr:rowOff>
        </xdr:from>
        <xdr:to>
          <xdr:col>1</xdr:col>
          <xdr:colOff>972416</xdr:colOff>
          <xdr:row>8</xdr:row>
          <xdr:rowOff>55418</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D25A2610-4763-4D5C-8F6B-261AFD00231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1108364</xdr:colOff>
          <xdr:row>3</xdr:row>
          <xdr:rowOff>155864</xdr:rowOff>
        </xdr:from>
        <xdr:to>
          <xdr:col>1</xdr:col>
          <xdr:colOff>2020166</xdr:colOff>
          <xdr:row>8</xdr:row>
          <xdr:rowOff>29441</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DEAED9E6-9BA7-4F76-9A34-AECE575D9DA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2216727</xdr:colOff>
          <xdr:row>3</xdr:row>
          <xdr:rowOff>155864</xdr:rowOff>
        </xdr:from>
        <xdr:to>
          <xdr:col>1</xdr:col>
          <xdr:colOff>3128529</xdr:colOff>
          <xdr:row>8</xdr:row>
          <xdr:rowOff>29441</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78988CE2-8647-4902-9D95-FB649C90DD4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51955</xdr:colOff>
          <xdr:row>3</xdr:row>
          <xdr:rowOff>112569</xdr:rowOff>
        </xdr:from>
        <xdr:to>
          <xdr:col>3</xdr:col>
          <xdr:colOff>357621</xdr:colOff>
          <xdr:row>7</xdr:row>
          <xdr:rowOff>148071</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3072FC8B-D77A-496D-8A87-8B2C1E2A7CB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5" t="s">
        <v>425</v>
      </c>
      <c r="J1" s="2036"/>
      <c r="K1" s="2036"/>
      <c r="L1" s="2036"/>
      <c r="M1" s="2036"/>
      <c r="N1" s="2036"/>
      <c r="O1" s="2036"/>
      <c r="P1" s="2036"/>
      <c r="Q1" s="2036"/>
      <c r="R1" s="2036"/>
      <c r="S1" s="2036"/>
    </row>
    <row r="2" spans="1:28" ht="12" customHeight="1" x14ac:dyDescent="0.2">
      <c r="A2" s="47" t="s">
        <v>1684</v>
      </c>
      <c r="D2" s="48"/>
      <c r="I2" s="2037" t="s">
        <v>1036</v>
      </c>
      <c r="J2" s="2036"/>
      <c r="K2" s="2036"/>
      <c r="L2" s="2036"/>
      <c r="M2" s="2036"/>
      <c r="N2" s="2036"/>
      <c r="O2" s="2036"/>
      <c r="P2" s="2036"/>
      <c r="Q2" s="2036"/>
      <c r="R2" s="2036"/>
      <c r="S2" s="2036"/>
    </row>
    <row r="3" spans="1:28" ht="12" customHeight="1" x14ac:dyDescent="0.2">
      <c r="A3" s="155" t="s">
        <v>1685</v>
      </c>
      <c r="B3" s="156"/>
      <c r="C3" s="156"/>
      <c r="D3" s="157"/>
      <c r="I3" s="2037" t="s">
        <v>54</v>
      </c>
      <c r="J3" s="2036"/>
      <c r="K3" s="2036"/>
      <c r="L3" s="2036"/>
      <c r="M3" s="2036"/>
      <c r="N3" s="2036"/>
      <c r="O3" s="2036"/>
      <c r="P3" s="2036"/>
      <c r="Q3" s="2036"/>
      <c r="R3" s="2036"/>
      <c r="S3" s="2036"/>
    </row>
    <row r="4" spans="1:28" ht="12" customHeight="1" x14ac:dyDescent="0.2">
      <c r="A4" s="37"/>
      <c r="I4" s="2037" t="s">
        <v>545</v>
      </c>
      <c r="J4" s="2036"/>
      <c r="K4" s="2036"/>
      <c r="L4" s="2036"/>
      <c r="M4" s="2036"/>
      <c r="N4" s="2036"/>
      <c r="O4" s="2036"/>
      <c r="P4" s="2036"/>
      <c r="Q4" s="2036"/>
      <c r="R4" s="2036"/>
      <c r="S4" s="2036"/>
    </row>
    <row r="5" spans="1:28" ht="14.1" customHeight="1" x14ac:dyDescent="0.2">
      <c r="B5" s="104" t="s">
        <v>2077</v>
      </c>
      <c r="C5" s="26" t="s">
        <v>966</v>
      </c>
      <c r="D5" s="84"/>
      <c r="E5" s="84"/>
      <c r="H5" s="38"/>
      <c r="I5" s="2044" t="s">
        <v>701</v>
      </c>
      <c r="J5" s="1989"/>
      <c r="K5" s="1989"/>
      <c r="L5" s="1989"/>
      <c r="M5" s="1989"/>
      <c r="N5" s="1989"/>
      <c r="O5" s="1989"/>
      <c r="P5" s="1989"/>
      <c r="Q5" s="1989"/>
      <c r="R5" s="1989"/>
      <c r="S5" s="1989"/>
    </row>
    <row r="6" spans="1:28" ht="14.1" customHeight="1" x14ac:dyDescent="0.2">
      <c r="B6" s="104"/>
      <c r="C6" s="26" t="s">
        <v>967</v>
      </c>
      <c r="D6" s="84"/>
      <c r="E6" s="84"/>
      <c r="I6" s="2043" t="s">
        <v>938</v>
      </c>
      <c r="J6" s="1989"/>
      <c r="K6" s="1989"/>
      <c r="L6" s="1989"/>
      <c r="M6" s="1989"/>
      <c r="N6" s="1989"/>
      <c r="O6" s="1989"/>
      <c r="P6" s="1989"/>
      <c r="Q6" s="1989"/>
      <c r="R6" s="1989"/>
      <c r="S6" s="1989"/>
    </row>
    <row r="7" spans="1:28" ht="12.2" customHeight="1" x14ac:dyDescent="0.2">
      <c r="I7" s="2038">
        <v>43281</v>
      </c>
      <c r="J7" s="2039"/>
      <c r="K7" s="2039"/>
      <c r="L7" s="2039"/>
      <c r="M7" s="2039"/>
      <c r="N7" s="2039"/>
      <c r="O7" s="2039"/>
      <c r="P7" s="2039"/>
      <c r="Q7" s="2039"/>
      <c r="R7" s="2039"/>
      <c r="S7" s="203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0" t="s">
        <v>695</v>
      </c>
      <c r="J9" s="2041"/>
      <c r="K9" s="2041"/>
      <c r="L9" s="2041"/>
      <c r="M9" s="2041"/>
      <c r="N9" s="2041"/>
      <c r="O9" s="2041"/>
      <c r="P9" s="2041"/>
      <c r="Q9" s="2041"/>
      <c r="R9" s="2041"/>
      <c r="S9" s="2042"/>
      <c r="T9" s="1985" t="s">
        <v>554</v>
      </c>
      <c r="U9" s="1986"/>
      <c r="V9" s="1986"/>
      <c r="W9" s="1986"/>
      <c r="X9" s="1986"/>
      <c r="Y9" s="1986"/>
      <c r="Z9" s="1986"/>
      <c r="AA9" s="1987"/>
    </row>
    <row r="10" spans="1:28" ht="13.5" customHeight="1" x14ac:dyDescent="0.2">
      <c r="A10" s="1994" t="s">
        <v>696</v>
      </c>
      <c r="B10" s="1995"/>
      <c r="C10" s="1995"/>
      <c r="D10" s="1995"/>
      <c r="E10" s="1995"/>
      <c r="F10" s="1995"/>
      <c r="G10" s="1995"/>
      <c r="H10" s="1996"/>
      <c r="I10" s="29"/>
      <c r="J10" s="30"/>
      <c r="K10" s="28"/>
      <c r="R10" s="30"/>
      <c r="S10" s="30"/>
      <c r="T10" s="1988"/>
      <c r="U10" s="1989"/>
      <c r="V10" s="1989"/>
      <c r="W10" s="1989"/>
      <c r="X10" s="1989"/>
      <c r="Y10" s="1989"/>
      <c r="Z10" s="1989"/>
      <c r="AA10" s="1990"/>
    </row>
    <row r="11" spans="1:28" ht="14.25" customHeight="1" x14ac:dyDescent="0.2">
      <c r="A11" s="1997" t="s">
        <v>1012</v>
      </c>
      <c r="B11" s="1998"/>
      <c r="C11" s="1998"/>
      <c r="D11" s="1998"/>
      <c r="E11" s="1998"/>
      <c r="F11" s="1998"/>
      <c r="G11" s="1998"/>
      <c r="H11" s="1999"/>
      <c r="I11" s="27"/>
      <c r="J11" s="74"/>
      <c r="K11" s="27"/>
      <c r="O11" s="148" t="s">
        <v>2077</v>
      </c>
      <c r="P11" s="100" t="s">
        <v>210</v>
      </c>
      <c r="Q11" s="30"/>
      <c r="R11" s="28"/>
      <c r="S11" s="27"/>
      <c r="T11" s="1991"/>
      <c r="U11" s="1992"/>
      <c r="V11" s="1992"/>
      <c r="W11" s="1992"/>
      <c r="X11" s="1992"/>
      <c r="Y11" s="1992"/>
      <c r="Z11" s="1992"/>
      <c r="AA11" s="199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5">
        <v>35050009026</v>
      </c>
      <c r="B13" s="2006"/>
      <c r="C13" s="2006"/>
      <c r="D13" s="2006"/>
      <c r="E13" s="2006"/>
      <c r="F13" s="2006"/>
      <c r="G13" s="2006"/>
      <c r="H13" s="2007"/>
      <c r="I13" s="31"/>
      <c r="J13" s="30"/>
      <c r="K13" s="28"/>
      <c r="L13" s="30"/>
      <c r="M13" s="30"/>
      <c r="N13" s="30"/>
      <c r="O13" s="30"/>
      <c r="P13" s="30"/>
      <c r="Q13" s="30"/>
      <c r="R13" s="30"/>
      <c r="S13" s="30"/>
      <c r="T13" s="2010" t="s">
        <v>2086</v>
      </c>
      <c r="U13" s="2011"/>
      <c r="V13" s="2011"/>
      <c r="W13" s="2011"/>
      <c r="X13" s="2011"/>
      <c r="Y13" s="2012"/>
      <c r="Z13" s="2012"/>
      <c r="AA13" s="201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3" t="s">
        <v>2078</v>
      </c>
      <c r="B15" s="2008"/>
      <c r="C15" s="2008"/>
      <c r="D15" s="2008"/>
      <c r="E15" s="2008"/>
      <c r="F15" s="2008"/>
      <c r="G15" s="2008"/>
      <c r="H15" s="2009"/>
      <c r="T15" s="1971" t="s">
        <v>2087</v>
      </c>
      <c r="U15" s="1972"/>
      <c r="V15" s="1972"/>
      <c r="W15" s="1972"/>
      <c r="X15" s="1972"/>
      <c r="Y15" s="2014"/>
      <c r="Z15" s="2014"/>
      <c r="AA15" s="201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3" t="s">
        <v>2127</v>
      </c>
      <c r="B17" s="2033"/>
      <c r="C17" s="2033"/>
      <c r="D17" s="2033"/>
      <c r="E17" s="2033"/>
      <c r="F17" s="2033"/>
      <c r="G17" s="2033"/>
      <c r="H17" s="2034"/>
      <c r="T17" s="2020" t="s">
        <v>2088</v>
      </c>
      <c r="U17" s="2021"/>
      <c r="V17" s="2021"/>
      <c r="W17" s="2021"/>
      <c r="X17" s="2021"/>
      <c r="Y17" s="2021"/>
      <c r="Z17" s="2021"/>
      <c r="AA17" s="2022"/>
    </row>
    <row r="18" spans="1:27" ht="13.5" customHeight="1" x14ac:dyDescent="0.2">
      <c r="A18" s="85" t="s">
        <v>551</v>
      </c>
      <c r="B18" s="76"/>
      <c r="C18" s="72"/>
      <c r="D18" s="76"/>
      <c r="E18" s="76"/>
      <c r="F18" s="76"/>
      <c r="G18" s="76"/>
      <c r="H18" s="56"/>
      <c r="I18" s="2030" t="s">
        <v>697</v>
      </c>
      <c r="J18" s="2031"/>
      <c r="K18" s="2031"/>
      <c r="L18" s="2031"/>
      <c r="M18" s="2031"/>
      <c r="N18" s="2031"/>
      <c r="O18" s="2031"/>
      <c r="P18" s="2031"/>
      <c r="Q18" s="2031"/>
      <c r="R18" s="2031"/>
      <c r="S18" s="2032"/>
      <c r="T18" s="85" t="s">
        <v>735</v>
      </c>
      <c r="U18" s="51"/>
      <c r="V18" s="72"/>
      <c r="W18" s="50"/>
      <c r="X18" s="85" t="s">
        <v>284</v>
      </c>
      <c r="Y18" s="81"/>
      <c r="Z18" s="159" t="s">
        <v>698</v>
      </c>
      <c r="AA18" s="46"/>
    </row>
    <row r="19" spans="1:27" ht="13.5" customHeight="1" x14ac:dyDescent="0.2">
      <c r="A19" s="2003" t="s">
        <v>2079</v>
      </c>
      <c r="B19" s="2004"/>
      <c r="C19" s="2004"/>
      <c r="D19" s="2004"/>
      <c r="E19" s="2004"/>
      <c r="F19" s="2004"/>
      <c r="G19" s="2004"/>
      <c r="H19" s="2002"/>
      <c r="I19" s="30"/>
      <c r="J19" s="99"/>
      <c r="K19" s="40"/>
      <c r="L19" s="38"/>
      <c r="M19" s="112" t="s">
        <v>333</v>
      </c>
      <c r="P19" s="27"/>
      <c r="Q19" s="27"/>
      <c r="R19" s="27"/>
      <c r="S19" s="31"/>
      <c r="T19" s="2003" t="s">
        <v>2089</v>
      </c>
      <c r="U19" s="2001"/>
      <c r="V19" s="2001"/>
      <c r="W19" s="2002"/>
      <c r="X19" s="2018" t="s">
        <v>2090</v>
      </c>
      <c r="Y19" s="2019"/>
      <c r="Z19" s="2016">
        <v>60450</v>
      </c>
      <c r="AA19" s="201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0" t="s">
        <v>2080</v>
      </c>
      <c r="B21" s="2001"/>
      <c r="C21" s="2001"/>
      <c r="D21" s="2001"/>
      <c r="E21" s="2001"/>
      <c r="F21" s="2001"/>
      <c r="G21" s="2001"/>
      <c r="H21" s="2002"/>
      <c r="I21" s="2026" t="s">
        <v>699</v>
      </c>
      <c r="J21" s="1989"/>
      <c r="K21" s="1989"/>
      <c r="L21" s="1989"/>
      <c r="M21" s="1989"/>
      <c r="N21" s="1989"/>
      <c r="O21" s="1989"/>
      <c r="P21" s="1989"/>
      <c r="Q21" s="1989"/>
      <c r="R21" s="1989"/>
      <c r="S21" s="1990"/>
      <c r="T21" s="1968" t="s">
        <v>2091</v>
      </c>
      <c r="U21" s="1969"/>
      <c r="V21" s="1969"/>
      <c r="W21" s="1969"/>
      <c r="X21" s="1982" t="s">
        <v>2092</v>
      </c>
      <c r="Y21" s="1983"/>
      <c r="Z21" s="1983"/>
      <c r="AA21" s="1984"/>
    </row>
    <row r="22" spans="1:27" ht="13.5" customHeight="1" x14ac:dyDescent="0.2">
      <c r="A22" s="87" t="s">
        <v>552</v>
      </c>
      <c r="B22" s="59"/>
      <c r="C22" s="59"/>
      <c r="D22" s="59"/>
      <c r="E22" s="59"/>
      <c r="F22" s="59"/>
      <c r="G22" s="59"/>
      <c r="H22" s="60"/>
      <c r="I22" s="2027" t="s">
        <v>1504</v>
      </c>
      <c r="J22" s="2028"/>
      <c r="K22" s="2028"/>
      <c r="L22" s="2028"/>
      <c r="M22" s="2028"/>
      <c r="N22" s="2028"/>
      <c r="O22" s="2028"/>
      <c r="P22" s="2028"/>
      <c r="Q22" s="2028"/>
      <c r="R22" s="2028"/>
      <c r="S22" s="2029"/>
      <c r="T22" s="85" t="s">
        <v>1596</v>
      </c>
      <c r="U22" s="51"/>
      <c r="V22" s="72"/>
      <c r="W22" s="51"/>
      <c r="X22" s="160" t="s">
        <v>1385</v>
      </c>
      <c r="Z22" s="45"/>
      <c r="AA22" s="46"/>
    </row>
    <row r="23" spans="1:27" ht="13.5" customHeight="1" x14ac:dyDescent="0.2">
      <c r="A23" s="2023" t="s">
        <v>2081</v>
      </c>
      <c r="B23" s="2024"/>
      <c r="C23" s="2024"/>
      <c r="D23" s="2024"/>
      <c r="E23" s="2024"/>
      <c r="F23" s="2024"/>
      <c r="G23" s="2024"/>
      <c r="H23" s="2025"/>
      <c r="T23" s="1963" t="s">
        <v>2093</v>
      </c>
      <c r="U23" s="1964"/>
      <c r="V23" s="1964"/>
      <c r="W23" s="1964"/>
      <c r="X23" s="1979">
        <v>43434</v>
      </c>
      <c r="Y23" s="1980"/>
      <c r="Z23" s="1980"/>
      <c r="AA23" s="1981"/>
    </row>
    <row r="24" spans="1:27" ht="14.1" customHeight="1" x14ac:dyDescent="0.2">
      <c r="A24" s="88" t="s">
        <v>698</v>
      </c>
      <c r="B24" s="49"/>
      <c r="C24" s="49"/>
      <c r="D24" s="49"/>
      <c r="E24" s="49"/>
      <c r="F24" s="49"/>
      <c r="G24" s="49"/>
      <c r="H24" s="61"/>
      <c r="J24" s="2065">
        <f>IF(B5="x",IF(AUDITCHECK!D29="AFR form Incomplete.","",IF(AUDITCHECK!D29="Deficit reduction plan is required.","School District must complete a deficit reduction plan in the 2018-2019 Budget",)),"")</f>
        <v>0</v>
      </c>
      <c r="K24" s="2065"/>
      <c r="L24" s="2065"/>
      <c r="M24" s="2065"/>
      <c r="N24" s="2065"/>
      <c r="O24" s="2065"/>
      <c r="P24" s="2065"/>
      <c r="Q24" s="2065"/>
      <c r="R24" s="2065"/>
      <c r="S24" s="2066"/>
      <c r="T24" s="105" t="s">
        <v>552</v>
      </c>
      <c r="U24" s="106"/>
      <c r="V24" s="106"/>
      <c r="W24" s="106"/>
      <c r="X24" s="107"/>
      <c r="Y24" s="107"/>
      <c r="Z24" s="107"/>
      <c r="AA24" s="108"/>
    </row>
    <row r="25" spans="1:27" ht="14.1" customHeight="1" x14ac:dyDescent="0.2">
      <c r="A25" s="2000">
        <v>60518</v>
      </c>
      <c r="B25" s="2001"/>
      <c r="C25" s="2001"/>
      <c r="D25" s="2001"/>
      <c r="E25" s="2001"/>
      <c r="F25" s="2001"/>
      <c r="G25" s="2001"/>
      <c r="H25" s="2002"/>
      <c r="I25" s="113"/>
      <c r="J25" s="2067"/>
      <c r="K25" s="2067"/>
      <c r="L25" s="2067"/>
      <c r="M25" s="2067"/>
      <c r="N25" s="2067"/>
      <c r="O25" s="2067"/>
      <c r="P25" s="2067"/>
      <c r="Q25" s="2067"/>
      <c r="R25" s="2067"/>
      <c r="S25" s="2068"/>
      <c r="T25" s="1960" t="s">
        <v>2094</v>
      </c>
      <c r="U25" s="1961"/>
      <c r="V25" s="1961"/>
      <c r="W25" s="1961"/>
      <c r="X25" s="1961"/>
      <c r="Y25" s="1961"/>
      <c r="Z25" s="1961"/>
      <c r="AA25" s="19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8" t="s">
        <v>1591</v>
      </c>
      <c r="J27" s="2031"/>
      <c r="K27" s="2031"/>
      <c r="L27" s="2031"/>
      <c r="M27" s="2031"/>
      <c r="N27" s="2031"/>
      <c r="O27" s="2031"/>
      <c r="P27" s="2031"/>
      <c r="Q27" s="2031"/>
      <c r="R27" s="2031"/>
      <c r="S27" s="203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4"/>
      <c r="Q35" s="2001"/>
      <c r="R35" s="200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3" t="s">
        <v>2082</v>
      </c>
      <c r="B38" s="2033"/>
      <c r="C38" s="2033"/>
      <c r="D38" s="2033"/>
      <c r="E38" s="2033"/>
      <c r="F38" s="2001"/>
      <c r="G38" s="2001"/>
      <c r="H38" s="2002"/>
      <c r="I38" s="2052"/>
      <c r="J38" s="1972"/>
      <c r="K38" s="1972"/>
      <c r="L38" s="1972"/>
      <c r="M38" s="1972"/>
      <c r="N38" s="1972"/>
      <c r="O38" s="1972"/>
      <c r="P38" s="1973"/>
      <c r="Q38" s="1973"/>
      <c r="R38" s="1973"/>
      <c r="S38" s="1974"/>
      <c r="T38" s="1971"/>
      <c r="U38" s="1972"/>
      <c r="V38" s="1972"/>
      <c r="W38" s="1972"/>
      <c r="X38" s="1973"/>
      <c r="Y38" s="1973"/>
      <c r="Z38" s="1973"/>
      <c r="AA38" s="1974"/>
    </row>
    <row r="39" spans="1:27" ht="12" customHeight="1" x14ac:dyDescent="0.2">
      <c r="A39" s="2056" t="s">
        <v>552</v>
      </c>
      <c r="B39" s="2057"/>
      <c r="C39" s="72"/>
      <c r="D39" s="69"/>
      <c r="E39" s="69"/>
      <c r="F39" s="79"/>
      <c r="G39" s="69"/>
      <c r="H39" s="56"/>
      <c r="I39" s="2056" t="s">
        <v>552</v>
      </c>
      <c r="J39" s="2057"/>
      <c r="K39" s="2057"/>
      <c r="L39" s="2057"/>
      <c r="M39" s="2057"/>
      <c r="N39" s="67"/>
      <c r="O39" s="72"/>
      <c r="P39" s="72"/>
      <c r="Q39" s="78"/>
      <c r="R39" s="72"/>
      <c r="S39" s="56"/>
      <c r="T39" s="72" t="s">
        <v>552</v>
      </c>
      <c r="U39" s="51"/>
      <c r="V39" s="72"/>
      <c r="W39" s="50"/>
      <c r="X39" s="78"/>
      <c r="Y39" s="45"/>
      <c r="Z39" s="45"/>
      <c r="AA39" s="46"/>
    </row>
    <row r="40" spans="1:27" ht="13.5" customHeight="1" x14ac:dyDescent="0.2">
      <c r="A40" s="2059" t="s">
        <v>2083</v>
      </c>
      <c r="B40" s="2060"/>
      <c r="C40" s="2061"/>
      <c r="D40" s="2061"/>
      <c r="E40" s="2061"/>
      <c r="F40" s="2062"/>
      <c r="G40" s="2062"/>
      <c r="H40" s="2063"/>
      <c r="I40" s="1975"/>
      <c r="J40" s="1977"/>
      <c r="K40" s="1977"/>
      <c r="L40" s="1977"/>
      <c r="M40" s="1977"/>
      <c r="N40" s="1977"/>
      <c r="O40" s="1977"/>
      <c r="P40" s="1977"/>
      <c r="Q40" s="1977"/>
      <c r="R40" s="1977"/>
      <c r="S40" s="1978"/>
      <c r="T40" s="1975"/>
      <c r="U40" s="1976"/>
      <c r="V40" s="1977"/>
      <c r="W40" s="1977"/>
      <c r="X40" s="1977"/>
      <c r="Y40" s="1977"/>
      <c r="Z40" s="1977"/>
      <c r="AA40" s="197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9" t="s">
        <v>2084</v>
      </c>
      <c r="B42" s="2050"/>
      <c r="C42" s="2051"/>
      <c r="D42" s="2064" t="s">
        <v>2085</v>
      </c>
      <c r="E42" s="2050"/>
      <c r="F42" s="2050"/>
      <c r="G42" s="2050"/>
      <c r="H42" s="2051"/>
      <c r="I42" s="1970"/>
      <c r="J42" s="1966"/>
      <c r="K42" s="1966"/>
      <c r="L42" s="1966"/>
      <c r="M42" s="1966"/>
      <c r="N42" s="1966"/>
      <c r="O42" s="1967"/>
      <c r="P42" s="1965"/>
      <c r="Q42" s="1966"/>
      <c r="R42" s="1966"/>
      <c r="S42" s="1967"/>
      <c r="T42" s="1970"/>
      <c r="U42" s="1966"/>
      <c r="V42" s="1966"/>
      <c r="W42" s="1967"/>
      <c r="X42" s="1965"/>
      <c r="Y42" s="1966"/>
      <c r="Z42" s="1966"/>
      <c r="AA42" s="196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3"/>
      <c r="B44" s="2054"/>
      <c r="C44" s="2054"/>
      <c r="D44" s="2054"/>
      <c r="E44" s="2054"/>
      <c r="F44" s="2054"/>
      <c r="G44" s="2054"/>
      <c r="H44" s="2055"/>
      <c r="I44" s="2045"/>
      <c r="J44" s="2047"/>
      <c r="K44" s="2047"/>
      <c r="L44" s="2047"/>
      <c r="M44" s="2047"/>
      <c r="N44" s="2047"/>
      <c r="O44" s="2047"/>
      <c r="P44" s="2047"/>
      <c r="Q44" s="2047"/>
      <c r="R44" s="2047"/>
      <c r="S44" s="2048"/>
      <c r="T44" s="2045"/>
      <c r="U44" s="2046"/>
      <c r="V44" s="2046"/>
      <c r="W44" s="2046"/>
      <c r="X44" s="2046"/>
      <c r="Y44" s="2046"/>
      <c r="Z44" s="2047"/>
      <c r="AA44" s="204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2" colorId="8" zoomScale="110" zoomScaleNormal="110" workbookViewId="0">
      <selection activeCell="C14" sqref="C14"/>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2" t="s">
        <v>1905</v>
      </c>
      <c r="B2" s="1550" t="s">
        <v>2035</v>
      </c>
      <c r="C2" s="715" t="s">
        <v>1910</v>
      </c>
      <c r="D2" s="715" t="s">
        <v>1911</v>
      </c>
      <c r="E2" s="715" t="s">
        <v>1912</v>
      </c>
      <c r="F2" s="715" t="s">
        <v>1913</v>
      </c>
    </row>
    <row r="3" spans="1:6" ht="12" customHeight="1" x14ac:dyDescent="0.2">
      <c r="A3" s="2203"/>
      <c r="B3" s="1547"/>
      <c r="C3" s="1548"/>
      <c r="D3" s="1549" t="s">
        <v>274</v>
      </c>
      <c r="E3" s="1548"/>
      <c r="F3" s="1549" t="s">
        <v>275</v>
      </c>
    </row>
    <row r="4" spans="1:6" ht="13.7" customHeight="1" x14ac:dyDescent="0.2">
      <c r="A4" s="716" t="s">
        <v>1217</v>
      </c>
      <c r="B4" s="1771">
        <f>'Revenues 9-14'!C5</f>
        <v>2132451</v>
      </c>
      <c r="C4" s="1546">
        <v>46252</v>
      </c>
      <c r="D4" s="1774">
        <f>B4-C4</f>
        <v>2086199</v>
      </c>
      <c r="E4" s="1546">
        <v>2268784</v>
      </c>
      <c r="F4" s="1774">
        <f>E4-C4</f>
        <v>2222532</v>
      </c>
    </row>
    <row r="5" spans="1:6" ht="13.7" customHeight="1" x14ac:dyDescent="0.2">
      <c r="A5" s="716" t="s">
        <v>925</v>
      </c>
      <c r="B5" s="1772">
        <f>'Revenues 9-14'!D5</f>
        <v>376022</v>
      </c>
      <c r="C5" s="585">
        <v>8212</v>
      </c>
      <c r="D5" s="1775">
        <f t="shared" ref="D5:D18" si="0">B5-C5</f>
        <v>367810</v>
      </c>
      <c r="E5" s="585">
        <v>402637</v>
      </c>
      <c r="F5" s="1775">
        <f>E5-C5</f>
        <v>394425</v>
      </c>
    </row>
    <row r="6" spans="1:6" ht="13.7" customHeight="1" x14ac:dyDescent="0.2">
      <c r="A6" s="716" t="s">
        <v>431</v>
      </c>
      <c r="B6" s="1772">
        <f>'Revenues 9-14'!E5</f>
        <v>371535</v>
      </c>
      <c r="C6" s="585">
        <v>7621</v>
      </c>
      <c r="D6" s="1775">
        <f t="shared" si="0"/>
        <v>363914</v>
      </c>
      <c r="E6" s="585">
        <v>370295</v>
      </c>
      <c r="F6" s="1775">
        <f t="shared" ref="F6:F18" si="1">E6-C6</f>
        <v>362674</v>
      </c>
    </row>
    <row r="7" spans="1:6" ht="13.7" customHeight="1" x14ac:dyDescent="0.2">
      <c r="A7" s="716" t="s">
        <v>157</v>
      </c>
      <c r="B7" s="1772">
        <f>'Revenues 9-14'!F5</f>
        <v>106673</v>
      </c>
      <c r="C7" s="585">
        <v>2330</v>
      </c>
      <c r="D7" s="1775">
        <f t="shared" si="0"/>
        <v>104343</v>
      </c>
      <c r="E7" s="585">
        <v>114223</v>
      </c>
      <c r="F7" s="1775">
        <f t="shared" si="1"/>
        <v>111893</v>
      </c>
    </row>
    <row r="8" spans="1:6" ht="13.7" customHeight="1" x14ac:dyDescent="0.2">
      <c r="A8" s="716" t="s">
        <v>1241</v>
      </c>
      <c r="B8" s="1772">
        <f>'Revenues 9-14'!G5</f>
        <v>54978</v>
      </c>
      <c r="C8" s="585">
        <v>1101</v>
      </c>
      <c r="D8" s="1775">
        <f t="shared" si="0"/>
        <v>53877</v>
      </c>
      <c r="E8" s="585">
        <v>53992</v>
      </c>
      <c r="F8" s="1775">
        <f t="shared" si="1"/>
        <v>52891</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26668</v>
      </c>
      <c r="C10" s="585">
        <v>582</v>
      </c>
      <c r="D10" s="1775">
        <f t="shared" si="0"/>
        <v>26086</v>
      </c>
      <c r="E10" s="585">
        <v>28556</v>
      </c>
      <c r="F10" s="1775">
        <f t="shared" si="1"/>
        <v>27974</v>
      </c>
    </row>
    <row r="11" spans="1:6" x14ac:dyDescent="0.2">
      <c r="A11" s="716" t="s">
        <v>429</v>
      </c>
      <c r="B11" s="1772">
        <f>'Revenues 9-14'!J5</f>
        <v>149004</v>
      </c>
      <c r="C11" s="585">
        <v>3044</v>
      </c>
      <c r="D11" s="1775">
        <f t="shared" si="0"/>
        <v>145960</v>
      </c>
      <c r="E11" s="585">
        <v>149338</v>
      </c>
      <c r="F11" s="1775">
        <f t="shared" si="1"/>
        <v>146294</v>
      </c>
    </row>
    <row r="12" spans="1:6" ht="13.7" customHeight="1" x14ac:dyDescent="0.2">
      <c r="A12" s="716" t="s">
        <v>159</v>
      </c>
      <c r="B12" s="1772">
        <f>'Revenues 9-14'!K5</f>
        <v>26668</v>
      </c>
      <c r="C12" s="585">
        <v>582</v>
      </c>
      <c r="D12" s="1775">
        <f t="shared" si="0"/>
        <v>26086</v>
      </c>
      <c r="E12" s="585">
        <v>28556</v>
      </c>
      <c r="F12" s="1775">
        <f t="shared" si="1"/>
        <v>27974</v>
      </c>
    </row>
    <row r="13" spans="1:6" ht="13.7" customHeight="1" x14ac:dyDescent="0.2">
      <c r="A13" s="716" t="s">
        <v>993</v>
      </c>
      <c r="B13" s="1772">
        <f>SUM('Revenues 9-14'!C6:D6)</f>
        <v>27391</v>
      </c>
      <c r="C13" s="585">
        <v>420</v>
      </c>
      <c r="D13" s="1775">
        <f t="shared" si="0"/>
        <v>26971</v>
      </c>
      <c r="E13" s="585">
        <v>28556</v>
      </c>
      <c r="F13" s="1775">
        <f t="shared" si="1"/>
        <v>28136</v>
      </c>
    </row>
    <row r="14" spans="1:6" ht="13.7" customHeight="1" x14ac:dyDescent="0.2">
      <c r="A14" s="716" t="s">
        <v>430</v>
      </c>
      <c r="B14" s="1772">
        <f>SUM('Revenues 9-14'!C7:D7,'Revenues 9-14'!F7:H7)</f>
        <v>21335</v>
      </c>
      <c r="C14" s="585">
        <v>466</v>
      </c>
      <c r="D14" s="1775">
        <f t="shared" si="0"/>
        <v>20869</v>
      </c>
      <c r="E14" s="585">
        <v>22845</v>
      </c>
      <c r="F14" s="1775">
        <f t="shared" si="1"/>
        <v>22379</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84904</v>
      </c>
      <c r="C16" s="585">
        <v>1640</v>
      </c>
      <c r="D16" s="1775">
        <f t="shared" si="0"/>
        <v>83264</v>
      </c>
      <c r="E16" s="585">
        <v>80417</v>
      </c>
      <c r="F16" s="1775">
        <f t="shared" si="1"/>
        <v>78777</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v>-537</v>
      </c>
      <c r="D18" s="1775">
        <f t="shared" si="0"/>
        <v>537</v>
      </c>
      <c r="E18" s="585">
        <v>3174</v>
      </c>
      <c r="F18" s="1775">
        <f t="shared" si="1"/>
        <v>3711</v>
      </c>
    </row>
    <row r="19" spans="1:6" ht="13.7" customHeight="1" thickBot="1" x14ac:dyDescent="0.25">
      <c r="A19" s="1776" t="s">
        <v>1223</v>
      </c>
      <c r="B19" s="1773">
        <f>SUM(B4:B18)</f>
        <v>3377629</v>
      </c>
      <c r="C19" s="1773">
        <f>SUM(C4:C18)</f>
        <v>71713</v>
      </c>
      <c r="D19" s="1773">
        <f>SUM(D4:D18)</f>
        <v>3305916</v>
      </c>
      <c r="E19" s="1773">
        <f>SUM(E4:E18)</f>
        <v>3551373</v>
      </c>
      <c r="F19" s="1773">
        <f>SUM(F4:F18)</f>
        <v>3479660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30" colorId="8" zoomScale="110" zoomScaleNormal="110" workbookViewId="0">
      <selection activeCell="A63" sqref="A6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650</v>
      </c>
      <c r="B1" s="2209"/>
      <c r="C1" s="722"/>
    </row>
    <row r="2" spans="1:7" ht="33.75" x14ac:dyDescent="0.2">
      <c r="A2" s="2217" t="s">
        <v>1905</v>
      </c>
      <c r="B2" s="2218"/>
      <c r="C2" s="1909" t="s">
        <v>2036</v>
      </c>
      <c r="D2" s="724" t="s">
        <v>2043</v>
      </c>
      <c r="E2" s="724" t="s">
        <v>2044</v>
      </c>
      <c r="F2" s="1909" t="s">
        <v>2037</v>
      </c>
    </row>
    <row r="3" spans="1:7" ht="15.75" customHeight="1" x14ac:dyDescent="0.2">
      <c r="A3" s="2221" t="s">
        <v>1176</v>
      </c>
      <c r="B3" s="2222"/>
      <c r="C3" s="2210"/>
      <c r="D3" s="2211"/>
      <c r="E3" s="2211"/>
      <c r="F3" s="2212"/>
    </row>
    <row r="4" spans="1:7" ht="12.75" customHeight="1" thickBot="1" x14ac:dyDescent="0.25">
      <c r="A4" s="2219" t="s">
        <v>651</v>
      </c>
      <c r="B4" s="2220"/>
      <c r="C4" s="581"/>
      <c r="D4" s="581"/>
      <c r="E4" s="581"/>
      <c r="F4" s="1777">
        <f>SUM(C4+D4)-E4</f>
        <v>0</v>
      </c>
    </row>
    <row r="5" spans="1:7" ht="15.75" customHeight="1" thickTop="1" x14ac:dyDescent="0.2">
      <c r="A5" s="2204" t="s">
        <v>1172</v>
      </c>
      <c r="B5" s="2205"/>
      <c r="C5" s="2213"/>
      <c r="D5" s="2214"/>
      <c r="E5" s="2214"/>
      <c r="F5" s="2215"/>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6" t="s">
        <v>652</v>
      </c>
      <c r="B15" s="2207"/>
      <c r="C15" s="1777">
        <f>SUM(C6:C14)</f>
        <v>0</v>
      </c>
      <c r="D15" s="1777">
        <f>SUM(D6:D14)</f>
        <v>0</v>
      </c>
      <c r="E15" s="1777">
        <f>SUM(E6:E14)</f>
        <v>0</v>
      </c>
      <c r="F15" s="1777">
        <f>SUM(F6:F14)</f>
        <v>0</v>
      </c>
      <c r="G15" s="552"/>
    </row>
    <row r="16" spans="1:7" s="202" customFormat="1" ht="15.75" customHeight="1" thickTop="1" x14ac:dyDescent="0.2">
      <c r="A16" s="2216" t="s">
        <v>1173</v>
      </c>
      <c r="B16" s="2205"/>
      <c r="C16" s="2213"/>
      <c r="D16" s="2214"/>
      <c r="E16" s="2214"/>
      <c r="F16" s="2215"/>
    </row>
    <row r="17" spans="1:11" ht="12.75" customHeight="1" thickBot="1" x14ac:dyDescent="0.25">
      <c r="A17" s="2229" t="s">
        <v>66</v>
      </c>
      <c r="B17" s="2230"/>
      <c r="C17" s="727"/>
      <c r="D17" s="585"/>
      <c r="E17" s="727"/>
      <c r="F17" s="1777">
        <f>SUM(C17+D17)-E17</f>
        <v>0</v>
      </c>
    </row>
    <row r="18" spans="1:11" ht="12.75" customHeight="1" thickTop="1" thickBot="1" x14ac:dyDescent="0.25">
      <c r="A18" s="2229" t="s">
        <v>6</v>
      </c>
      <c r="B18" s="2230"/>
      <c r="C18" s="727"/>
      <c r="D18" s="585"/>
      <c r="E18" s="727"/>
      <c r="F18" s="1777">
        <f>SUM(C18+D18)-E18</f>
        <v>0</v>
      </c>
    </row>
    <row r="19" spans="1:11" ht="12.75" customHeight="1" thickTop="1" thickBot="1" x14ac:dyDescent="0.25">
      <c r="A19" s="2229" t="s">
        <v>406</v>
      </c>
      <c r="B19" s="2230"/>
      <c r="C19" s="727"/>
      <c r="D19" s="585"/>
      <c r="E19" s="727"/>
      <c r="F19" s="1777">
        <f>SUM(C19+D19)-E19</f>
        <v>0</v>
      </c>
    </row>
    <row r="20" spans="1:11" ht="12.75" customHeight="1" thickTop="1" thickBot="1" x14ac:dyDescent="0.25">
      <c r="A20" s="2229" t="s">
        <v>468</v>
      </c>
      <c r="B20" s="2230"/>
      <c r="C20" s="727"/>
      <c r="D20" s="585"/>
      <c r="E20" s="727"/>
      <c r="F20" s="1777">
        <f>SUM(C20+D20)-E20</f>
        <v>0</v>
      </c>
    </row>
    <row r="21" spans="1:11" ht="14.25" thickTop="1" thickBot="1" x14ac:dyDescent="0.25">
      <c r="A21" s="2206" t="s">
        <v>653</v>
      </c>
      <c r="B21" s="2207"/>
      <c r="C21" s="1777">
        <f>SUM(C17:C20)</f>
        <v>0</v>
      </c>
      <c r="D21" s="1777">
        <f>SUM(D17:D20)</f>
        <v>0</v>
      </c>
      <c r="E21" s="1777">
        <f>SUM(E17:E20)</f>
        <v>0</v>
      </c>
      <c r="F21" s="1777">
        <f>SUM(F17:F20)</f>
        <v>0</v>
      </c>
      <c r="G21" s="552"/>
    </row>
    <row r="22" spans="1:11" ht="15.75" customHeight="1" thickTop="1" x14ac:dyDescent="0.2">
      <c r="A22" s="2231" t="s">
        <v>1174</v>
      </c>
      <c r="B22" s="2205"/>
      <c r="C22" s="2213"/>
      <c r="D22" s="2214"/>
      <c r="E22" s="2214"/>
      <c r="F22" s="2215"/>
    </row>
    <row r="23" spans="1:11" ht="13.5" thickBot="1" x14ac:dyDescent="0.25">
      <c r="A23" s="2219" t="s">
        <v>654</v>
      </c>
      <c r="B23" s="2220"/>
      <c r="C23" s="581"/>
      <c r="D23" s="581"/>
      <c r="E23" s="581"/>
      <c r="F23" s="1777">
        <f>SUM(C23+D23)-E23</f>
        <v>0</v>
      </c>
      <c r="G23" s="552"/>
    </row>
    <row r="24" spans="1:11" ht="15.75" customHeight="1" thickTop="1" x14ac:dyDescent="0.2">
      <c r="A24" s="2231" t="s">
        <v>1175</v>
      </c>
      <c r="B24" s="2205"/>
      <c r="C24" s="2213"/>
      <c r="D24" s="2214"/>
      <c r="E24" s="2214"/>
      <c r="F24" s="2215"/>
    </row>
    <row r="25" spans="1:11" ht="13.5" thickBot="1" x14ac:dyDescent="0.25">
      <c r="A25" s="2219" t="s">
        <v>655</v>
      </c>
      <c r="B25" s="2220"/>
      <c r="C25" s="581"/>
      <c r="D25" s="581"/>
      <c r="E25" s="581"/>
      <c r="F25" s="1777">
        <f>SUM(C25+D25)-E25</f>
        <v>0</v>
      </c>
      <c r="G25" s="552"/>
    </row>
    <row r="26" spans="1:11" ht="15.75" customHeight="1" thickTop="1" x14ac:dyDescent="0.2">
      <c r="A26" s="2204" t="s">
        <v>678</v>
      </c>
      <c r="B26" s="2205"/>
      <c r="C26" s="728"/>
      <c r="D26" s="728"/>
      <c r="E26" s="728"/>
      <c r="F26" s="729"/>
    </row>
    <row r="27" spans="1:11" ht="13.5" thickBot="1" x14ac:dyDescent="0.25">
      <c r="A27" s="2206" t="s">
        <v>1130</v>
      </c>
      <c r="B27" s="2207"/>
      <c r="C27" s="585"/>
      <c r="D27" s="585"/>
      <c r="E27" s="585"/>
      <c r="F27" s="1777">
        <f>SUM(C27+D27)-E27</f>
        <v>0</v>
      </c>
      <c r="G27" s="552"/>
    </row>
    <row r="28" spans="1:11" ht="7.5" customHeight="1" thickTop="1" x14ac:dyDescent="0.2">
      <c r="A28" s="594"/>
    </row>
    <row r="29" spans="1:11" ht="23.25" customHeight="1" x14ac:dyDescent="0.2">
      <c r="A29" s="2232" t="s">
        <v>603</v>
      </c>
      <c r="B29" s="2209"/>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2098</v>
      </c>
      <c r="B31" s="734">
        <v>42355</v>
      </c>
      <c r="C31" s="735">
        <v>1630000</v>
      </c>
      <c r="D31" s="736">
        <v>3</v>
      </c>
      <c r="E31" s="735">
        <v>1610000</v>
      </c>
      <c r="F31" s="735"/>
      <c r="G31" s="735"/>
      <c r="H31" s="735">
        <v>140000</v>
      </c>
      <c r="I31" s="1778">
        <f>((E31+F31)-H31)+G31</f>
        <v>1470000</v>
      </c>
      <c r="J31" s="735">
        <v>1398423</v>
      </c>
      <c r="K31" s="737"/>
    </row>
    <row r="32" spans="1:11" ht="12" customHeight="1" x14ac:dyDescent="0.2">
      <c r="A32" s="733" t="s">
        <v>2099</v>
      </c>
      <c r="B32" s="734">
        <v>42670</v>
      </c>
      <c r="C32" s="735">
        <v>1775000</v>
      </c>
      <c r="D32" s="736">
        <v>3</v>
      </c>
      <c r="E32" s="735">
        <v>1740000</v>
      </c>
      <c r="F32" s="735"/>
      <c r="G32" s="735"/>
      <c r="H32" s="735">
        <v>160000</v>
      </c>
      <c r="I32" s="1778">
        <f>((E32+F32)-H32)+G32</f>
        <v>1580000</v>
      </c>
      <c r="J32" s="735">
        <v>1580000</v>
      </c>
      <c r="K32" s="737"/>
    </row>
    <row r="33" spans="1:11" ht="12" customHeight="1" x14ac:dyDescent="0.2">
      <c r="A33" s="733" t="s">
        <v>2100</v>
      </c>
      <c r="B33" s="734">
        <v>42915</v>
      </c>
      <c r="C33" s="735">
        <v>495000</v>
      </c>
      <c r="D33" s="736">
        <v>4</v>
      </c>
      <c r="E33" s="735">
        <v>495000</v>
      </c>
      <c r="F33" s="735"/>
      <c r="G33" s="735"/>
      <c r="H33" s="735"/>
      <c r="I33" s="1778">
        <f t="shared" ref="I33:I48" si="1">((E33+F33)-H33)+G33</f>
        <v>495000</v>
      </c>
      <c r="J33" s="735">
        <v>495000</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3900000</v>
      </c>
      <c r="D49" s="746"/>
      <c r="E49" s="1778">
        <f t="shared" ref="E49:J49" si="2">SUM(E31:E48)</f>
        <v>3845000</v>
      </c>
      <c r="F49" s="1778">
        <f t="shared" si="2"/>
        <v>0</v>
      </c>
      <c r="G49" s="1778">
        <f t="shared" si="2"/>
        <v>0</v>
      </c>
      <c r="H49" s="1778">
        <f t="shared" si="2"/>
        <v>300000</v>
      </c>
      <c r="I49" s="1778">
        <f t="shared" si="2"/>
        <v>3545000</v>
      </c>
      <c r="J49" s="1778">
        <f t="shared" si="2"/>
        <v>3473423</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3" t="s">
        <v>605</v>
      </c>
      <c r="C52" s="2224"/>
      <c r="D52" s="2224"/>
      <c r="E52" s="750" t="s">
        <v>900</v>
      </c>
      <c r="F52" s="2225"/>
      <c r="G52" s="2226"/>
      <c r="H52" s="737"/>
      <c r="I52" s="737"/>
      <c r="J52" s="747"/>
    </row>
    <row r="53" spans="1:11" ht="11.25" customHeight="1" x14ac:dyDescent="0.2">
      <c r="A53" s="751" t="s">
        <v>969</v>
      </c>
      <c r="B53" s="752" t="s">
        <v>1008</v>
      </c>
      <c r="C53" s="747"/>
      <c r="D53" s="738"/>
      <c r="E53" s="750" t="s">
        <v>518</v>
      </c>
      <c r="F53" s="2227"/>
      <c r="G53" s="2228"/>
      <c r="H53" s="737"/>
      <c r="I53" s="737"/>
      <c r="J53" s="747"/>
    </row>
    <row r="54" spans="1:11" ht="11.25" customHeight="1" x14ac:dyDescent="0.2">
      <c r="A54" s="753" t="s">
        <v>970</v>
      </c>
      <c r="B54" s="748" t="s">
        <v>1009</v>
      </c>
      <c r="C54" s="747"/>
      <c r="D54" s="738"/>
      <c r="E54" s="750" t="s">
        <v>519</v>
      </c>
      <c r="F54" s="2227"/>
      <c r="G54" s="222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B1"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7" t="s">
        <v>911</v>
      </c>
      <c r="B1" s="2258"/>
      <c r="C1" s="2258"/>
      <c r="D1" s="2258"/>
      <c r="E1" s="2258"/>
      <c r="F1" s="2258"/>
      <c r="G1" s="2259"/>
      <c r="H1" s="1552"/>
      <c r="I1" s="761"/>
      <c r="J1" s="433"/>
    </row>
    <row r="2" spans="1:11" ht="26.25" x14ac:dyDescent="0.2">
      <c r="A2" s="2236" t="s">
        <v>1776</v>
      </c>
      <c r="B2" s="2237"/>
      <c r="C2" s="2237"/>
      <c r="D2" s="2237"/>
      <c r="E2" s="2238"/>
      <c r="F2" s="762" t="s">
        <v>960</v>
      </c>
      <c r="G2" s="763" t="s">
        <v>1773</v>
      </c>
      <c r="H2" s="763" t="s">
        <v>430</v>
      </c>
      <c r="I2" s="763" t="s">
        <v>1220</v>
      </c>
      <c r="J2" s="763" t="s">
        <v>1919</v>
      </c>
      <c r="K2" s="763" t="s">
        <v>140</v>
      </c>
    </row>
    <row r="3" spans="1:11" x14ac:dyDescent="0.2">
      <c r="A3" s="2239" t="s">
        <v>1698</v>
      </c>
      <c r="B3" s="2240"/>
      <c r="C3" s="2240"/>
      <c r="D3" s="2240"/>
      <c r="E3" s="2241"/>
      <c r="F3" s="764"/>
      <c r="G3" s="765"/>
      <c r="H3" s="765"/>
      <c r="I3" s="765"/>
      <c r="J3" s="766"/>
      <c r="K3" s="766"/>
    </row>
    <row r="4" spans="1:11" x14ac:dyDescent="0.2">
      <c r="A4" s="2242" t="s">
        <v>387</v>
      </c>
      <c r="B4" s="2243"/>
      <c r="C4" s="2243"/>
      <c r="D4" s="2243"/>
      <c r="E4" s="2224"/>
      <c r="F4" s="767"/>
      <c r="G4" s="768"/>
      <c r="H4" s="769"/>
      <c r="I4" s="768"/>
      <c r="J4" s="770"/>
      <c r="K4" s="770"/>
    </row>
    <row r="5" spans="1:11" x14ac:dyDescent="0.2">
      <c r="A5" s="2260" t="s">
        <v>1129</v>
      </c>
      <c r="B5" s="2233"/>
      <c r="C5" s="2233"/>
      <c r="D5" s="2233"/>
      <c r="E5" s="2261"/>
      <c r="F5" s="771" t="s">
        <v>903</v>
      </c>
      <c r="G5" s="772"/>
      <c r="H5" s="765">
        <v>21335</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6647</v>
      </c>
    </row>
    <row r="10" spans="1:11" x14ac:dyDescent="0.2">
      <c r="A10" s="2260" t="s">
        <v>1920</v>
      </c>
      <c r="B10" s="2233"/>
      <c r="C10" s="2233"/>
      <c r="D10" s="2233"/>
      <c r="E10" s="2262"/>
      <c r="F10" s="784" t="s">
        <v>917</v>
      </c>
      <c r="G10" s="783"/>
      <c r="H10" s="785"/>
      <c r="I10" s="765"/>
      <c r="J10" s="766"/>
      <c r="K10" s="766"/>
    </row>
    <row r="11" spans="1:11" x14ac:dyDescent="0.2">
      <c r="A11" s="2260" t="s">
        <v>162</v>
      </c>
      <c r="B11" s="2233"/>
      <c r="C11" s="2233"/>
      <c r="D11" s="2233"/>
      <c r="E11" s="2261"/>
      <c r="F11" s="771" t="s">
        <v>907</v>
      </c>
      <c r="G11" s="772"/>
      <c r="H11" s="765"/>
      <c r="I11" s="765"/>
      <c r="J11" s="766"/>
      <c r="K11" s="774"/>
    </row>
    <row r="12" spans="1:11" ht="13.5" thickBot="1" x14ac:dyDescent="0.25">
      <c r="A12" s="2250" t="s">
        <v>961</v>
      </c>
      <c r="B12" s="2251"/>
      <c r="C12" s="2251"/>
      <c r="D12" s="2251"/>
      <c r="E12" s="2252"/>
      <c r="F12" s="1779"/>
      <c r="G12" s="1780">
        <f>SUM(G5:G11)</f>
        <v>0</v>
      </c>
      <c r="H12" s="1780">
        <f>SUM(H5:H11)</f>
        <v>21335</v>
      </c>
      <c r="I12" s="1780">
        <f>SUM(I5:I11)</f>
        <v>0</v>
      </c>
      <c r="J12" s="1780">
        <f>SUM(J5:J11)</f>
        <v>0</v>
      </c>
      <c r="K12" s="1780">
        <f>SUM(K5:K11)</f>
        <v>6647</v>
      </c>
    </row>
    <row r="13" spans="1:11" ht="13.5" thickTop="1" x14ac:dyDescent="0.2">
      <c r="A13" s="2244" t="s">
        <v>388</v>
      </c>
      <c r="B13" s="2245"/>
      <c r="C13" s="2245"/>
      <c r="D13" s="2245"/>
      <c r="E13" s="2246"/>
      <c r="F13" s="786"/>
      <c r="G13" s="787"/>
      <c r="H13" s="788"/>
      <c r="I13" s="789"/>
      <c r="J13" s="789"/>
      <c r="K13" s="789"/>
    </row>
    <row r="14" spans="1:11" x14ac:dyDescent="0.2">
      <c r="A14" s="2266" t="s">
        <v>476</v>
      </c>
      <c r="B14" s="2266"/>
      <c r="C14" s="2266"/>
      <c r="D14" s="2266"/>
      <c r="E14" s="2267"/>
      <c r="F14" s="790" t="s">
        <v>909</v>
      </c>
      <c r="G14" s="783"/>
      <c r="H14" s="765">
        <v>21335</v>
      </c>
      <c r="I14" s="772"/>
      <c r="J14" s="774"/>
      <c r="K14" s="766">
        <v>6647</v>
      </c>
    </row>
    <row r="15" spans="1:11" x14ac:dyDescent="0.2">
      <c r="A15" s="2233" t="s">
        <v>4</v>
      </c>
      <c r="B15" s="2233"/>
      <c r="C15" s="2233"/>
      <c r="D15" s="2233"/>
      <c r="E15" s="2261"/>
      <c r="F15" s="790" t="s">
        <v>910</v>
      </c>
      <c r="G15" s="772"/>
      <c r="H15" s="765"/>
      <c r="I15" s="765"/>
      <c r="J15" s="766"/>
      <c r="K15" s="766"/>
    </row>
    <row r="16" spans="1:11" x14ac:dyDescent="0.2">
      <c r="A16" s="2233" t="s">
        <v>316</v>
      </c>
      <c r="B16" s="2233"/>
      <c r="C16" s="2233"/>
      <c r="D16" s="2233"/>
      <c r="E16" s="2261"/>
      <c r="F16" s="790" t="s">
        <v>980</v>
      </c>
      <c r="G16" s="773"/>
      <c r="H16" s="768"/>
      <c r="I16" s="768"/>
      <c r="J16" s="770"/>
      <c r="K16" s="770"/>
    </row>
    <row r="17" spans="1:11" x14ac:dyDescent="0.2">
      <c r="A17" s="2255" t="s">
        <v>992</v>
      </c>
      <c r="B17" s="2255"/>
      <c r="C17" s="2255"/>
      <c r="D17" s="2255"/>
      <c r="E17" s="2256"/>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68" t="s">
        <v>1916</v>
      </c>
      <c r="B19" s="2268"/>
      <c r="C19" s="2268"/>
      <c r="D19" s="2268"/>
      <c r="E19" s="2269"/>
      <c r="F19" s="790" t="s">
        <v>990</v>
      </c>
      <c r="G19" s="783"/>
      <c r="H19" s="783"/>
      <c r="I19" s="783"/>
      <c r="J19" s="766"/>
      <c r="K19" s="796"/>
    </row>
    <row r="20" spans="1:11" x14ac:dyDescent="0.2">
      <c r="A20" s="2247" t="s">
        <v>1921</v>
      </c>
      <c r="B20" s="2248"/>
      <c r="C20" s="2248"/>
      <c r="D20" s="2248"/>
      <c r="E20" s="2249"/>
      <c r="F20" s="790" t="s">
        <v>991</v>
      </c>
      <c r="G20" s="783"/>
      <c r="H20" s="783"/>
      <c r="I20" s="783"/>
      <c r="J20" s="766"/>
      <c r="K20" s="796"/>
    </row>
    <row r="21" spans="1:11" ht="13.5" thickBot="1" x14ac:dyDescent="0.25">
      <c r="A21" s="2253" t="s">
        <v>659</v>
      </c>
      <c r="B21" s="2253"/>
      <c r="C21" s="2253"/>
      <c r="D21" s="2253"/>
      <c r="E21" s="2253"/>
      <c r="F21" s="1781"/>
      <c r="G21" s="793"/>
      <c r="H21" s="797"/>
      <c r="I21" s="797"/>
      <c r="J21" s="1782">
        <f>SUM(J18:J20)</f>
        <v>0</v>
      </c>
      <c r="K21" s="794"/>
    </row>
    <row r="22" spans="1:11" ht="13.5" thickTop="1" x14ac:dyDescent="0.2">
      <c r="A22" s="2233" t="s">
        <v>1922</v>
      </c>
      <c r="B22" s="2233"/>
      <c r="C22" s="2233"/>
      <c r="D22" s="2233"/>
      <c r="E22" s="2261"/>
      <c r="F22" s="790" t="s">
        <v>917</v>
      </c>
      <c r="G22" s="783"/>
      <c r="H22" s="765"/>
      <c r="I22" s="765"/>
      <c r="J22" s="798"/>
      <c r="K22" s="766"/>
    </row>
    <row r="23" spans="1:11" ht="13.5" thickBot="1" x14ac:dyDescent="0.25">
      <c r="A23" s="2254" t="s">
        <v>962</v>
      </c>
      <c r="B23" s="2253"/>
      <c r="C23" s="2253"/>
      <c r="D23" s="2253"/>
      <c r="E23" s="2253"/>
      <c r="F23" s="1783"/>
      <c r="G23" s="1780">
        <f>SUM(G14:G16,G21,G22)</f>
        <v>0</v>
      </c>
      <c r="H23" s="1780">
        <f>SUM(H14:H16,H21,H22)</f>
        <v>21335</v>
      </c>
      <c r="I23" s="1780">
        <f>SUM(I14:I16,I21,I22)</f>
        <v>0</v>
      </c>
      <c r="J23" s="1780">
        <f>SUM(J14:J16,J21,J22)</f>
        <v>0</v>
      </c>
      <c r="K23" s="1780">
        <f>SUM(K14:K16,K21,K22)</f>
        <v>6647</v>
      </c>
    </row>
    <row r="24" spans="1:11" ht="14.25" thickTop="1" thickBot="1" x14ac:dyDescent="0.25">
      <c r="A24" s="2254" t="s">
        <v>2024</v>
      </c>
      <c r="B24" s="2253"/>
      <c r="C24" s="2253"/>
      <c r="D24" s="2253"/>
      <c r="E24" s="2253"/>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3"/>
      <c r="I31" s="2264"/>
      <c r="J31" s="2264"/>
      <c r="K31" s="2264"/>
    </row>
    <row r="32" spans="1:11" x14ac:dyDescent="0.2">
      <c r="A32" s="810"/>
      <c r="B32" s="237"/>
      <c r="C32" s="237"/>
      <c r="D32" s="237"/>
      <c r="E32" s="806"/>
      <c r="F32" s="812" t="s">
        <v>561</v>
      </c>
      <c r="G32" s="765"/>
      <c r="H32" s="2265"/>
      <c r="I32" s="2264"/>
      <c r="J32" s="2264"/>
      <c r="K32" s="2264"/>
    </row>
    <row r="33" spans="1:11" ht="1.5" customHeight="1" x14ac:dyDescent="0.2">
      <c r="A33" s="813" t="s">
        <v>1231</v>
      </c>
      <c r="B33" s="364"/>
      <c r="C33" s="364"/>
      <c r="D33" s="364"/>
      <c r="E33" s="364"/>
      <c r="F33" s="364"/>
      <c r="G33" s="814"/>
      <c r="H33" s="2265"/>
      <c r="I33" s="2264"/>
      <c r="J33" s="2264"/>
      <c r="K33" s="2264"/>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3" t="s">
        <v>562</v>
      </c>
      <c r="B41" s="2234"/>
      <c r="C41" s="2234"/>
      <c r="D41" s="2234"/>
      <c r="E41" s="2234"/>
      <c r="F41" s="223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2033</v>
      </c>
      <c r="B1" s="2273"/>
      <c r="C1" s="2274"/>
      <c r="D1" s="827"/>
      <c r="E1" s="828"/>
      <c r="F1" s="828"/>
      <c r="G1" s="829"/>
      <c r="H1" s="830"/>
      <c r="I1" s="831"/>
      <c r="J1" s="2270"/>
      <c r="K1" s="2271"/>
      <c r="L1" s="2271"/>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160300</v>
      </c>
      <c r="D5" s="842"/>
      <c r="E5" s="842"/>
      <c r="F5" s="1782">
        <f>(C5+D5)-E5</f>
        <v>160300</v>
      </c>
      <c r="G5" s="838"/>
      <c r="H5" s="843"/>
      <c r="I5" s="843"/>
      <c r="J5" s="843"/>
      <c r="K5" s="794"/>
      <c r="L5" s="1791">
        <f>F5-K5</f>
        <v>160300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7098239</v>
      </c>
      <c r="D8" s="845">
        <v>1122267</v>
      </c>
      <c r="E8" s="845"/>
      <c r="F8" s="1782">
        <f>(C8+D8)-E8</f>
        <v>8220506</v>
      </c>
      <c r="G8" s="844">
        <v>50</v>
      </c>
      <c r="H8" s="766">
        <v>3444827</v>
      </c>
      <c r="I8" s="766">
        <v>199030</v>
      </c>
      <c r="J8" s="766"/>
      <c r="K8" s="1791">
        <f>(H8+I8)-J8</f>
        <v>3643857</v>
      </c>
      <c r="L8" s="1791">
        <f>F8-K8</f>
        <v>4576649</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76673</v>
      </c>
      <c r="D10" s="847"/>
      <c r="E10" s="847"/>
      <c r="F10" s="1786">
        <f>(C10+D10)-E10</f>
        <v>76673</v>
      </c>
      <c r="G10" s="844">
        <v>20</v>
      </c>
      <c r="H10" s="848">
        <v>64881</v>
      </c>
      <c r="I10" s="848">
        <v>3664</v>
      </c>
      <c r="J10" s="848"/>
      <c r="K10" s="1791">
        <f>(H10+I10)-J10</f>
        <v>68545</v>
      </c>
      <c r="L10" s="1791">
        <f>F10-K10</f>
        <v>8128</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458053</v>
      </c>
      <c r="D12" s="845">
        <v>76226</v>
      </c>
      <c r="E12" s="845"/>
      <c r="F12" s="1782">
        <f>(C12+D12)-E12</f>
        <v>534279</v>
      </c>
      <c r="G12" s="844">
        <v>10</v>
      </c>
      <c r="H12" s="766">
        <v>258235</v>
      </c>
      <c r="I12" s="766">
        <v>37538</v>
      </c>
      <c r="J12" s="766"/>
      <c r="K12" s="1791">
        <f>(H12+I12)-J12</f>
        <v>295773</v>
      </c>
      <c r="L12" s="1791">
        <f>F12-K12</f>
        <v>238506</v>
      </c>
    </row>
    <row r="13" spans="1:14" ht="14.25" thickTop="1" thickBot="1" x14ac:dyDescent="0.25">
      <c r="A13" s="849" t="s">
        <v>1184</v>
      </c>
      <c r="B13" s="841">
        <v>252</v>
      </c>
      <c r="C13" s="845">
        <v>1076489</v>
      </c>
      <c r="D13" s="845"/>
      <c r="E13" s="845"/>
      <c r="F13" s="1782">
        <f>(C13+D13)-E13</f>
        <v>1076489</v>
      </c>
      <c r="G13" s="844">
        <v>5</v>
      </c>
      <c r="H13" s="766">
        <v>985006</v>
      </c>
      <c r="I13" s="766">
        <v>50265</v>
      </c>
      <c r="J13" s="766"/>
      <c r="K13" s="1791">
        <f>(H13+I13)-J13</f>
        <v>1035271</v>
      </c>
      <c r="L13" s="1791">
        <f>F13-K13</f>
        <v>41218</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v>250000</v>
      </c>
      <c r="D15" s="845"/>
      <c r="E15" s="845">
        <v>250000</v>
      </c>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9119754</v>
      </c>
      <c r="D16" s="1782">
        <f>SUM(D3,D5:D6,D8:D10,D12:D15)</f>
        <v>1198493</v>
      </c>
      <c r="E16" s="1782">
        <f>SUM(E3,E5:E6,E8:E10,E12:E15)</f>
        <v>250000</v>
      </c>
      <c r="F16" s="1782">
        <f>SUM(F3,F5:F6,F8:F10,F12:F15)</f>
        <v>10068247</v>
      </c>
      <c r="G16" s="844"/>
      <c r="H16" s="1782">
        <f>SUM(H3,H6,H8:H10,H12:H14,)</f>
        <v>4752949</v>
      </c>
      <c r="I16" s="1782">
        <f>SUM(I3,I6,I8:I10,I12:I14,)</f>
        <v>290497</v>
      </c>
      <c r="J16" s="1782">
        <f>SUM(J3,J6,J8:J10,J12:J14,)</f>
        <v>0</v>
      </c>
      <c r="K16" s="1782">
        <f>(H16+I16)-J16</f>
        <v>5043446</v>
      </c>
      <c r="L16" s="1782">
        <f>F16-K16</f>
        <v>5024801</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290497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0"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3836031</v>
      </c>
      <c r="G8" s="866"/>
    </row>
    <row r="9" spans="1:7" x14ac:dyDescent="0.2">
      <c r="A9" s="870" t="s">
        <v>480</v>
      </c>
      <c r="B9" s="871" t="s">
        <v>1988</v>
      </c>
      <c r="C9" s="872"/>
      <c r="D9" s="870" t="s">
        <v>522</v>
      </c>
      <c r="E9" s="869"/>
      <c r="F9" s="1935">
        <f>'Expenditures 15-22'!K151</f>
        <v>575570</v>
      </c>
      <c r="G9" s="873"/>
    </row>
    <row r="10" spans="1:7" x14ac:dyDescent="0.2">
      <c r="A10" s="870" t="s">
        <v>520</v>
      </c>
      <c r="B10" s="871" t="s">
        <v>1989</v>
      </c>
      <c r="C10" s="872"/>
      <c r="D10" s="870" t="s">
        <v>522</v>
      </c>
      <c r="E10" s="869"/>
      <c r="F10" s="1935">
        <f>'Expenditures 15-22'!K174</f>
        <v>389602</v>
      </c>
      <c r="G10" s="873"/>
    </row>
    <row r="11" spans="1:7" x14ac:dyDescent="0.2">
      <c r="A11" s="870" t="s">
        <v>481</v>
      </c>
      <c r="B11" s="871" t="s">
        <v>1990</v>
      </c>
      <c r="C11" s="872"/>
      <c r="D11" s="870" t="s">
        <v>522</v>
      </c>
      <c r="E11" s="869"/>
      <c r="F11" s="1935">
        <f>'Expenditures 15-22'!K210</f>
        <v>187100</v>
      </c>
      <c r="G11" s="873"/>
    </row>
    <row r="12" spans="1:7" x14ac:dyDescent="0.2">
      <c r="A12" s="870" t="s">
        <v>482</v>
      </c>
      <c r="B12" s="871" t="s">
        <v>1991</v>
      </c>
      <c r="C12" s="872"/>
      <c r="D12" s="870" t="s">
        <v>522</v>
      </c>
      <c r="E12" s="869"/>
      <c r="F12" s="1935">
        <f>'Expenditures 15-22'!K295</f>
        <v>104803</v>
      </c>
      <c r="G12" s="873"/>
    </row>
    <row r="13" spans="1:7" x14ac:dyDescent="0.2">
      <c r="A13" s="870" t="s">
        <v>108</v>
      </c>
      <c r="B13" s="871" t="s">
        <v>1992</v>
      </c>
      <c r="C13" s="872"/>
      <c r="D13" s="870" t="s">
        <v>522</v>
      </c>
      <c r="E13" s="869"/>
      <c r="F13" s="1935">
        <f>'Expenditures 15-22'!K342</f>
        <v>200642</v>
      </c>
      <c r="G13" s="874"/>
    </row>
    <row r="14" spans="1:7" ht="12" customHeight="1" thickBot="1" x14ac:dyDescent="0.25">
      <c r="A14" s="1792"/>
      <c r="B14" s="1793"/>
      <c r="C14" s="1794"/>
      <c r="D14" s="1795" t="s">
        <v>522</v>
      </c>
      <c r="E14" s="1796" t="s">
        <v>1015</v>
      </c>
      <c r="F14" s="1797">
        <f>SUM(F8:F13)</f>
        <v>5293748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177478</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7582</v>
      </c>
      <c r="G52" s="866"/>
    </row>
    <row r="53" spans="1:7" x14ac:dyDescent="0.2">
      <c r="A53" s="870" t="s">
        <v>479</v>
      </c>
      <c r="B53" s="870" t="s">
        <v>1551</v>
      </c>
      <c r="C53" s="890">
        <f>'Expenditures 15-22'!B102</f>
        <v>4000</v>
      </c>
      <c r="D53" s="889" t="str">
        <f>'Expenditures 15-22'!A102</f>
        <v>Total Payments to Other Govt Units</v>
      </c>
      <c r="E53" s="869"/>
      <c r="F53" s="1939">
        <f>'Expenditures 15-22'!K102</f>
        <v>195749</v>
      </c>
      <c r="G53" s="866"/>
    </row>
    <row r="54" spans="1:7" x14ac:dyDescent="0.2">
      <c r="A54" s="870" t="s">
        <v>479</v>
      </c>
      <c r="B54" s="870" t="s">
        <v>1552</v>
      </c>
      <c r="C54" s="890" t="s">
        <v>1039</v>
      </c>
      <c r="D54" s="886" t="s">
        <v>1157</v>
      </c>
      <c r="E54" s="869"/>
      <c r="F54" s="1939">
        <f>'Expenditures 15-22'!G114</f>
        <v>7785</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245389</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300000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57684</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3022</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698</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995387</v>
      </c>
      <c r="G76" s="866"/>
    </row>
    <row r="77" spans="1:8" s="894" customFormat="1" ht="12" customHeight="1" thickTop="1" thickBot="1" x14ac:dyDescent="0.25">
      <c r="A77" s="1801"/>
      <c r="B77" s="1798"/>
      <c r="C77" s="1794"/>
      <c r="D77" s="1799" t="s">
        <v>2011</v>
      </c>
      <c r="E77" s="1796"/>
      <c r="F77" s="1802">
        <f>(F14-F76)</f>
        <v>4298361</v>
      </c>
      <c r="G77" s="870"/>
    </row>
    <row r="78" spans="1:8" s="894" customFormat="1" ht="12" customHeight="1" thickTop="1" x14ac:dyDescent="0.2">
      <c r="A78" s="1803"/>
      <c r="B78" s="1798"/>
      <c r="C78" s="1794"/>
      <c r="D78" s="1799" t="s">
        <v>2057</v>
      </c>
      <c r="E78" s="1796"/>
      <c r="F78" s="899">
        <v>380.07</v>
      </c>
      <c r="G78" s="900"/>
      <c r="H78" s="870"/>
    </row>
    <row r="79" spans="1:8" s="894" customFormat="1" ht="12" customHeight="1" thickBot="1" x14ac:dyDescent="0.25">
      <c r="A79" s="1804"/>
      <c r="B79" s="1798"/>
      <c r="C79" s="1794"/>
      <c r="D79" s="1799" t="s">
        <v>2012</v>
      </c>
      <c r="E79" s="1796" t="s">
        <v>1015</v>
      </c>
      <c r="F79" s="1805">
        <f>IF(F78&gt;0,F77/F78," Complete Line 78")</f>
        <v>11309.393006551425</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18312</v>
      </c>
      <c r="G94" s="913"/>
    </row>
    <row r="95" spans="1:7" x14ac:dyDescent="0.2">
      <c r="A95" s="909" t="s">
        <v>142</v>
      </c>
      <c r="B95" s="909" t="s">
        <v>177</v>
      </c>
      <c r="C95" s="911">
        <v>1700</v>
      </c>
      <c r="D95" s="919" t="str">
        <f>'Revenues 9-14'!A82</f>
        <v>Total District/School Activity Income</v>
      </c>
      <c r="E95" s="907"/>
      <c r="F95" s="1811">
        <f>SUM('Revenues 9-14'!C82,'Revenues 9-14'!D82)</f>
        <v>9486</v>
      </c>
      <c r="G95" s="913"/>
    </row>
    <row r="96" spans="1:7" x14ac:dyDescent="0.2">
      <c r="A96" s="909" t="s">
        <v>479</v>
      </c>
      <c r="B96" s="909" t="s">
        <v>178</v>
      </c>
      <c r="C96" s="911">
        <f>'Revenues 9-14'!B84</f>
        <v>1811</v>
      </c>
      <c r="D96" s="912" t="str">
        <f>'Revenues 9-14'!A84</f>
        <v>Rentals - Regular Textbooks</v>
      </c>
      <c r="E96" s="907"/>
      <c r="F96" s="1811">
        <f>'Revenues 9-14'!C84</f>
        <v>59035</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6500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125494</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8537</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3364</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6647</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143308</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6946</v>
      </c>
      <c r="G128" s="931"/>
    </row>
    <row r="129" spans="1:7" x14ac:dyDescent="0.2">
      <c r="A129" s="928" t="s">
        <v>685</v>
      </c>
      <c r="B129" s="928" t="s">
        <v>803</v>
      </c>
      <c r="C129" s="933">
        <v>4200</v>
      </c>
      <c r="D129" s="930" t="str">
        <f>'Revenues 9-14'!A201</f>
        <v>Total Food Service</v>
      </c>
      <c r="E129" s="907"/>
      <c r="F129" s="1811">
        <f>SUM('Revenues 9-14'!C201,'Revenues 9-14'!G201)</f>
        <v>197156</v>
      </c>
      <c r="G129" s="931"/>
    </row>
    <row r="130" spans="1:7" x14ac:dyDescent="0.2">
      <c r="A130" s="928" t="s">
        <v>689</v>
      </c>
      <c r="B130" s="928" t="s">
        <v>804</v>
      </c>
      <c r="C130" s="933">
        <v>4300</v>
      </c>
      <c r="D130" s="934" t="str">
        <f>'Revenues 9-14'!A211</f>
        <v>Total Title I</v>
      </c>
      <c r="E130" s="907"/>
      <c r="F130" s="1811">
        <f>SUM('Revenues 9-14'!C211,'Revenues 9-14'!D211,'Revenues 9-14'!F211,'Revenues 9-14'!G211)</f>
        <v>77188</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113051</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15416</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9698</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800138</v>
      </c>
    </row>
    <row r="179" spans="1:7" ht="12" customHeight="1" x14ac:dyDescent="0.2">
      <c r="A179" s="1792"/>
      <c r="B179" s="1806"/>
      <c r="C179" s="1807"/>
      <c r="D179" s="1808" t="s">
        <v>2014</v>
      </c>
      <c r="E179" s="1809"/>
      <c r="F179" s="1811">
        <f>'PCTC-OEPP 27-28'!F77-F178</f>
        <v>3498223</v>
      </c>
    </row>
    <row r="180" spans="1:7" ht="12" customHeight="1" x14ac:dyDescent="0.2">
      <c r="A180" s="1792"/>
      <c r="B180" s="1806"/>
      <c r="C180" s="1807"/>
      <c r="D180" s="1808" t="s">
        <v>1924</v>
      </c>
      <c r="E180" s="1809"/>
      <c r="F180" s="1811">
        <f>'Cap Outlay Deprec 26'!I18</f>
        <v>290497</v>
      </c>
    </row>
    <row r="181" spans="1:7" ht="12" customHeight="1" x14ac:dyDescent="0.2">
      <c r="A181" s="1792"/>
      <c r="B181" s="1806"/>
      <c r="C181" s="1807"/>
      <c r="D181" s="1808" t="s">
        <v>2015</v>
      </c>
      <c r="E181" s="1809"/>
      <c r="F181" s="1811">
        <f>F179+F180</f>
        <v>3788720</v>
      </c>
    </row>
    <row r="182" spans="1:7" ht="12" customHeight="1" x14ac:dyDescent="0.2">
      <c r="A182" s="1792"/>
      <c r="B182" s="1812"/>
      <c r="C182" s="1807"/>
      <c r="D182" s="1808" t="str">
        <f>D78</f>
        <v>9 Month ADA from District Average Daily Attendance/Prior General State Aid Inquiry 2017-2018</v>
      </c>
      <c r="E182" s="1809"/>
      <c r="F182" s="1813">
        <f>'PCTC-OEPP 27-28'!F78</f>
        <v>380.07</v>
      </c>
      <c r="G182" s="931"/>
    </row>
    <row r="183" spans="1:7" ht="12" customHeight="1" thickBot="1" x14ac:dyDescent="0.25">
      <c r="A183" s="1792"/>
      <c r="B183" s="1812"/>
      <c r="C183" s="1807"/>
      <c r="D183" s="1808" t="s">
        <v>2016</v>
      </c>
      <c r="E183" s="1809" t="s">
        <v>1626</v>
      </c>
      <c r="F183" s="1814">
        <f>F181/F182</f>
        <v>9968.4794906201496</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25"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9" t="s">
        <v>1925</v>
      </c>
      <c r="B4" s="2290"/>
      <c r="C4" s="2290"/>
      <c r="D4" s="2290"/>
      <c r="E4" s="2290"/>
      <c r="F4" s="2290"/>
      <c r="G4" s="2291"/>
    </row>
    <row r="5" spans="1:7" x14ac:dyDescent="0.25">
      <c r="A5" s="2292"/>
      <c r="B5" s="2293"/>
      <c r="C5" s="2293"/>
      <c r="D5" s="2293"/>
      <c r="E5" s="2293"/>
      <c r="F5" s="2293"/>
      <c r="G5" s="2294"/>
    </row>
    <row r="6" spans="1:7" ht="18.75" x14ac:dyDescent="0.25">
      <c r="A6" s="1556" t="s">
        <v>1926</v>
      </c>
      <c r="B6" s="1557"/>
      <c r="C6" s="1557"/>
      <c r="D6" s="1557"/>
      <c r="E6" s="1557"/>
      <c r="F6" s="1557"/>
      <c r="G6" s="1558"/>
    </row>
    <row r="7" spans="1:7" ht="30.75" customHeight="1" x14ac:dyDescent="0.25">
      <c r="A7" s="2295" t="s">
        <v>2073</v>
      </c>
      <c r="B7" s="2296"/>
      <c r="C7" s="2296"/>
      <c r="D7" s="2296"/>
      <c r="E7" s="2296"/>
      <c r="F7" s="2296"/>
      <c r="G7" s="2297"/>
    </row>
    <row r="8" spans="1:7" ht="15.75" customHeight="1" x14ac:dyDescent="0.25">
      <c r="A8" s="2298" t="s">
        <v>2022</v>
      </c>
      <c r="B8" s="2299"/>
      <c r="C8" s="2299"/>
      <c r="D8" s="2299"/>
      <c r="E8" s="2299"/>
      <c r="F8" s="2299"/>
      <c r="G8" s="2300"/>
    </row>
    <row r="9" spans="1:7" ht="35.25" customHeight="1" x14ac:dyDescent="0.25">
      <c r="A9" s="2295" t="s">
        <v>2076</v>
      </c>
      <c r="B9" s="2296"/>
      <c r="C9" s="2296"/>
      <c r="D9" s="2296"/>
      <c r="E9" s="2296"/>
      <c r="F9" s="2296"/>
      <c r="G9" s="2297"/>
    </row>
    <row r="10" spans="1:7" ht="15" customHeight="1" x14ac:dyDescent="0.25">
      <c r="A10" s="1559" t="s">
        <v>1927</v>
      </c>
      <c r="B10" s="1560"/>
      <c r="C10" s="1560"/>
      <c r="D10" s="1560"/>
      <c r="E10" s="1560"/>
      <c r="F10" s="1560"/>
      <c r="G10" s="1561"/>
    </row>
    <row r="11" spans="1:7" ht="17.25" customHeight="1" x14ac:dyDescent="0.25">
      <c r="A11" s="2295" t="s">
        <v>2075</v>
      </c>
      <c r="B11" s="2296"/>
      <c r="C11" s="2296"/>
      <c r="D11" s="2296"/>
      <c r="E11" s="2296"/>
      <c r="F11" s="2296"/>
      <c r="G11" s="2297"/>
    </row>
    <row r="12" spans="1:7" ht="15" customHeight="1" x14ac:dyDescent="0.25">
      <c r="A12" s="1559" t="s">
        <v>1932</v>
      </c>
      <c r="B12" s="1560"/>
      <c r="C12" s="1560"/>
      <c r="D12" s="1560"/>
      <c r="E12" s="1560"/>
      <c r="F12" s="1560"/>
      <c r="G12" s="1561"/>
    </row>
    <row r="13" spans="1:7" ht="32.25" customHeight="1" x14ac:dyDescent="0.25">
      <c r="A13" s="2286" t="s">
        <v>1933</v>
      </c>
      <c r="B13" s="2287"/>
      <c r="C13" s="2287"/>
      <c r="D13" s="2287"/>
      <c r="E13" s="2287"/>
      <c r="F13" s="2287"/>
      <c r="G13" s="2288"/>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957" t="s">
        <v>2111</v>
      </c>
      <c r="B29" s="1958" t="s">
        <v>2112</v>
      </c>
      <c r="C29" s="1959" t="s">
        <v>2113</v>
      </c>
      <c r="D29" s="1867">
        <v>3650</v>
      </c>
      <c r="E29" s="1562">
        <f t="shared" si="2"/>
        <v>3650</v>
      </c>
      <c r="F29" s="1815">
        <f t="shared" si="3"/>
        <v>3650</v>
      </c>
      <c r="G29" s="1816">
        <f t="shared" si="4"/>
        <v>0</v>
      </c>
    </row>
    <row r="30" spans="1:8" x14ac:dyDescent="0.25">
      <c r="A30" s="1957" t="s">
        <v>2114</v>
      </c>
      <c r="B30" s="1958" t="s">
        <v>2115</v>
      </c>
      <c r="C30" s="1959" t="s">
        <v>2116</v>
      </c>
      <c r="D30" s="1867">
        <v>7400</v>
      </c>
      <c r="E30" s="1562">
        <f t="shared" si="2"/>
        <v>7400</v>
      </c>
      <c r="F30" s="1815">
        <f t="shared" si="3"/>
        <v>7400</v>
      </c>
      <c r="G30" s="1816">
        <f t="shared" si="4"/>
        <v>0</v>
      </c>
    </row>
    <row r="31" spans="1:8" x14ac:dyDescent="0.25">
      <c r="A31" s="1957" t="s">
        <v>2114</v>
      </c>
      <c r="B31" s="1958" t="s">
        <v>2115</v>
      </c>
      <c r="C31" s="1959" t="s">
        <v>2117</v>
      </c>
      <c r="D31" s="1867">
        <f>162.66*12</f>
        <v>1951.92</v>
      </c>
      <c r="E31" s="1562">
        <f t="shared" si="2"/>
        <v>1951.92</v>
      </c>
      <c r="F31" s="1815">
        <f t="shared" si="3"/>
        <v>1951.92</v>
      </c>
      <c r="G31" s="1816">
        <f t="shared" si="4"/>
        <v>0</v>
      </c>
    </row>
    <row r="32" spans="1:8" x14ac:dyDescent="0.25">
      <c r="A32" s="1957" t="s">
        <v>2114</v>
      </c>
      <c r="B32" s="1958" t="s">
        <v>2115</v>
      </c>
      <c r="C32" s="1959" t="s">
        <v>2118</v>
      </c>
      <c r="D32" s="1867">
        <f>1406+1408*11</f>
        <v>16894</v>
      </c>
      <c r="E32" s="1562">
        <f t="shared" si="2"/>
        <v>16894</v>
      </c>
      <c r="F32" s="1815">
        <f t="shared" si="3"/>
        <v>16894</v>
      </c>
      <c r="G32" s="1816">
        <f t="shared" si="4"/>
        <v>0</v>
      </c>
    </row>
    <row r="33" spans="1:7" x14ac:dyDescent="0.25">
      <c r="A33" s="1957" t="s">
        <v>2119</v>
      </c>
      <c r="B33" s="1958" t="s">
        <v>2120</v>
      </c>
      <c r="C33" s="1959" t="s">
        <v>2121</v>
      </c>
      <c r="D33" s="1867">
        <f>996+2458+996+225+225+2534+1267*5+1331*3</f>
        <v>17762</v>
      </c>
      <c r="E33" s="1562">
        <f t="shared" si="2"/>
        <v>17762</v>
      </c>
      <c r="F33" s="1815">
        <f t="shared" si="3"/>
        <v>17762</v>
      </c>
      <c r="G33" s="1816">
        <f t="shared" si="4"/>
        <v>0</v>
      </c>
    </row>
    <row r="34" spans="1:7" x14ac:dyDescent="0.25">
      <c r="A34" s="1957" t="s">
        <v>2122</v>
      </c>
      <c r="B34" s="1958" t="s">
        <v>2123</v>
      </c>
      <c r="C34" s="1959" t="s">
        <v>2124</v>
      </c>
      <c r="D34" s="1867">
        <v>1090</v>
      </c>
      <c r="E34" s="1562">
        <f t="shared" si="2"/>
        <v>1090</v>
      </c>
      <c r="F34" s="1815">
        <f t="shared" si="3"/>
        <v>1090</v>
      </c>
      <c r="G34" s="1816">
        <f t="shared" si="4"/>
        <v>0</v>
      </c>
    </row>
    <row r="35" spans="1:7" x14ac:dyDescent="0.25">
      <c r="A35" s="1957" t="s">
        <v>2122</v>
      </c>
      <c r="B35" s="1958" t="s">
        <v>2123</v>
      </c>
      <c r="C35" s="1959" t="s">
        <v>2113</v>
      </c>
      <c r="D35" s="1867">
        <f>4959+11787</f>
        <v>16746</v>
      </c>
      <c r="E35" s="1562">
        <f t="shared" si="2"/>
        <v>16746</v>
      </c>
      <c r="F35" s="1815">
        <f t="shared" si="3"/>
        <v>16746</v>
      </c>
      <c r="G35" s="1816">
        <f t="shared" si="4"/>
        <v>0</v>
      </c>
    </row>
    <row r="36" spans="1:7" x14ac:dyDescent="0.25">
      <c r="A36" s="1957" t="s">
        <v>2122</v>
      </c>
      <c r="B36" s="1958" t="s">
        <v>2123</v>
      </c>
      <c r="C36" s="1959" t="s">
        <v>2125</v>
      </c>
      <c r="D36" s="1867">
        <v>2000</v>
      </c>
      <c r="E36" s="1562">
        <f t="shared" si="2"/>
        <v>2000</v>
      </c>
      <c r="F36" s="1815">
        <f t="shared" si="3"/>
        <v>2000</v>
      </c>
      <c r="G36" s="1816">
        <f t="shared" si="4"/>
        <v>0</v>
      </c>
    </row>
    <row r="37" spans="1:7" x14ac:dyDescent="0.25">
      <c r="A37" s="1957" t="s">
        <v>2122</v>
      </c>
      <c r="B37" s="1958" t="s">
        <v>2123</v>
      </c>
      <c r="C37" s="1959" t="s">
        <v>2126</v>
      </c>
      <c r="D37" s="1867">
        <f>475*12</f>
        <v>5700</v>
      </c>
      <c r="E37" s="1562">
        <f t="shared" si="2"/>
        <v>5700</v>
      </c>
      <c r="F37" s="1815">
        <f t="shared" si="3"/>
        <v>5700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73193.919999999998</v>
      </c>
      <c r="E141" s="1563">
        <f t="shared" si="1"/>
        <v>25000</v>
      </c>
      <c r="F141" s="1817">
        <f>SUM(F17:F140)</f>
        <v>73193.919999999998</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0"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1" colorId="8" zoomScale="110" zoomScaleNormal="110" workbookViewId="0">
      <selection activeCell="E1" sqref="E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1778</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214790</v>
      </c>
      <c r="F10" s="975"/>
      <c r="G10" s="976"/>
      <c r="H10" s="162"/>
      <c r="I10" s="162"/>
    </row>
    <row r="11" spans="1:9" s="669" customFormat="1" ht="22.5" customHeight="1" x14ac:dyDescent="0.2">
      <c r="A11" s="2306" t="s">
        <v>1944</v>
      </c>
      <c r="B11" s="2307"/>
      <c r="C11" s="2307"/>
      <c r="D11" s="2308"/>
      <c r="E11" s="978">
        <v>21740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2562106</v>
      </c>
      <c r="F19" s="1822"/>
      <c r="G19" s="1824">
        <f>'Expenditures 15-22'!K33-SUM('Expenditures 15-22'!G33,'Expenditures 15-22'!I33)+'Expenditures 15-22'!D229</f>
        <v>2562106</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234807</v>
      </c>
      <c r="F21" s="1825"/>
      <c r="G21" s="1828">
        <f>'Expenditures 15-22'!K42-SUM('Expenditures 15-22'!G42,'Expenditures 15-22'!I42)+'Expenditures 15-22'!K120-SUM('Expenditures 15-22'!G120,'Expenditures 15-22'!I120)+'Expenditures 15-22'!K180-SUM('Expenditures 15-22'!G180,'Expenditures 15-22'!I180)+'Expenditures 15-22'!D238</f>
        <v>234807</v>
      </c>
      <c r="H21" s="988"/>
      <c r="I21" s="162"/>
    </row>
    <row r="22" spans="1:9" s="669" customFormat="1" ht="12" customHeight="1" x14ac:dyDescent="0.2">
      <c r="A22" s="995" t="s">
        <v>585</v>
      </c>
      <c r="B22" s="996"/>
      <c r="C22" s="994">
        <v>2200</v>
      </c>
      <c r="D22" s="1825"/>
      <c r="E22" s="1827">
        <f>'Expenditures 15-22'!K47-SUM('Expenditures 15-22'!G47,'Expenditures 15-22'!I47)+'Expenditures 15-22'!D243</f>
        <v>41802</v>
      </c>
      <c r="F22" s="1825"/>
      <c r="G22" s="1828">
        <f>'Expenditures 15-22'!K47-SUM('Expenditures 15-22'!G47,'Expenditures 15-22'!I47)+'Expenditures 15-22'!D243</f>
        <v>41802</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391443</v>
      </c>
      <c r="F23" s="1825"/>
      <c r="G23" s="1827">
        <f>'Expenditures 15-22'!K53-SUM('Expenditures 15-22'!G53,'Expenditures 15-22'!I53)+'Expenditures 15-22'!D257+'Expenditures 15-22'!K330-SUM('Expenditures 15-22'!G330,'Expenditures 15-22'!I330)</f>
        <v>391443</v>
      </c>
      <c r="H23" s="988"/>
      <c r="I23" s="162"/>
    </row>
    <row r="24" spans="1:9" s="669" customFormat="1" ht="12" customHeight="1" x14ac:dyDescent="0.2">
      <c r="A24" s="995" t="s">
        <v>587</v>
      </c>
      <c r="B24" s="996"/>
      <c r="C24" s="994">
        <v>2400</v>
      </c>
      <c r="D24" s="1825"/>
      <c r="E24" s="1827">
        <f>'Expenditures 15-22'!K57-SUM('Expenditures 15-22'!G57,'Expenditures 15-22'!I57)+'Expenditures 15-22'!D261</f>
        <v>162525</v>
      </c>
      <c r="F24" s="1825"/>
      <c r="G24" s="1828">
        <f>'Expenditures 15-22'!K57-SUM('Expenditures 15-22'!G57,'Expenditures 15-22'!I57)+'Expenditures 15-22'!D261</f>
        <v>162525</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92509</v>
      </c>
      <c r="E27" s="1827">
        <f>E8</f>
        <v>0</v>
      </c>
      <c r="F27" s="1827">
        <f>'Expenditures 15-22'!K60-SUM('Expenditures 15-22'!G60,'Expenditures 15-22'!I60)+'Expenditures 15-22'!D264-E8</f>
        <v>92509</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347967</v>
      </c>
      <c r="F28" s="1829">
        <f>'Expenditures 15-22'!K61-SUM('Expenditures 15-22'!G61,'Expenditures 15-22'!I61)+'Expenditures 15-22'!K124-SUM('Expenditures 15-22'!G124,'Expenditures 15-22'!I124)+'Expenditures 15-22'!D266-E9</f>
        <v>347967</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137585</v>
      </c>
      <c r="F29" s="1825"/>
      <c r="G29" s="1828">
        <f>'Expenditures 15-22'!K62-SUM('Expenditures 15-22'!G62,'Expenditures 15-22'!I62)+'Expenditures 15-22'!K125-SUM('Expenditures 15-22'!G125,'Expenditures 15-22'!I125)+'Expenditures 15-22'!K182-SUM('Expenditures 15-22'!G182,'Expenditures 15-22'!I182)+'Expenditures 15-22'!D267</f>
        <v>137585</v>
      </c>
      <c r="H29" s="986"/>
    </row>
    <row r="30" spans="1:9" ht="12" customHeight="1" x14ac:dyDescent="0.2">
      <c r="A30" s="995" t="s">
        <v>102</v>
      </c>
      <c r="B30" s="998"/>
      <c r="C30" s="994">
        <v>2560</v>
      </c>
      <c r="D30" s="1825"/>
      <c r="E30" s="1827">
        <f>'Expenditures 15-22'!K63-SUM('Expenditures 15-22'!G63,'Expenditures 15-22'!I63)+'Expenditures 15-22'!D268-E10</f>
        <v>-20883</v>
      </c>
      <c r="F30" s="1825"/>
      <c r="G30" s="1827">
        <f>'Expenditures 15-22'!K63-SUM('Expenditures 15-22'!G63,'Expenditures 15-22'!I63)+'Expenditures 15-22'!D268-E10</f>
        <v>-20883</v>
      </c>
    </row>
    <row r="31" spans="1:9" ht="12" customHeight="1" x14ac:dyDescent="0.2">
      <c r="A31" s="995" t="s">
        <v>103</v>
      </c>
      <c r="B31" s="998"/>
      <c r="C31" s="994">
        <v>2570</v>
      </c>
      <c r="D31" s="1827">
        <f>'Expenditures 15-22'!K64-SUM('Expenditures 15-22'!G64,'Expenditures 15-22'!I64)+'Expenditures 15-22'!D269-E12</f>
        <v>17794</v>
      </c>
      <c r="E31" s="1827">
        <f>E12</f>
        <v>0</v>
      </c>
      <c r="F31" s="1827">
        <f>'Expenditures 15-22'!K64-SUM('Expenditures 15-22'!G64,'Expenditures 15-22'!I64)+'Expenditures 15-22'!D269-E12</f>
        <v>17794</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206814</v>
      </c>
      <c r="E37" s="1827">
        <f>E14</f>
        <v>0</v>
      </c>
      <c r="F37" s="1827">
        <f>'Expenditures 15-22'!K71-SUM('Expenditures 15-22'!G71,'Expenditures 15-22'!I71)+'Expenditures 15-22'!D276-E14</f>
        <v>206814</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8280</v>
      </c>
      <c r="F39" s="1825"/>
      <c r="G39" s="1827">
        <f>'Expenditures 15-22'!K75-SUM('Expenditures 15-22'!G75,'Expenditures 15-22'!I75)+'Expenditures 15-22'!K130-SUM('Expenditures 15-22'!G130,'Expenditures 15-22'!I130)+'Expenditures 15-22'!K185-SUM('Expenditures 15-22'!G185,'Expenditures 15-22'!I185)+'Expenditures 15-22'!D280</f>
        <v>8280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317117</v>
      </c>
      <c r="E41" s="1829">
        <f>SUM(E19:E40)</f>
        <v>3865632</v>
      </c>
      <c r="F41" s="1829">
        <f>SUM(F19:F39)</f>
        <v>665084</v>
      </c>
      <c r="G41" s="1829">
        <f>SUM(G19:G40)</f>
        <v>3517665</v>
      </c>
    </row>
    <row r="42" spans="1:7" x14ac:dyDescent="0.2">
      <c r="A42" s="988"/>
      <c r="B42" s="162"/>
      <c r="C42" s="1002"/>
      <c r="D42" s="2304" t="s">
        <v>543</v>
      </c>
      <c r="E42" s="2305"/>
      <c r="F42" s="1003" t="s">
        <v>544</v>
      </c>
      <c r="G42" s="1004"/>
    </row>
    <row r="43" spans="1:7" ht="12" customHeight="1" x14ac:dyDescent="0.2">
      <c r="A43" s="988"/>
      <c r="B43" s="162"/>
      <c r="C43" s="1002"/>
      <c r="D43" s="1830" t="s">
        <v>493</v>
      </c>
      <c r="E43" s="1831">
        <f>D41</f>
        <v>317117</v>
      </c>
      <c r="F43" s="1830" t="s">
        <v>495</v>
      </c>
      <c r="G43" s="1831">
        <f>F41</f>
        <v>665084</v>
      </c>
    </row>
    <row r="44" spans="1:7" ht="12" customHeight="1" x14ac:dyDescent="0.2">
      <c r="A44" s="988"/>
      <c r="B44" s="162"/>
      <c r="C44" s="1002"/>
      <c r="D44" s="1830" t="s">
        <v>494</v>
      </c>
      <c r="E44" s="1831">
        <f>E41</f>
        <v>3865632</v>
      </c>
      <c r="F44" s="1830" t="s">
        <v>494</v>
      </c>
      <c r="G44" s="1831">
        <f>G41</f>
        <v>3517665</v>
      </c>
    </row>
    <row r="45" spans="1:7" ht="12" customHeight="1" x14ac:dyDescent="0.2">
      <c r="A45" s="988"/>
      <c r="B45" s="162"/>
      <c r="C45" s="162"/>
      <c r="D45" s="1832" t="s">
        <v>1063</v>
      </c>
      <c r="E45" s="1833">
        <f>(E43/E44)</f>
        <v>8.203496866747792E-2</v>
      </c>
      <c r="F45" s="1832" t="s">
        <v>1063</v>
      </c>
      <c r="G45" s="1833">
        <f>(G43/G44)</f>
        <v>0.1890697380222392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2" t="s">
        <v>1446</v>
      </c>
      <c r="B1" s="2312"/>
      <c r="C1" s="2312"/>
      <c r="D1" s="2312"/>
      <c r="E1" s="2312"/>
      <c r="F1" s="2312"/>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3" t="s">
        <v>1627</v>
      </c>
      <c r="B5" s="2314"/>
      <c r="C5" s="2315"/>
      <c r="D5" s="2315"/>
      <c r="E5" s="2315"/>
      <c r="F5" s="2315"/>
    </row>
    <row r="6" spans="1:10" ht="12" customHeight="1" x14ac:dyDescent="0.25">
      <c r="A6" s="1875"/>
      <c r="B6" s="1876"/>
      <c r="C6" s="2316" t="str">
        <f>COVER!A17</f>
        <v>Earlville CUSD 9</v>
      </c>
      <c r="D6" s="2316"/>
      <c r="E6" s="2316"/>
      <c r="F6" s="1877"/>
    </row>
    <row r="7" spans="1:10" ht="11.25" customHeight="1" thickBot="1" x14ac:dyDescent="0.3">
      <c r="A7" s="1875"/>
      <c r="B7" s="1876"/>
      <c r="C7" s="2317">
        <f>COVER!A13</f>
        <v>35050009026</v>
      </c>
      <c r="D7" s="2317"/>
      <c r="E7" s="2317"/>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t="s">
        <v>2077</v>
      </c>
      <c r="D16" s="1890" t="s">
        <v>2077</v>
      </c>
      <c r="E16" s="1893"/>
      <c r="F16" s="1892" t="s">
        <v>2101</v>
      </c>
      <c r="H16" s="1903">
        <f t="shared" si="0"/>
        <v>5</v>
      </c>
      <c r="I16" s="1903">
        <f t="shared" si="1"/>
        <v>5</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c r="F26" s="1892" t="s">
        <v>2102</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2077</v>
      </c>
      <c r="D31" s="1890" t="s">
        <v>2077</v>
      </c>
      <c r="E31" s="1893"/>
      <c r="F31" s="1892" t="s">
        <v>2103</v>
      </c>
      <c r="H31" s="1903">
        <f t="shared" si="0"/>
        <v>5</v>
      </c>
      <c r="I31" s="1903">
        <f t="shared" si="1"/>
        <v>5</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15</v>
      </c>
      <c r="I34" s="1903">
        <f>SUM(I11:I32)</f>
        <v>15</v>
      </c>
      <c r="J34" s="1903">
        <f>SUM(J11:J32)</f>
        <v>0</v>
      </c>
      <c r="K34" s="1903">
        <f>SUM(H34:J34)</f>
        <v>30</v>
      </c>
    </row>
    <row r="35" spans="1:11" ht="12" customHeight="1" x14ac:dyDescent="0.2">
      <c r="A35" s="1896" t="s">
        <v>1459</v>
      </c>
      <c r="B35" s="1897"/>
      <c r="C35" s="2318"/>
      <c r="D35" s="2318"/>
      <c r="E35" s="2318"/>
      <c r="F35" s="2319"/>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23"/>
      <c r="B38" s="2324"/>
      <c r="C38" s="2324"/>
      <c r="D38" s="2324"/>
      <c r="E38" s="2324"/>
      <c r="F38" s="2325"/>
    </row>
    <row r="39" spans="1:11" ht="4.5" hidden="1" customHeight="1" x14ac:dyDescent="0.2">
      <c r="A39" s="1898"/>
      <c r="B39" s="1898"/>
      <c r="C39" s="1898"/>
      <c r="D39" s="1898"/>
      <c r="E39" s="1898"/>
      <c r="F39" s="1898"/>
    </row>
    <row r="40" spans="1:11" s="1895" customFormat="1" ht="12" customHeight="1" x14ac:dyDescent="0.25">
      <c r="A40" s="1899" t="s">
        <v>1458</v>
      </c>
      <c r="B40" s="1900"/>
      <c r="C40" s="2326"/>
      <c r="D40" s="2326"/>
      <c r="E40" s="2326"/>
      <c r="F40" s="2327"/>
      <c r="H40" s="1904"/>
      <c r="I40" s="1904"/>
      <c r="J40" s="1904"/>
      <c r="K40" s="1904"/>
    </row>
    <row r="41" spans="1:11" s="1895" customFormat="1" ht="12" customHeight="1" x14ac:dyDescent="0.25">
      <c r="A41" s="2328"/>
      <c r="B41" s="2329"/>
      <c r="C41" s="2329"/>
      <c r="D41" s="2329"/>
      <c r="E41" s="2329"/>
      <c r="F41" s="2330"/>
      <c r="H41" s="1904"/>
      <c r="I41" s="1904"/>
      <c r="J41" s="1904"/>
      <c r="K41" s="1904"/>
    </row>
    <row r="42" spans="1:11" s="1895" customFormat="1" ht="12" customHeight="1" x14ac:dyDescent="0.25">
      <c r="A42" s="2328"/>
      <c r="B42" s="2329"/>
      <c r="C42" s="2329"/>
      <c r="D42" s="2329"/>
      <c r="E42" s="2329"/>
      <c r="F42" s="2330"/>
      <c r="H42" s="1904"/>
      <c r="I42" s="1904"/>
      <c r="J42" s="1904"/>
      <c r="K42" s="1904"/>
    </row>
    <row r="43" spans="1:11" s="1895" customFormat="1" ht="15" x14ac:dyDescent="0.25">
      <c r="A43" s="2320"/>
      <c r="B43" s="2321"/>
      <c r="C43" s="2321"/>
      <c r="D43" s="2321"/>
      <c r="E43" s="2321"/>
      <c r="F43" s="2322"/>
      <c r="H43" s="1904"/>
      <c r="I43" s="1904"/>
      <c r="J43" s="1904"/>
      <c r="K43" s="1904"/>
    </row>
    <row r="44" spans="1:11" s="1895" customFormat="1" ht="12" hidden="1" customHeight="1" x14ac:dyDescent="0.25">
      <c r="A44" s="2320"/>
      <c r="B44" s="2321"/>
      <c r="C44" s="2321"/>
      <c r="D44" s="2321"/>
      <c r="E44" s="2321"/>
      <c r="F44" s="2322"/>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69"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6" t="str">
        <f>COVER!A17</f>
        <v>Earlville CUSD 9</v>
      </c>
      <c r="J6" s="2337"/>
      <c r="Q6" s="1686"/>
    </row>
    <row r="7" spans="1:17" x14ac:dyDescent="0.2">
      <c r="A7" s="2338" t="s">
        <v>924</v>
      </c>
      <c r="B7" s="2339"/>
      <c r="C7" s="2339"/>
      <c r="D7" s="2339"/>
      <c r="E7" s="2340"/>
      <c r="F7" s="1018"/>
      <c r="G7" s="1010"/>
      <c r="H7" s="1017" t="s">
        <v>390</v>
      </c>
      <c r="I7" s="2341">
        <f>COVER!A13</f>
        <v>35050009026</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140500</v>
      </c>
      <c r="F12" s="1040"/>
      <c r="G12" s="1834">
        <f t="shared" ref="G12:G18" si="0">SUM(E12:F12)</f>
        <v>140500</v>
      </c>
      <c r="H12" s="1041">
        <v>145100</v>
      </c>
      <c r="I12" s="1040"/>
      <c r="J12" s="1834">
        <f t="shared" ref="J12:J18" si="1">SUM(H12:I12)</f>
        <v>145100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17794</v>
      </c>
      <c r="F16" s="1040"/>
      <c r="G16" s="1834">
        <f t="shared" si="0"/>
        <v>17794</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5" t="s">
        <v>7</v>
      </c>
      <c r="C18" s="2346"/>
      <c r="D18" s="234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158294</v>
      </c>
      <c r="F19" s="1836">
        <f t="shared" si="2"/>
        <v>0</v>
      </c>
      <c r="G19" s="1836">
        <f t="shared" si="2"/>
        <v>158294</v>
      </c>
      <c r="H19" s="1836">
        <f t="shared" si="2"/>
        <v>145100</v>
      </c>
      <c r="I19" s="1836">
        <f t="shared" si="2"/>
        <v>0</v>
      </c>
      <c r="J19" s="1836">
        <f t="shared" si="2"/>
        <v>145100</v>
      </c>
    </row>
    <row r="20" spans="1:10" ht="13.5" thickTop="1" x14ac:dyDescent="0.2">
      <c r="A20" s="1036">
        <v>9</v>
      </c>
      <c r="B20" s="2348" t="s">
        <v>1703</v>
      </c>
      <c r="C20" s="2348"/>
      <c r="D20" s="2349"/>
      <c r="E20" s="1047"/>
      <c r="F20" s="1047"/>
      <c r="G20" s="1047"/>
      <c r="H20" s="1047"/>
      <c r="I20" s="1047"/>
      <c r="J20" s="1837">
        <f>IF(AND(G19&gt;0,J19&gt;0),(((J19-G19)/G19)),"Enter Budget Data")</f>
        <v>-8.3351232516709409E-2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1943</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1" sqref="B1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2104</v>
      </c>
    </row>
    <row r="6" spans="1:2" x14ac:dyDescent="0.2">
      <c r="A6" s="1069">
        <v>2</v>
      </c>
      <c r="B6" s="329" t="s">
        <v>2105</v>
      </c>
    </row>
    <row r="7" spans="1:2" x14ac:dyDescent="0.2">
      <c r="A7" s="1069">
        <v>3</v>
      </c>
      <c r="B7" s="329" t="s">
        <v>2106</v>
      </c>
    </row>
    <row r="8" spans="1:2" x14ac:dyDescent="0.2">
      <c r="A8" s="1069">
        <v>4</v>
      </c>
      <c r="B8" s="329" t="s">
        <v>2107</v>
      </c>
    </row>
    <row r="9" spans="1:2" x14ac:dyDescent="0.2">
      <c r="A9" s="1069">
        <v>5</v>
      </c>
      <c r="B9" s="329" t="s">
        <v>2108</v>
      </c>
    </row>
    <row r="10" spans="1:2" x14ac:dyDescent="0.2">
      <c r="A10" s="1069">
        <v>6</v>
      </c>
      <c r="B10" s="329" t="s">
        <v>2110</v>
      </c>
    </row>
    <row r="11" spans="1:2" x14ac:dyDescent="0.2">
      <c r="A11" s="1069">
        <v>7</v>
      </c>
      <c r="B11" s="329" t="s">
        <v>2109</v>
      </c>
    </row>
    <row r="12" spans="1:2" x14ac:dyDescent="0.2">
      <c r="A12" s="1069"/>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Earlville CUSD 9</v>
      </c>
    </row>
    <row r="65" spans="2:2" x14ac:dyDescent="0.2">
      <c r="B65" s="1071">
        <f>COVER!A13</f>
        <v>35050009026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8" sqref="B8:B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11" dvAspect="DVASPECT_ICON" shapeId="50177" r:id="rId4">
          <objectPr defaultSize="0" r:id="rId5">
            <anchor moveWithCells="1">
              <from>
                <xdr:col>1</xdr:col>
                <xdr:colOff>57150</xdr:colOff>
                <xdr:row>4</xdr:row>
                <xdr:rowOff>19050</xdr:rowOff>
              </from>
              <to>
                <xdr:col>1</xdr:col>
                <xdr:colOff>971550</xdr:colOff>
                <xdr:row>8</xdr:row>
                <xdr:rowOff>57150</xdr:rowOff>
              </to>
            </anchor>
          </objectPr>
        </oleObject>
      </mc:Choice>
      <mc:Fallback>
        <oleObject progId="AcroExch.Document.11" dvAspect="DVASPECT_ICON" shapeId="50177" r:id="rId4"/>
      </mc:Fallback>
    </mc:AlternateContent>
    <mc:AlternateContent xmlns:mc="http://schemas.openxmlformats.org/markup-compatibility/2006">
      <mc:Choice Requires="x14">
        <oleObject progId="AcroExch.Document.11" dvAspect="DVASPECT_ICON" shapeId="50178" r:id="rId6">
          <objectPr defaultSize="0" r:id="rId5">
            <anchor moveWithCells="1">
              <from>
                <xdr:col>1</xdr:col>
                <xdr:colOff>1104900</xdr:colOff>
                <xdr:row>3</xdr:row>
                <xdr:rowOff>152400</xdr:rowOff>
              </from>
              <to>
                <xdr:col>1</xdr:col>
                <xdr:colOff>2019300</xdr:colOff>
                <xdr:row>8</xdr:row>
                <xdr:rowOff>28575</xdr:rowOff>
              </to>
            </anchor>
          </objectPr>
        </oleObject>
      </mc:Choice>
      <mc:Fallback>
        <oleObject progId="AcroExch.Document.11" dvAspect="DVASPECT_ICON" shapeId="50178" r:id="rId6"/>
      </mc:Fallback>
    </mc:AlternateContent>
    <mc:AlternateContent xmlns:mc="http://schemas.openxmlformats.org/markup-compatibility/2006">
      <mc:Choice Requires="x14">
        <oleObject progId="AcroExch.Document.11" dvAspect="DVASPECT_ICON" shapeId="50179" r:id="rId7">
          <objectPr defaultSize="0" r:id="rId5">
            <anchor moveWithCells="1">
              <from>
                <xdr:col>1</xdr:col>
                <xdr:colOff>2219325</xdr:colOff>
                <xdr:row>3</xdr:row>
                <xdr:rowOff>152400</xdr:rowOff>
              </from>
              <to>
                <xdr:col>1</xdr:col>
                <xdr:colOff>3124200</xdr:colOff>
                <xdr:row>8</xdr:row>
                <xdr:rowOff>28575</xdr:rowOff>
              </to>
            </anchor>
          </objectPr>
        </oleObject>
      </mc:Choice>
      <mc:Fallback>
        <oleObject progId="AcroExch.Document.11" dvAspect="DVASPECT_ICON" shapeId="50179" r:id="rId7"/>
      </mc:Fallback>
    </mc:AlternateContent>
    <mc:AlternateContent xmlns:mc="http://schemas.openxmlformats.org/markup-compatibility/2006">
      <mc:Choice Requires="x14">
        <oleObject progId="AcroExch.Document.11" dvAspect="DVASPECT_ICON" shapeId="50180" r:id="rId8">
          <objectPr defaultSize="0" r:id="rId5">
            <anchor moveWithCells="1">
              <from>
                <xdr:col>2</xdr:col>
                <xdr:colOff>47625</xdr:colOff>
                <xdr:row>3</xdr:row>
                <xdr:rowOff>114300</xdr:rowOff>
              </from>
              <to>
                <xdr:col>3</xdr:col>
                <xdr:colOff>352425</xdr:colOff>
                <xdr:row>7</xdr:row>
                <xdr:rowOff>152400</xdr:rowOff>
              </to>
            </anchor>
          </objectPr>
        </oleObject>
      </mc:Choice>
      <mc:Fallback>
        <oleObject progId="AcroExch.Document.11" dvAspect="DVASPECT_ICON" shapeId="50180"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2054</v>
      </c>
      <c r="B4" s="2376"/>
      <c r="C4" s="2376"/>
      <c r="D4" s="2376"/>
      <c r="E4" s="2376"/>
      <c r="F4" s="2377"/>
      <c r="G4" s="1075"/>
      <c r="H4" s="1075"/>
    </row>
    <row r="5" spans="1:8" ht="14.25" customHeight="1" x14ac:dyDescent="0.2">
      <c r="A5" s="2378" t="s">
        <v>2055</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4451210</v>
      </c>
      <c r="C8" s="1838">
        <f>'Acct Summary 7-8'!D8</f>
        <v>398153</v>
      </c>
      <c r="D8" s="1838">
        <f>'Acct Summary 7-8'!F8</f>
        <v>243383</v>
      </c>
      <c r="E8" s="1838">
        <f>'Acct Summary 7-8'!I8</f>
        <v>27870</v>
      </c>
      <c r="F8" s="1838">
        <f>SUM(B8:E8)</f>
        <v>5120616</v>
      </c>
    </row>
    <row r="9" spans="1:8" s="1080" customFormat="1" ht="14.25" customHeight="1" thickBot="1" x14ac:dyDescent="0.25">
      <c r="A9" s="1079" t="s">
        <v>1436</v>
      </c>
      <c r="B9" s="1839">
        <f>'Acct Summary 7-8'!C17</f>
        <v>3836031</v>
      </c>
      <c r="C9" s="1839">
        <f>'Acct Summary 7-8'!D17</f>
        <v>575570</v>
      </c>
      <c r="D9" s="1839">
        <f>'Acct Summary 7-8'!F17</f>
        <v>187100</v>
      </c>
      <c r="E9" s="1838"/>
      <c r="F9" s="1838">
        <f>SUM(B9:E9)</f>
        <v>4598701</v>
      </c>
    </row>
    <row r="10" spans="1:8" s="1080" customFormat="1" ht="14.25" thickTop="1" thickBot="1" x14ac:dyDescent="0.25">
      <c r="A10" s="1081" t="s">
        <v>1437</v>
      </c>
      <c r="B10" s="1840">
        <f>(B8-B9)</f>
        <v>615179</v>
      </c>
      <c r="C10" s="1840">
        <f>(C8-C9)</f>
        <v>-177417</v>
      </c>
      <c r="D10" s="1840">
        <f>(D8-D9)</f>
        <v>56283</v>
      </c>
      <c r="E10" s="1839">
        <f>(E8-E9)</f>
        <v>27870</v>
      </c>
      <c r="F10" s="1841">
        <f>SUM(F8-F9)</f>
        <v>521915</v>
      </c>
    </row>
    <row r="11" spans="1:8" s="1080" customFormat="1" ht="14.25" thickTop="1" thickBot="1" x14ac:dyDescent="0.25">
      <c r="A11" s="1082" t="s">
        <v>1785</v>
      </c>
      <c r="B11" s="1842">
        <f>'Acct Summary 7-8'!C81</f>
        <v>2923909</v>
      </c>
      <c r="C11" s="1842">
        <f>'Acct Summary 7-8'!D81</f>
        <v>677407</v>
      </c>
      <c r="D11" s="1842">
        <f>'Acct Summary 7-8'!F81</f>
        <v>507867</v>
      </c>
      <c r="E11" s="1842">
        <f>'Acct Summary 7-8'!I81</f>
        <v>33911</v>
      </c>
      <c r="F11" s="1843">
        <f>SUM(B11:E11)</f>
        <v>4143094</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D1" sqref="D1"/>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35050009026</v>
      </c>
    </row>
    <row r="3" spans="1:2" x14ac:dyDescent="0.2">
      <c r="A3" t="s">
        <v>1013</v>
      </c>
      <c r="B3" s="138" t="str">
        <f>COVER!A15</f>
        <v>LASALLE, DEKALB, AND LEE</v>
      </c>
    </row>
    <row r="4" spans="1:2" x14ac:dyDescent="0.2">
      <c r="A4" t="s">
        <v>1064</v>
      </c>
      <c r="B4" s="138" t="str">
        <f>COVER!A17</f>
        <v>Earlville CUSD 9</v>
      </c>
    </row>
    <row r="5" spans="1:2" x14ac:dyDescent="0.2">
      <c r="A5" t="s">
        <v>728</v>
      </c>
      <c r="B5" s="138" t="str">
        <f>COVER!A38</f>
        <v>Rich Faivre</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066-005100</v>
      </c>
    </row>
    <row r="16" spans="1:2" x14ac:dyDescent="0.2">
      <c r="A16" t="s">
        <v>442</v>
      </c>
      <c r="B16" s="138" t="str">
        <f>COVER!T13</f>
        <v>MACK &amp; ASSOCIATES, P.C.</v>
      </c>
    </row>
    <row r="17" spans="1:2" x14ac:dyDescent="0.2">
      <c r="A17" t="s">
        <v>939</v>
      </c>
      <c r="B17" s="138" t="str">
        <f>COVER!T15</f>
        <v>TAWNYA MACK, CPA</v>
      </c>
    </row>
    <row r="18" spans="1:2" x14ac:dyDescent="0.2">
      <c r="A18" t="s">
        <v>1212</v>
      </c>
      <c r="B18" s="138" t="str">
        <f>COVER!T17</f>
        <v>116 E WASHINGTON STREET, SUITE ONE</v>
      </c>
    </row>
    <row r="19" spans="1:2" x14ac:dyDescent="0.2">
      <c r="A19" t="s">
        <v>941</v>
      </c>
      <c r="B19" s="138" t="str">
        <f>COVER!T25</f>
        <v>tmack@mackcpas.com</v>
      </c>
    </row>
    <row r="20" spans="1:2" x14ac:dyDescent="0.2">
      <c r="A20" t="s">
        <v>942</v>
      </c>
      <c r="B20" s="138" t="str">
        <f>COVER!T19</f>
        <v>MORRIS</v>
      </c>
    </row>
    <row r="21" spans="1:2" x14ac:dyDescent="0.2">
      <c r="A21" t="s">
        <v>500</v>
      </c>
      <c r="B21" s="138" t="str">
        <f>COVER!X19</f>
        <v>IL</v>
      </c>
    </row>
    <row r="22" spans="1:2" x14ac:dyDescent="0.2">
      <c r="A22" t="s">
        <v>943</v>
      </c>
      <c r="B22" s="138">
        <f>COVER!Z19</f>
        <v>60450</v>
      </c>
    </row>
    <row r="23" spans="1:2" x14ac:dyDescent="0.2">
      <c r="A23" t="s">
        <v>1214</v>
      </c>
      <c r="B23" s="138" t="str">
        <f>COVER!T21</f>
        <v>815-942-3306</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1264137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2923909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2655773</v>
      </c>
      <c r="D92" s="2" t="str">
        <f t="shared" si="0"/>
        <v>Error?</v>
      </c>
    </row>
    <row r="93" spans="1:4" x14ac:dyDescent="0.2">
      <c r="A93" s="5">
        <v>32</v>
      </c>
      <c r="B93" s="138">
        <f>'Assets-Liab 5-6'!C41</f>
        <v>2923909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628311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677407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677407</v>
      </c>
      <c r="D123" s="2" t="str">
        <f t="shared" si="0"/>
        <v>Error?</v>
      </c>
    </row>
    <row r="124" spans="1:4" x14ac:dyDescent="0.2">
      <c r="A124" s="5">
        <v>63</v>
      </c>
      <c r="B124" s="138">
        <f>'Assets-Liab 5-6'!D41</f>
        <v>677407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30271</v>
      </c>
      <c r="D129" s="2" t="str">
        <f t="shared" si="1"/>
        <v>Error?</v>
      </c>
    </row>
    <row r="130" spans="1:4" x14ac:dyDescent="0.2">
      <c r="A130" s="5">
        <v>69</v>
      </c>
      <c r="B130" s="138">
        <f>'Assets-Liab 5-6'!E12</f>
        <v>0</v>
      </c>
      <c r="D130" s="2" t="str">
        <f t="shared" si="1"/>
        <v>Error?</v>
      </c>
    </row>
    <row r="131" spans="1:4" x14ac:dyDescent="0.2">
      <c r="A131" s="5">
        <v>70</v>
      </c>
      <c r="B131" s="138">
        <f>'Assets-Liab 5-6'!E13</f>
        <v>71577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71577</v>
      </c>
      <c r="D140" s="2" t="str">
        <f t="shared" si="1"/>
        <v>Error?</v>
      </c>
    </row>
    <row r="141" spans="1:4" x14ac:dyDescent="0.2">
      <c r="A141" s="5">
        <v>80</v>
      </c>
      <c r="B141" s="138">
        <f>'Assets-Liab 5-6'!E41</f>
        <v>71577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322373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507867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507867</v>
      </c>
      <c r="D170" s="2" t="str">
        <f t="shared" si="1"/>
        <v>Error?</v>
      </c>
    </row>
    <row r="171" spans="1:4" x14ac:dyDescent="0.2">
      <c r="A171" s="5">
        <v>110</v>
      </c>
      <c r="B171" s="138">
        <f>'Assets-Liab 5-6'!F41</f>
        <v>507867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87084</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208748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490</v>
      </c>
      <c r="C188" s="2" t="s">
        <v>594</v>
      </c>
      <c r="D188" s="2" t="str">
        <f t="shared" si="1"/>
        <v>Error?</v>
      </c>
    </row>
    <row r="189" spans="1:4" x14ac:dyDescent="0.2">
      <c r="A189" s="5">
        <v>128</v>
      </c>
      <c r="B189" s="138">
        <f>'Assets-Liab 5-6'!G39</f>
        <v>144711</v>
      </c>
      <c r="D189" s="2" t="str">
        <f t="shared" si="1"/>
        <v>Error?</v>
      </c>
    </row>
    <row r="190" spans="1:4" x14ac:dyDescent="0.2">
      <c r="A190" s="5">
        <v>129</v>
      </c>
      <c r="B190" s="138">
        <f>'Assets-Liab 5-6'!G41</f>
        <v>208748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160300</v>
      </c>
      <c r="D273" s="2" t="str">
        <f t="shared" si="3"/>
        <v>Error?</v>
      </c>
    </row>
    <row r="274" spans="1:4" x14ac:dyDescent="0.2">
      <c r="A274" s="5">
        <v>213</v>
      </c>
      <c r="B274" s="138">
        <f>'Assets-Liab 5-6'!M17</f>
        <v>4576649</v>
      </c>
      <c r="D274" s="2" t="str">
        <f t="shared" si="3"/>
        <v>Error?</v>
      </c>
    </row>
    <row r="275" spans="1:4" x14ac:dyDescent="0.2">
      <c r="A275" s="5">
        <v>214</v>
      </c>
      <c r="B275" s="138">
        <f>'Assets-Liab 5-6'!M18</f>
        <v>8128</v>
      </c>
      <c r="D275" s="2" t="str">
        <f t="shared" si="3"/>
        <v>Error?</v>
      </c>
    </row>
    <row r="276" spans="1:4" x14ac:dyDescent="0.2">
      <c r="A276" s="5">
        <v>215</v>
      </c>
      <c r="B276" s="138">
        <f>'Assets-Liab 5-6'!M19</f>
        <v>279724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5024801</v>
      </c>
      <c r="C279" s="2" t="s">
        <v>594</v>
      </c>
      <c r="D279" s="2" t="str">
        <f t="shared" si="3"/>
        <v>Error?</v>
      </c>
    </row>
    <row r="280" spans="1:4" x14ac:dyDescent="0.2">
      <c r="A280" s="5">
        <v>219</v>
      </c>
      <c r="B280" s="138">
        <f>'Assets-Liab 5-6'!M40</f>
        <v>5024801</v>
      </c>
      <c r="D280" s="2" t="str">
        <f t="shared" si="3"/>
        <v>Error?</v>
      </c>
    </row>
    <row r="281" spans="1:4" x14ac:dyDescent="0.2">
      <c r="A281" s="5">
        <v>220</v>
      </c>
      <c r="B281" s="138">
        <f>'Assets-Liab 5-6'!M41</f>
        <v>5024801</v>
      </c>
      <c r="C281" s="2" t="s">
        <v>594</v>
      </c>
      <c r="D281" s="2" t="str">
        <f t="shared" si="3"/>
        <v>Error?</v>
      </c>
    </row>
    <row r="282" spans="1:4" x14ac:dyDescent="0.2">
      <c r="A282" s="5">
        <v>221</v>
      </c>
      <c r="B282" s="138">
        <f>'Assets-Liab 5-6'!N21</f>
        <v>71577</v>
      </c>
      <c r="D282" s="2" t="str">
        <f t="shared" si="3"/>
        <v>Error?</v>
      </c>
    </row>
    <row r="283" spans="1:4" x14ac:dyDescent="0.2">
      <c r="A283" s="5">
        <v>222</v>
      </c>
      <c r="B283" s="138">
        <f>'Assets-Liab 5-6'!N22</f>
        <v>3473423</v>
      </c>
      <c r="D283" s="2" t="str">
        <f t="shared" si="3"/>
        <v>Error?</v>
      </c>
    </row>
    <row r="284" spans="1:4" x14ac:dyDescent="0.2">
      <c r="A284" s="5">
        <v>223</v>
      </c>
      <c r="B284" s="138">
        <f>'Assets-Liab 5-6'!N23</f>
        <v>3545000</v>
      </c>
      <c r="C284" s="2" t="s">
        <v>594</v>
      </c>
      <c r="D284" s="2" t="str">
        <f t="shared" si="3"/>
        <v>Error?</v>
      </c>
    </row>
    <row r="285" spans="1:4" x14ac:dyDescent="0.2">
      <c r="A285" s="5">
        <v>224</v>
      </c>
      <c r="B285" s="138">
        <f>'Assets-Liab 5-6'!N36</f>
        <v>3545000</v>
      </c>
      <c r="D285" s="2" t="str">
        <f t="shared" si="3"/>
        <v>Error?</v>
      </c>
    </row>
    <row r="286" spans="1:4" x14ac:dyDescent="0.2">
      <c r="A286" s="10">
        <v>225</v>
      </c>
      <c r="D286" s="2" t="str">
        <f t="shared" si="3"/>
        <v>OK</v>
      </c>
    </row>
    <row r="287" spans="1:4" x14ac:dyDescent="0.2">
      <c r="A287" s="5">
        <v>226</v>
      </c>
      <c r="B287" s="138">
        <f>'Assets-Liab 5-6'!N37</f>
        <v>3545000</v>
      </c>
      <c r="C287" s="2" t="s">
        <v>594</v>
      </c>
      <c r="D287" s="2" t="str">
        <f t="shared" si="3"/>
        <v>Error?</v>
      </c>
    </row>
    <row r="288" spans="1:4" x14ac:dyDescent="0.2">
      <c r="A288" s="5">
        <v>227</v>
      </c>
      <c r="B288" s="138">
        <f>'Assets-Liab 5-6'!N41</f>
        <v>3545000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1358469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56279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1882455</v>
      </c>
      <c r="C720" s="2" t="s">
        <v>594</v>
      </c>
      <c r="D720" s="2" t="str">
        <f t="shared" si="10"/>
        <v>Error?</v>
      </c>
    </row>
    <row r="721" spans="1:4" x14ac:dyDescent="0.2">
      <c r="A721" s="5">
        <v>660</v>
      </c>
      <c r="B721" s="138">
        <f>'Expenditures 15-22'!C36</f>
        <v>48057</v>
      </c>
      <c r="D721" s="2" t="str">
        <f t="shared" si="10"/>
        <v>Error?</v>
      </c>
    </row>
    <row r="722" spans="1:4" x14ac:dyDescent="0.2">
      <c r="A722" s="5">
        <v>661</v>
      </c>
      <c r="B722" s="138">
        <f>'Expenditures 15-22'!C37</f>
        <v>48845</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96902</v>
      </c>
      <c r="C727" s="2" t="s">
        <v>594</v>
      </c>
      <c r="D727" s="2" t="str">
        <f t="shared" si="10"/>
        <v>Error?</v>
      </c>
    </row>
    <row r="728" spans="1:4" x14ac:dyDescent="0.2">
      <c r="A728" s="5">
        <v>667</v>
      </c>
      <c r="B728" s="138">
        <f>'Expenditures 15-22'!C44</f>
        <v>8756</v>
      </c>
      <c r="D728" s="2" t="str">
        <f t="shared" si="10"/>
        <v>Error?</v>
      </c>
    </row>
    <row r="729" spans="1:4" x14ac:dyDescent="0.2">
      <c r="A729" s="5">
        <v>668</v>
      </c>
      <c r="B729" s="138">
        <f>'Expenditures 15-22'!C45</f>
        <v>15889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24645</v>
      </c>
      <c r="C731" s="2" t="s">
        <v>594</v>
      </c>
      <c r="D731" s="2" t="str">
        <f t="shared" si="10"/>
        <v>Error?</v>
      </c>
    </row>
    <row r="732" spans="1:4" x14ac:dyDescent="0.2">
      <c r="A732" s="5">
        <v>671</v>
      </c>
      <c r="B732" s="138">
        <f>'Expenditures 15-22'!C49</f>
        <v>9522</v>
      </c>
      <c r="D732" s="2" t="str">
        <f t="shared" si="10"/>
        <v>Error?</v>
      </c>
    </row>
    <row r="733" spans="1:4" x14ac:dyDescent="0.2">
      <c r="A733" s="5">
        <v>672</v>
      </c>
      <c r="B733" s="138">
        <f>'Expenditures 15-22'!C50</f>
        <v>105000</v>
      </c>
      <c r="D733" s="2" t="str">
        <f t="shared" si="10"/>
        <v>Error?</v>
      </c>
    </row>
    <row r="734" spans="1:4" x14ac:dyDescent="0.2">
      <c r="A734" s="5">
        <v>673</v>
      </c>
      <c r="B734" s="138">
        <f>'Expenditures 15-22'!C53</f>
        <v>114522</v>
      </c>
      <c r="C734" s="2" t="s">
        <v>594</v>
      </c>
      <c r="D734" s="2" t="str">
        <f t="shared" si="10"/>
        <v>Error?</v>
      </c>
    </row>
    <row r="735" spans="1:4" x14ac:dyDescent="0.2">
      <c r="A735" s="5">
        <v>674</v>
      </c>
      <c r="B735" s="138">
        <f>'Expenditures 15-22'!C55</f>
        <v>110359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110359</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67531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173</v>
      </c>
      <c r="D741" s="2" t="str">
        <f t="shared" si="10"/>
        <v>Error?</v>
      </c>
    </row>
    <row r="742" spans="1:4" x14ac:dyDescent="0.2">
      <c r="A742" s="5">
        <v>681</v>
      </c>
      <c r="B742" s="138">
        <f>'Expenditures 15-22'!C63</f>
        <v>68908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136612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84597</v>
      </c>
      <c r="D751" s="2" t="str">
        <f t="shared" si="10"/>
        <v>Error?</v>
      </c>
    </row>
    <row r="752" spans="1:4" x14ac:dyDescent="0.2">
      <c r="A752" s="10">
        <v>691</v>
      </c>
      <c r="D752" s="2" t="str">
        <f t="shared" si="10"/>
        <v>OK</v>
      </c>
    </row>
    <row r="753" spans="1:4" x14ac:dyDescent="0.2">
      <c r="A753" s="5">
        <v>692</v>
      </c>
      <c r="B753" s="138">
        <f>'Expenditures 15-22'!C72</f>
        <v>84597</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567637</v>
      </c>
      <c r="C755" s="2" t="s">
        <v>594</v>
      </c>
      <c r="D755" s="2" t="str">
        <f t="shared" si="10"/>
        <v>Error?</v>
      </c>
    </row>
    <row r="756" spans="1:4" x14ac:dyDescent="0.2">
      <c r="A756" s="5">
        <v>695</v>
      </c>
      <c r="B756" s="138">
        <f>'Expenditures 15-22'!C75</f>
        <v>6380</v>
      </c>
      <c r="D756" s="2" t="str">
        <f t="shared" si="10"/>
        <v>Error?</v>
      </c>
    </row>
    <row r="757" spans="1:4" x14ac:dyDescent="0.2">
      <c r="A757" s="5">
        <v>696</v>
      </c>
      <c r="B757" s="138">
        <f>'Expenditures 15-22'!C114</f>
        <v>2456472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327487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3074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475343</v>
      </c>
      <c r="C778" s="2" t="s">
        <v>594</v>
      </c>
      <c r="D778" s="2" t="str">
        <f t="shared" si="11"/>
        <v>Error?</v>
      </c>
    </row>
    <row r="779" spans="1:4" x14ac:dyDescent="0.2">
      <c r="A779" s="5">
        <v>718</v>
      </c>
      <c r="B779" s="138">
        <f>'Expenditures 15-22'!D36</f>
        <v>12175</v>
      </c>
      <c r="D779" s="2" t="str">
        <f t="shared" si="11"/>
        <v>Error?</v>
      </c>
    </row>
    <row r="780" spans="1:4" x14ac:dyDescent="0.2">
      <c r="A780" s="5">
        <v>719</v>
      </c>
      <c r="B780" s="138">
        <f>'Expenditures 15-22'!D37</f>
        <v>5430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17605</v>
      </c>
      <c r="C785" s="2" t="s">
        <v>594</v>
      </c>
      <c r="D785" s="2" t="str">
        <f t="shared" si="11"/>
        <v>Error?</v>
      </c>
    </row>
    <row r="786" spans="1:4" x14ac:dyDescent="0.2">
      <c r="A786" s="5">
        <v>725</v>
      </c>
      <c r="B786" s="138">
        <f>'Expenditures 15-22'!D44</f>
        <v>8781</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8781</v>
      </c>
      <c r="C789" s="2" t="s">
        <v>594</v>
      </c>
      <c r="D789" s="2" t="str">
        <f t="shared" si="11"/>
        <v>Error?</v>
      </c>
    </row>
    <row r="790" spans="1:4" x14ac:dyDescent="0.2">
      <c r="A790" s="5">
        <v>729</v>
      </c>
      <c r="B790" s="138">
        <f>'Expenditures 15-22'!D49</f>
        <v>379</v>
      </c>
      <c r="D790" s="2" t="str">
        <f t="shared" si="11"/>
        <v>Error?</v>
      </c>
    </row>
    <row r="791" spans="1:4" x14ac:dyDescent="0.2">
      <c r="A791" s="5">
        <v>730</v>
      </c>
      <c r="B791" s="138">
        <f>'Expenditures 15-22'!D50</f>
        <v>27708</v>
      </c>
      <c r="D791" s="2" t="str">
        <f t="shared" si="11"/>
        <v>Error?</v>
      </c>
    </row>
    <row r="792" spans="1:4" x14ac:dyDescent="0.2">
      <c r="A792" s="5">
        <v>731</v>
      </c>
      <c r="B792" s="138">
        <f>'Expenditures 15-22'!D53</f>
        <v>28087</v>
      </c>
      <c r="C792" s="2" t="s">
        <v>594</v>
      </c>
      <c r="D792" s="2" t="str">
        <f t="shared" si="11"/>
        <v>Error?</v>
      </c>
    </row>
    <row r="793" spans="1:4" x14ac:dyDescent="0.2">
      <c r="A793" s="5">
        <v>732</v>
      </c>
      <c r="B793" s="138">
        <f>'Expenditures 15-22'!D55</f>
        <v>30875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30875</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13083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30355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43438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15980</v>
      </c>
      <c r="D809" s="2" t="str">
        <f t="shared" si="11"/>
        <v>Error?</v>
      </c>
    </row>
    <row r="810" spans="1:4" x14ac:dyDescent="0.2">
      <c r="A810" s="10">
        <v>749</v>
      </c>
      <c r="D810" s="2" t="str">
        <f t="shared" si="11"/>
        <v>OK</v>
      </c>
    </row>
    <row r="811" spans="1:4" x14ac:dyDescent="0.2">
      <c r="A811" s="5">
        <v>750</v>
      </c>
      <c r="B811" s="138">
        <f>'Expenditures 15-22'!D72</f>
        <v>15980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144766</v>
      </c>
      <c r="C813" s="2" t="s">
        <v>594</v>
      </c>
      <c r="D813" s="2" t="str">
        <f t="shared" si="11"/>
        <v>Error?</v>
      </c>
    </row>
    <row r="814" spans="1:4" x14ac:dyDescent="0.2">
      <c r="A814" s="5">
        <v>753</v>
      </c>
      <c r="B814" s="138">
        <f>'Expenditures 15-22'!D75</f>
        <v>1202</v>
      </c>
      <c r="D814" s="2" t="str">
        <f t="shared" si="11"/>
        <v>Error?</v>
      </c>
    </row>
    <row r="815" spans="1:4" x14ac:dyDescent="0.2">
      <c r="A815" s="5">
        <v>754</v>
      </c>
      <c r="B815" s="138">
        <f>'Expenditures 15-22'!D114</f>
        <v>621311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9039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15990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49626</v>
      </c>
      <c r="C836" s="2" t="s">
        <v>594</v>
      </c>
      <c r="D836" s="2" t="str">
        <f t="shared" si="12"/>
        <v>Error?</v>
      </c>
    </row>
    <row r="837" spans="1:4" x14ac:dyDescent="0.2">
      <c r="A837" s="5">
        <v>776</v>
      </c>
      <c r="B837" s="138">
        <f>'Expenditures 15-22'!E36</f>
        <v>329</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48746</v>
      </c>
      <c r="D840" s="2" t="str">
        <f t="shared" si="12"/>
        <v>Error?</v>
      </c>
    </row>
    <row r="841" spans="1:4" x14ac:dyDescent="0.2">
      <c r="A841" s="5">
        <v>780</v>
      </c>
      <c r="B841" s="138">
        <f>'Expenditures 15-22'!E40</f>
        <v>65132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114207</v>
      </c>
      <c r="C843" s="2" t="s">
        <v>594</v>
      </c>
      <c r="D843" s="2" t="str">
        <f t="shared" si="12"/>
        <v>Error?</v>
      </c>
    </row>
    <row r="844" spans="1:4" x14ac:dyDescent="0.2">
      <c r="A844" s="5">
        <v>783</v>
      </c>
      <c r="B844" s="138">
        <f>'Expenditures 15-22'!E44</f>
        <v>1238</v>
      </c>
      <c r="D844" s="2" t="str">
        <f t="shared" si="12"/>
        <v>Error?</v>
      </c>
    </row>
    <row r="845" spans="1:4" x14ac:dyDescent="0.2">
      <c r="A845" s="5">
        <v>784</v>
      </c>
      <c r="B845" s="138">
        <f>'Expenditures 15-22'!E45</f>
        <v>100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1338</v>
      </c>
      <c r="C847" s="2" t="s">
        <v>594</v>
      </c>
      <c r="D847" s="2" t="str">
        <f t="shared" si="12"/>
        <v>Error?</v>
      </c>
    </row>
    <row r="848" spans="1:4" x14ac:dyDescent="0.2">
      <c r="A848" s="5">
        <v>787</v>
      </c>
      <c r="B848" s="138">
        <f>'Expenditures 15-22'!E49</f>
        <v>23386</v>
      </c>
      <c r="D848" s="2" t="str">
        <f t="shared" si="12"/>
        <v>Error?</v>
      </c>
    </row>
    <row r="849" spans="1:4" x14ac:dyDescent="0.2">
      <c r="A849" s="5">
        <v>788</v>
      </c>
      <c r="B849" s="138">
        <f>'Expenditures 15-22'!E50</f>
        <v>1831</v>
      </c>
      <c r="D849" s="2" t="str">
        <f t="shared" si="12"/>
        <v>Error?</v>
      </c>
    </row>
    <row r="850" spans="1:4" x14ac:dyDescent="0.2">
      <c r="A850" s="5">
        <v>789</v>
      </c>
      <c r="B850" s="138">
        <f>'Expenditures 15-22'!E53</f>
        <v>25217</v>
      </c>
      <c r="C850" s="2" t="s">
        <v>594</v>
      </c>
      <c r="D850" s="2" t="str">
        <f t="shared" si="12"/>
        <v>Error?</v>
      </c>
    </row>
    <row r="851" spans="1:4" x14ac:dyDescent="0.2">
      <c r="A851" s="5">
        <v>790</v>
      </c>
      <c r="B851" s="138">
        <f>'Expenditures 15-22'!E55</f>
        <v>461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461</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3723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2480</v>
      </c>
      <c r="D858" s="2" t="str">
        <f t="shared" si="12"/>
        <v>Error?</v>
      </c>
    </row>
    <row r="859" spans="1:4" x14ac:dyDescent="0.2">
      <c r="A859" s="5">
        <v>798</v>
      </c>
      <c r="B859" s="138">
        <f>'Expenditures 15-22'!E64</f>
        <v>17794</v>
      </c>
      <c r="D859" s="2" t="str">
        <f t="shared" si="12"/>
        <v>Error?</v>
      </c>
    </row>
    <row r="860" spans="1:4" x14ac:dyDescent="0.2">
      <c r="A860" s="10">
        <v>799</v>
      </c>
      <c r="D860" s="2" t="str">
        <f t="shared" si="12"/>
        <v>OK</v>
      </c>
    </row>
    <row r="861" spans="1:4" x14ac:dyDescent="0.2">
      <c r="A861" s="5">
        <v>800</v>
      </c>
      <c r="B861" s="138">
        <f>'Expenditures 15-22'!E65</f>
        <v>23997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33805</v>
      </c>
      <c r="D867" s="2" t="str">
        <f t="shared" si="12"/>
        <v>Error?</v>
      </c>
    </row>
    <row r="868" spans="1:4" x14ac:dyDescent="0.2">
      <c r="A868" s="10">
        <v>807</v>
      </c>
      <c r="D868" s="2" t="str">
        <f t="shared" si="12"/>
        <v>OK</v>
      </c>
    </row>
    <row r="869" spans="1:4" x14ac:dyDescent="0.2">
      <c r="A869" s="5">
        <v>808</v>
      </c>
      <c r="B869" s="138">
        <f>'Expenditures 15-22'!E72</f>
        <v>33805</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199025</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303314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30070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13033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97678</v>
      </c>
      <c r="C894" s="2" t="s">
        <v>594</v>
      </c>
      <c r="D894" s="2" t="str">
        <f t="shared" si="12"/>
        <v>Error?</v>
      </c>
    </row>
    <row r="895" spans="1:4" x14ac:dyDescent="0.2">
      <c r="A895" s="5">
        <v>834</v>
      </c>
      <c r="B895" s="138">
        <f>'Expenditures 15-22'!F36</f>
        <v>215</v>
      </c>
      <c r="D895" s="2" t="str">
        <f t="shared" ref="D895:D958" si="13">IF(ISBLANK(B895),"OK",IF(A895-B895=0,"OK","Error?"))</f>
        <v>Error?</v>
      </c>
    </row>
    <row r="896" spans="1:4" x14ac:dyDescent="0.2">
      <c r="A896" s="5">
        <v>835</v>
      </c>
      <c r="B896" s="138">
        <f>'Expenditures 15-22'!F37</f>
        <v>3636</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48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3899</v>
      </c>
      <c r="C901" s="2" t="s">
        <v>594</v>
      </c>
      <c r="D901" s="2" t="str">
        <f t="shared" si="13"/>
        <v>Error?</v>
      </c>
    </row>
    <row r="902" spans="1:4" x14ac:dyDescent="0.2">
      <c r="A902" s="5">
        <v>841</v>
      </c>
      <c r="B902" s="138">
        <f>'Expenditures 15-22'!F44</f>
        <v>124</v>
      </c>
      <c r="D902" s="2" t="str">
        <f t="shared" si="13"/>
        <v>Error?</v>
      </c>
    </row>
    <row r="903" spans="1:4" x14ac:dyDescent="0.2">
      <c r="A903" s="5">
        <v>842</v>
      </c>
      <c r="B903" s="138">
        <f>'Expenditures 15-22'!F45</f>
        <v>2630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2754</v>
      </c>
      <c r="C905" s="2" t="s">
        <v>594</v>
      </c>
      <c r="D905" s="2" t="str">
        <f t="shared" si="13"/>
        <v>Error?</v>
      </c>
    </row>
    <row r="906" spans="1:4" x14ac:dyDescent="0.2">
      <c r="A906" s="5">
        <v>845</v>
      </c>
      <c r="B906" s="138">
        <f>'Expenditures 15-22'!F49</f>
        <v>2290</v>
      </c>
      <c r="D906" s="2" t="str">
        <f t="shared" si="13"/>
        <v>Error?</v>
      </c>
    </row>
    <row r="907" spans="1:4" x14ac:dyDescent="0.2">
      <c r="A907" s="5">
        <v>846</v>
      </c>
      <c r="B907" s="138">
        <f>'Expenditures 15-22'!F50</f>
        <v>1429</v>
      </c>
      <c r="D907" s="2" t="str">
        <f t="shared" si="13"/>
        <v>Error?</v>
      </c>
    </row>
    <row r="908" spans="1:4" x14ac:dyDescent="0.2">
      <c r="A908" s="5">
        <v>847</v>
      </c>
      <c r="B908" s="138">
        <f>'Expenditures 15-22'!F53</f>
        <v>3719</v>
      </c>
      <c r="C908" s="2" t="s">
        <v>594</v>
      </c>
      <c r="D908" s="2" t="str">
        <f t="shared" si="13"/>
        <v>Error?</v>
      </c>
    </row>
    <row r="909" spans="1:4" x14ac:dyDescent="0.2">
      <c r="A909" s="5">
        <v>848</v>
      </c>
      <c r="B909" s="138">
        <f>'Expenditures 15-22'!F55</f>
        <v>11861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11861</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728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82841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83569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69184</v>
      </c>
      <c r="D925" s="2" t="str">
        <f t="shared" si="13"/>
        <v>Error?</v>
      </c>
    </row>
    <row r="926" spans="1:4" x14ac:dyDescent="0.2">
      <c r="A926" s="10">
        <v>865</v>
      </c>
      <c r="D926" s="2" t="str">
        <f t="shared" si="13"/>
        <v>OK</v>
      </c>
    </row>
    <row r="927" spans="1:4" x14ac:dyDescent="0.2">
      <c r="A927" s="5">
        <v>866</v>
      </c>
      <c r="B927" s="138">
        <f>'Expenditures 15-22'!F72</f>
        <v>69184</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174986</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272664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7785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7785</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7785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7785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5100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2862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8795</v>
      </c>
      <c r="C1010" s="2" t="s">
        <v>594</v>
      </c>
      <c r="D1010" s="2" t="str">
        <f t="shared" si="14"/>
        <v>Error?</v>
      </c>
    </row>
    <row r="1011" spans="1:4" x14ac:dyDescent="0.2">
      <c r="A1011" s="5">
        <v>950</v>
      </c>
      <c r="B1011" s="138">
        <f>'Expenditures 15-22'!H36</f>
        <v>530</v>
      </c>
      <c r="D1011" s="2" t="str">
        <f t="shared" si="14"/>
        <v>Error?</v>
      </c>
    </row>
    <row r="1012" spans="1:4" x14ac:dyDescent="0.2">
      <c r="A1012" s="5">
        <v>951</v>
      </c>
      <c r="B1012" s="138">
        <f>'Expenditures 15-22'!H37</f>
        <v>344</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874</v>
      </c>
      <c r="C1017" s="2" t="s">
        <v>594</v>
      </c>
      <c r="D1017" s="2" t="str">
        <f t="shared" si="14"/>
        <v>Error?</v>
      </c>
    </row>
    <row r="1018" spans="1:4" x14ac:dyDescent="0.2">
      <c r="A1018" s="5">
        <v>957</v>
      </c>
      <c r="B1018" s="138">
        <f>'Expenditures 15-22'!H44</f>
        <v>3531</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3531</v>
      </c>
      <c r="C1021" s="2" t="s">
        <v>594</v>
      </c>
      <c r="D1021" s="2" t="str">
        <f t="shared" si="14"/>
        <v>Error?</v>
      </c>
    </row>
    <row r="1022" spans="1:4" x14ac:dyDescent="0.2">
      <c r="A1022" s="5">
        <v>961</v>
      </c>
      <c r="B1022" s="138">
        <f>'Expenditures 15-22'!H49</f>
        <v>12094</v>
      </c>
      <c r="D1022" s="2" t="str">
        <f t="shared" si="14"/>
        <v>Error?</v>
      </c>
    </row>
    <row r="1023" spans="1:4" x14ac:dyDescent="0.2">
      <c r="A1023" s="5">
        <v>962</v>
      </c>
      <c r="B1023" s="138">
        <f>'Expenditures 15-22'!H50</f>
        <v>4532</v>
      </c>
      <c r="D1023" s="2" t="str">
        <f t="shared" ref="D1023:D1086" si="15">IF(ISBLANK(B1023),"OK",IF(A1023-B1023=0,"OK","Error?"))</f>
        <v>Error?</v>
      </c>
    </row>
    <row r="1024" spans="1:4" x14ac:dyDescent="0.2">
      <c r="A1024" s="5">
        <v>963</v>
      </c>
      <c r="B1024" s="138">
        <f>'Expenditures 15-22'!H53</f>
        <v>16626</v>
      </c>
      <c r="C1024" s="2" t="s">
        <v>594</v>
      </c>
      <c r="D1024" s="2" t="str">
        <f t="shared" si="15"/>
        <v>Error?</v>
      </c>
    </row>
    <row r="1025" spans="1:4" x14ac:dyDescent="0.2">
      <c r="A1025" s="5">
        <v>964</v>
      </c>
      <c r="B1025" s="138">
        <f>'Expenditures 15-22'!H55</f>
        <v>745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745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57</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681</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738</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2090</v>
      </c>
      <c r="D1041" s="2" t="str">
        <f t="shared" si="15"/>
        <v>Error?</v>
      </c>
    </row>
    <row r="1042" spans="1:4" x14ac:dyDescent="0.2">
      <c r="A1042" s="10">
        <v>981</v>
      </c>
      <c r="D1042" s="2" t="str">
        <f t="shared" si="15"/>
        <v>OK</v>
      </c>
    </row>
    <row r="1043" spans="1:4" x14ac:dyDescent="0.2">
      <c r="A1043" s="5">
        <v>982</v>
      </c>
      <c r="B1043" s="138">
        <f>'Expenditures 15-22'!H72</f>
        <v>2090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24604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141086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174485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1730165</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91238</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2513897</v>
      </c>
      <c r="C1108" s="2" t="s">
        <v>594</v>
      </c>
      <c r="D1108" s="2" t="str">
        <f t="shared" si="16"/>
        <v>Error?</v>
      </c>
    </row>
    <row r="1109" spans="1:4" x14ac:dyDescent="0.2">
      <c r="A1109" s="5">
        <v>1048</v>
      </c>
      <c r="B1109" s="138">
        <f>'Expenditures 15-22'!K36</f>
        <v>61306</v>
      </c>
      <c r="C1109" s="2" t="s">
        <v>594</v>
      </c>
      <c r="D1109" s="2" t="str">
        <f t="shared" si="16"/>
        <v>Error?</v>
      </c>
    </row>
    <row r="1110" spans="1:4" x14ac:dyDescent="0.2">
      <c r="A1110" s="5">
        <v>1049</v>
      </c>
      <c r="B1110" s="138">
        <f>'Expenditures 15-22'!K37</f>
        <v>58255</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48746</v>
      </c>
      <c r="C1112" s="2" t="s">
        <v>594</v>
      </c>
      <c r="D1112" s="2" t="str">
        <f t="shared" si="16"/>
        <v>Error?</v>
      </c>
    </row>
    <row r="1113" spans="1:4" x14ac:dyDescent="0.2">
      <c r="A1113" s="5">
        <v>1052</v>
      </c>
      <c r="B1113" s="138">
        <f>'Expenditures 15-22'!K40</f>
        <v>65180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233487</v>
      </c>
      <c r="C1115" s="2" t="s">
        <v>594</v>
      </c>
      <c r="D1115" s="2" t="str">
        <f t="shared" si="16"/>
        <v>Error?</v>
      </c>
    </row>
    <row r="1116" spans="1:4" x14ac:dyDescent="0.2">
      <c r="A1116" s="5">
        <v>1055</v>
      </c>
      <c r="B1116" s="138">
        <f>'Expenditures 15-22'!K44</f>
        <v>22430</v>
      </c>
      <c r="C1116" s="2" t="s">
        <v>594</v>
      </c>
      <c r="D1116" s="2" t="str">
        <f t="shared" si="16"/>
        <v>Error?</v>
      </c>
    </row>
    <row r="1117" spans="1:4" x14ac:dyDescent="0.2">
      <c r="A1117" s="5">
        <v>1056</v>
      </c>
      <c r="B1117" s="138">
        <f>'Expenditures 15-22'!K45</f>
        <v>18619</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41049</v>
      </c>
      <c r="C1119" s="2" t="s">
        <v>594</v>
      </c>
      <c r="D1119" s="2" t="str">
        <f t="shared" si="16"/>
        <v>Error?</v>
      </c>
    </row>
    <row r="1120" spans="1:4" x14ac:dyDescent="0.2">
      <c r="A1120" s="5">
        <v>1059</v>
      </c>
      <c r="B1120" s="138">
        <f>'Expenditures 15-22'!K49</f>
        <v>47671</v>
      </c>
      <c r="C1120" s="2" t="s">
        <v>594</v>
      </c>
      <c r="D1120" s="2" t="str">
        <f t="shared" si="16"/>
        <v>Error?</v>
      </c>
    </row>
    <row r="1121" spans="1:4" x14ac:dyDescent="0.2">
      <c r="A1121" s="5">
        <v>1060</v>
      </c>
      <c r="B1121" s="138">
        <f>'Expenditures 15-22'!K50</f>
        <v>140500</v>
      </c>
      <c r="C1121" s="2" t="s">
        <v>594</v>
      </c>
      <c r="D1121" s="2" t="str">
        <f t="shared" si="16"/>
        <v>Error?</v>
      </c>
    </row>
    <row r="1122" spans="1:4" x14ac:dyDescent="0.2">
      <c r="A1122" s="5">
        <v>1061</v>
      </c>
      <c r="B1122" s="138">
        <f>'Expenditures 15-22'!K53</f>
        <v>188171</v>
      </c>
      <c r="C1122" s="2" t="s">
        <v>594</v>
      </c>
      <c r="D1122" s="2" t="str">
        <f t="shared" si="16"/>
        <v>Error?</v>
      </c>
    </row>
    <row r="1123" spans="1:4" x14ac:dyDescent="0.2">
      <c r="A1123" s="5">
        <v>1062</v>
      </c>
      <c r="B1123" s="138">
        <f>'Expenditures 15-22'!K55</f>
        <v>154301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154301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85122</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173</v>
      </c>
      <c r="C1129" s="2" t="s">
        <v>594</v>
      </c>
      <c r="D1129" s="2" t="str">
        <f t="shared" si="16"/>
        <v>Error?</v>
      </c>
    </row>
    <row r="1130" spans="1:4" x14ac:dyDescent="0.2">
      <c r="A1130" s="5">
        <v>1069</v>
      </c>
      <c r="B1130" s="138">
        <f>'Expenditures 15-22'!K63</f>
        <v>193050</v>
      </c>
      <c r="C1130" s="2" t="s">
        <v>594</v>
      </c>
      <c r="D1130" s="2" t="str">
        <f t="shared" si="16"/>
        <v>Error?</v>
      </c>
    </row>
    <row r="1131" spans="1:4" x14ac:dyDescent="0.2">
      <c r="A1131" s="5">
        <v>1070</v>
      </c>
      <c r="B1131" s="138">
        <f>'Expenditures 15-22'!K64</f>
        <v>17794</v>
      </c>
      <c r="C1131" s="2" t="s">
        <v>594</v>
      </c>
      <c r="D1131" s="2" t="str">
        <f t="shared" si="16"/>
        <v>Error?</v>
      </c>
    </row>
    <row r="1132" spans="1:4" x14ac:dyDescent="0.2">
      <c r="A1132" s="10">
        <v>1071</v>
      </c>
      <c r="D1132" s="2" t="str">
        <f t="shared" si="16"/>
        <v>OK</v>
      </c>
    </row>
    <row r="1133" spans="1:4" x14ac:dyDescent="0.2">
      <c r="A1133" s="5">
        <v>1072</v>
      </c>
      <c r="B1133" s="138">
        <f>'Expenditures 15-22'!K65</f>
        <v>296139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205656</v>
      </c>
      <c r="C1139" s="2" t="s">
        <v>594</v>
      </c>
      <c r="D1139" s="2" t="str">
        <f t="shared" si="16"/>
        <v>Error?</v>
      </c>
    </row>
    <row r="1140" spans="1:4" x14ac:dyDescent="0.2">
      <c r="A1140" s="10">
        <v>1079</v>
      </c>
      <c r="D1140" s="2" t="str">
        <f t="shared" si="16"/>
        <v>OK</v>
      </c>
    </row>
    <row r="1141" spans="1:4" x14ac:dyDescent="0.2">
      <c r="A1141" s="5">
        <v>1080</v>
      </c>
      <c r="B1141" s="138">
        <f>'Expenditures 15-22'!K72</f>
        <v>205656</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1118803</v>
      </c>
      <c r="C1143" s="2" t="s">
        <v>594</v>
      </c>
      <c r="D1143" s="2" t="str">
        <f t="shared" si="16"/>
        <v>Error?</v>
      </c>
    </row>
    <row r="1144" spans="1:4" x14ac:dyDescent="0.2">
      <c r="A1144" s="5">
        <v>1083</v>
      </c>
      <c r="B1144" s="138">
        <f>'Expenditures 15-22'!K75</f>
        <v>7582</v>
      </c>
      <c r="C1144" s="2" t="s">
        <v>594</v>
      </c>
      <c r="D1144" s="2" t="str">
        <f t="shared" si="16"/>
        <v>Error?</v>
      </c>
    </row>
    <row r="1145" spans="1:4" x14ac:dyDescent="0.2">
      <c r="A1145" s="5">
        <v>1084</v>
      </c>
      <c r="B1145" s="138">
        <f>'Expenditures 15-22'!K102</f>
        <v>195749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3836031</v>
      </c>
      <c r="C1152" s="2" t="s">
        <v>594</v>
      </c>
      <c r="D1152" s="2" t="str">
        <f t="shared" si="17"/>
        <v>Error?</v>
      </c>
    </row>
    <row r="1153" spans="1:4" x14ac:dyDescent="0.2">
      <c r="A1153" s="5">
        <v>1092</v>
      </c>
      <c r="B1153" s="138">
        <f>'Expenditures 15-22'!K115</f>
        <v>615179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120599</v>
      </c>
      <c r="D1221" s="2" t="str">
        <f t="shared" si="18"/>
        <v>Error?</v>
      </c>
    </row>
    <row r="1222" spans="1:4" x14ac:dyDescent="0.2">
      <c r="A1222" s="10">
        <v>1161</v>
      </c>
      <c r="D1222" s="2" t="str">
        <f t="shared" si="18"/>
        <v>OK</v>
      </c>
    </row>
    <row r="1223" spans="1:4" x14ac:dyDescent="0.2">
      <c r="A1223" s="5">
        <v>1162</v>
      </c>
      <c r="B1223" s="138">
        <f>'Expenditures 15-22'!C127</f>
        <v>120599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120599</v>
      </c>
      <c r="C1225" s="2" t="s">
        <v>594</v>
      </c>
      <c r="D1225" s="2" t="str">
        <f t="shared" si="18"/>
        <v>Error?</v>
      </c>
    </row>
    <row r="1226" spans="1:4" x14ac:dyDescent="0.2">
      <c r="A1226" s="5">
        <v>1165</v>
      </c>
      <c r="B1226" s="138">
        <f>'Expenditures 15-22'!C151</f>
        <v>120599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26454</v>
      </c>
      <c r="D1229" s="2" t="str">
        <f t="shared" si="18"/>
        <v>Error?</v>
      </c>
    </row>
    <row r="1230" spans="1:4" x14ac:dyDescent="0.2">
      <c r="A1230" s="10">
        <v>1169</v>
      </c>
      <c r="D1230" s="2" t="str">
        <f t="shared" si="18"/>
        <v>OK</v>
      </c>
    </row>
    <row r="1231" spans="1:4" x14ac:dyDescent="0.2">
      <c r="A1231" s="5">
        <v>1170</v>
      </c>
      <c r="B1231" s="138">
        <f>'Expenditures 15-22'!D127</f>
        <v>26454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26454</v>
      </c>
      <c r="C1233" s="2" t="s">
        <v>594</v>
      </c>
      <c r="D1233" s="2" t="str">
        <f t="shared" si="18"/>
        <v>Error?</v>
      </c>
    </row>
    <row r="1234" spans="1:4" x14ac:dyDescent="0.2">
      <c r="A1234" s="5">
        <v>1173</v>
      </c>
      <c r="B1234" s="138">
        <f>'Expenditures 15-22'!D151</f>
        <v>26454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55618</v>
      </c>
      <c r="D1237" s="2" t="str">
        <f t="shared" si="18"/>
        <v>Error?</v>
      </c>
    </row>
    <row r="1238" spans="1:4" x14ac:dyDescent="0.2">
      <c r="A1238" s="10">
        <v>1177</v>
      </c>
      <c r="D1238" s="2" t="str">
        <f t="shared" si="18"/>
        <v>OK</v>
      </c>
    </row>
    <row r="1239" spans="1:4" x14ac:dyDescent="0.2">
      <c r="A1239" s="5">
        <v>1178</v>
      </c>
      <c r="B1239" s="138">
        <f>'Expenditures 15-22'!E127</f>
        <v>55618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55618</v>
      </c>
      <c r="C1241" s="2" t="s">
        <v>594</v>
      </c>
      <c r="D1241" s="2" t="str">
        <f t="shared" si="18"/>
        <v>Error?</v>
      </c>
    </row>
    <row r="1242" spans="1:4" x14ac:dyDescent="0.2">
      <c r="A1242" s="5">
        <v>1181</v>
      </c>
      <c r="B1242" s="138">
        <f>'Expenditures 15-22'!E151</f>
        <v>55618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127295</v>
      </c>
      <c r="D1245" s="2" t="str">
        <f t="shared" si="18"/>
        <v>Error?</v>
      </c>
    </row>
    <row r="1246" spans="1:4" x14ac:dyDescent="0.2">
      <c r="A1246" s="10">
        <v>1185</v>
      </c>
      <c r="D1246" s="2" t="str">
        <f t="shared" si="18"/>
        <v>OK</v>
      </c>
    </row>
    <row r="1247" spans="1:4" x14ac:dyDescent="0.2">
      <c r="A1247" s="5">
        <v>1186</v>
      </c>
      <c r="B1247" s="138">
        <f>'Expenditures 15-22'!F127</f>
        <v>127295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127295</v>
      </c>
      <c r="C1249" s="2" t="s">
        <v>594</v>
      </c>
      <c r="D1249" s="2" t="str">
        <f t="shared" si="18"/>
        <v>Error?</v>
      </c>
    </row>
    <row r="1250" spans="1:4" x14ac:dyDescent="0.2">
      <c r="A1250" s="5">
        <v>1189</v>
      </c>
      <c r="B1250" s="138">
        <f>'Expenditures 15-22'!F151</f>
        <v>127295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135000</v>
      </c>
      <c r="D1252" s="2" t="str">
        <f t="shared" si="18"/>
        <v>Error?</v>
      </c>
    </row>
    <row r="1253" spans="1:4" x14ac:dyDescent="0.2">
      <c r="A1253" s="5">
        <v>1192</v>
      </c>
      <c r="B1253" s="138">
        <f>'Expenditures 15-22'!G124</f>
        <v>110389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245389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245389</v>
      </c>
      <c r="C1258" s="2" t="s">
        <v>594</v>
      </c>
      <c r="D1258" s="2" t="str">
        <f t="shared" si="18"/>
        <v>Error?</v>
      </c>
    </row>
    <row r="1259" spans="1:4" x14ac:dyDescent="0.2">
      <c r="A1259" s="5">
        <v>1198</v>
      </c>
      <c r="B1259" s="138">
        <f>'Expenditures 15-22'!G151</f>
        <v>245389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215</v>
      </c>
      <c r="D1262" s="2" t="str">
        <f t="shared" si="18"/>
        <v>Error?</v>
      </c>
    </row>
    <row r="1263" spans="1:4" x14ac:dyDescent="0.2">
      <c r="A1263" s="10">
        <v>1202</v>
      </c>
      <c r="D1263" s="2" t="str">
        <f t="shared" si="18"/>
        <v>OK</v>
      </c>
    </row>
    <row r="1264" spans="1:4" x14ac:dyDescent="0.2">
      <c r="A1264" s="5">
        <v>1203</v>
      </c>
      <c r="B1264" s="138">
        <f>'Expenditures 15-22'!H127</f>
        <v>215</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215</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215</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135000</v>
      </c>
      <c r="C1275" s="2" t="s">
        <v>594</v>
      </c>
      <c r="D1275" s="2" t="str">
        <f t="shared" si="18"/>
        <v>Error?</v>
      </c>
    </row>
    <row r="1276" spans="1:4" x14ac:dyDescent="0.2">
      <c r="A1276" s="5">
        <v>1215</v>
      </c>
      <c r="B1276" s="138">
        <f>'Expenditures 15-22'!K124</f>
        <v>440570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575570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575570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575570</v>
      </c>
      <c r="C1288" s="2" t="s">
        <v>594</v>
      </c>
      <c r="D1288" s="2" t="str">
        <f t="shared" si="19"/>
        <v>Error?</v>
      </c>
    </row>
    <row r="1289" spans="1:4" x14ac:dyDescent="0.2">
      <c r="A1289" s="5">
        <v>1228</v>
      </c>
      <c r="B1289" s="138">
        <f>'Expenditures 15-22'!K152</f>
        <v>-177417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88177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300000</v>
      </c>
      <c r="D1315" s="2" t="str">
        <f t="shared" si="19"/>
        <v>Error?</v>
      </c>
    </row>
    <row r="1316" spans="1:4" x14ac:dyDescent="0.2">
      <c r="A1316" s="5">
        <v>1255</v>
      </c>
      <c r="B1316" s="138">
        <f>'Expenditures 15-22'!H171</f>
        <v>1425</v>
      </c>
      <c r="D1316" s="2" t="str">
        <f t="shared" si="19"/>
        <v>Error?</v>
      </c>
    </row>
    <row r="1317" spans="1:4" x14ac:dyDescent="0.2">
      <c r="A1317" s="5">
        <v>1256</v>
      </c>
      <c r="B1317" s="138">
        <f>'Expenditures 15-22'!H172</f>
        <v>389602</v>
      </c>
      <c r="C1317" s="2" t="s">
        <v>594</v>
      </c>
      <c r="D1317" s="2" t="str">
        <f t="shared" si="19"/>
        <v>Error?</v>
      </c>
    </row>
    <row r="1318" spans="1:4" x14ac:dyDescent="0.2">
      <c r="A1318" s="5">
        <v>1257</v>
      </c>
      <c r="B1318" s="138">
        <f>'Expenditures 15-22'!H174</f>
        <v>389602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88177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300000</v>
      </c>
      <c r="C1329" s="2" t="s">
        <v>594</v>
      </c>
      <c r="D1329" s="2" t="str">
        <f t="shared" si="19"/>
        <v>Error?</v>
      </c>
    </row>
    <row r="1330" spans="1:4" x14ac:dyDescent="0.2">
      <c r="A1330" s="5">
        <v>1269</v>
      </c>
      <c r="B1330" s="138">
        <f>'Expenditures 15-22'!K171</f>
        <v>1425</v>
      </c>
      <c r="C1330" s="2" t="s">
        <v>594</v>
      </c>
      <c r="D1330" s="2" t="str">
        <f t="shared" si="19"/>
        <v>Error?</v>
      </c>
    </row>
    <row r="1331" spans="1:4" x14ac:dyDescent="0.2">
      <c r="A1331" s="5">
        <v>1270</v>
      </c>
      <c r="B1331" s="138">
        <f>'Expenditures 15-22'!K172</f>
        <v>389602</v>
      </c>
      <c r="C1331" s="2" t="s">
        <v>594</v>
      </c>
      <c r="D1331" s="2" t="str">
        <f t="shared" si="19"/>
        <v>Error?</v>
      </c>
    </row>
    <row r="1332" spans="1:4" x14ac:dyDescent="0.2">
      <c r="A1332" s="5">
        <v>1271</v>
      </c>
      <c r="B1332" s="138">
        <f>'Expenditures 15-22'!K174</f>
        <v>389602</v>
      </c>
      <c r="C1332" s="2" t="s">
        <v>594</v>
      </c>
      <c r="D1332" s="2" t="str">
        <f t="shared" si="19"/>
        <v>Error?</v>
      </c>
    </row>
    <row r="1333" spans="1:4" x14ac:dyDescent="0.2">
      <c r="A1333" s="5">
        <v>1272</v>
      </c>
      <c r="B1333" s="138">
        <f>'Expenditures 15-22'!K175</f>
        <v>-17225</v>
      </c>
      <c r="C1333" s="2" t="s">
        <v>594</v>
      </c>
      <c r="D1333" s="2" t="str">
        <f t="shared" si="19"/>
        <v>Error?</v>
      </c>
    </row>
    <row r="1334" spans="1:4" x14ac:dyDescent="0.2">
      <c r="A1334" s="10">
        <v>1273</v>
      </c>
      <c r="D1334" s="2" t="str">
        <f t="shared" si="19"/>
        <v>OK</v>
      </c>
    </row>
    <row r="1335" spans="1:4" x14ac:dyDescent="0.2">
      <c r="A1335" s="5">
        <v>1274</v>
      </c>
      <c r="B1335" s="138">
        <f>'Expenditures 15-22'!C182</f>
        <v>80000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80000</v>
      </c>
      <c r="C1339" s="2" t="s">
        <v>594</v>
      </c>
      <c r="D1339" s="2" t="str">
        <f t="shared" si="19"/>
        <v>Error?</v>
      </c>
    </row>
    <row r="1340" spans="1:4" x14ac:dyDescent="0.2">
      <c r="A1340" s="5">
        <v>1279</v>
      </c>
      <c r="B1340" s="138">
        <f>'Expenditures 15-22'!C210</f>
        <v>80000</v>
      </c>
      <c r="C1340" s="2" t="s">
        <v>594</v>
      </c>
      <c r="D1340" s="2" t="str">
        <f t="shared" si="19"/>
        <v>Error?</v>
      </c>
    </row>
    <row r="1341" spans="1:4" x14ac:dyDescent="0.2">
      <c r="A1341" s="5">
        <v>1280</v>
      </c>
      <c r="B1341" s="138">
        <f>'Expenditures 15-22'!D182</f>
        <v>201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201</v>
      </c>
      <c r="C1345" s="2" t="s">
        <v>594</v>
      </c>
      <c r="D1345" s="2" t="str">
        <f t="shared" si="20"/>
        <v>Error?</v>
      </c>
    </row>
    <row r="1346" spans="1:4" x14ac:dyDescent="0.2">
      <c r="A1346" s="5">
        <v>1285</v>
      </c>
      <c r="B1346" s="138">
        <f>'Expenditures 15-22'!D210</f>
        <v>201</v>
      </c>
      <c r="C1346" s="2" t="s">
        <v>594</v>
      </c>
      <c r="D1346" s="2" t="str">
        <f t="shared" si="20"/>
        <v>Error?</v>
      </c>
    </row>
    <row r="1347" spans="1:4" x14ac:dyDescent="0.2">
      <c r="A1347" s="5">
        <v>1286</v>
      </c>
      <c r="B1347" s="138">
        <f>'Expenditures 15-22'!E182</f>
        <v>24205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24205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24205</v>
      </c>
      <c r="C1353" s="2" t="s">
        <v>594</v>
      </c>
      <c r="D1353" s="2" t="str">
        <f t="shared" si="20"/>
        <v>Error?</v>
      </c>
    </row>
    <row r="1354" spans="1:4" x14ac:dyDescent="0.2">
      <c r="A1354" s="5">
        <v>1293</v>
      </c>
      <c r="B1354" s="138">
        <f>'Expenditures 15-22'!F182</f>
        <v>24320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24320</v>
      </c>
      <c r="C1358" s="2" t="s">
        <v>594</v>
      </c>
      <c r="D1358" s="2" t="str">
        <f t="shared" si="20"/>
        <v>Error?</v>
      </c>
    </row>
    <row r="1359" spans="1:4" x14ac:dyDescent="0.2">
      <c r="A1359" s="5">
        <v>1298</v>
      </c>
      <c r="B1359" s="138">
        <f>'Expenditures 15-22'!F210</f>
        <v>24320</v>
      </c>
      <c r="C1359" s="2" t="s">
        <v>594</v>
      </c>
      <c r="D1359" s="2" t="str">
        <f t="shared" si="20"/>
        <v>Error?</v>
      </c>
    </row>
    <row r="1360" spans="1:4" x14ac:dyDescent="0.2">
      <c r="A1360" s="5">
        <v>1299</v>
      </c>
      <c r="B1360" s="138">
        <f>'Expenditures 15-22'!G182</f>
        <v>57684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57684</v>
      </c>
      <c r="C1364" s="2" t="s">
        <v>594</v>
      </c>
      <c r="D1364" s="2" t="str">
        <f t="shared" si="20"/>
        <v>Error?</v>
      </c>
    </row>
    <row r="1365" spans="1:4" x14ac:dyDescent="0.2">
      <c r="A1365" s="5">
        <v>1304</v>
      </c>
      <c r="B1365" s="138">
        <f>'Expenditures 15-22'!G210</f>
        <v>57684</v>
      </c>
      <c r="C1365" s="2" t="s">
        <v>594</v>
      </c>
      <c r="D1365" s="2" t="str">
        <f t="shared" si="20"/>
        <v>Error?</v>
      </c>
    </row>
    <row r="1366" spans="1:4" x14ac:dyDescent="0.2">
      <c r="A1366" s="5">
        <v>1305</v>
      </c>
      <c r="B1366" s="138">
        <f>'Expenditures 15-22'!H182</f>
        <v>690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690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690</v>
      </c>
      <c r="C1376" s="2" t="s">
        <v>594</v>
      </c>
      <c r="D1376" s="2" t="str">
        <f t="shared" si="20"/>
        <v>Error?</v>
      </c>
    </row>
    <row r="1377" spans="1:4" x14ac:dyDescent="0.2">
      <c r="A1377" s="5">
        <v>1316</v>
      </c>
      <c r="B1377" s="138">
        <f>'Expenditures 15-22'!K182</f>
        <v>187100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187100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187100</v>
      </c>
      <c r="C1388" s="2" t="s">
        <v>594</v>
      </c>
      <c r="D1388" s="2" t="str">
        <f t="shared" si="20"/>
        <v>Error?</v>
      </c>
    </row>
    <row r="1389" spans="1:4" x14ac:dyDescent="0.2">
      <c r="A1389" s="5">
        <v>1328</v>
      </c>
      <c r="B1389" s="138">
        <f>'Expenditures 15-22'!K211</f>
        <v>56283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2730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48209</v>
      </c>
      <c r="C1410" s="2" t="s">
        <v>594</v>
      </c>
      <c r="D1410" s="2" t="str">
        <f t="shared" si="21"/>
        <v>Error?</v>
      </c>
    </row>
    <row r="1411" spans="1:4" x14ac:dyDescent="0.2">
      <c r="A1411" s="5">
        <v>1350</v>
      </c>
      <c r="B1411" s="138">
        <f>'Expenditures 15-22'!D232</f>
        <v>643</v>
      </c>
      <c r="D1411" s="2" t="str">
        <f t="shared" si="21"/>
        <v>Error?</v>
      </c>
    </row>
    <row r="1412" spans="1:4" x14ac:dyDescent="0.2">
      <c r="A1412" s="5">
        <v>1351</v>
      </c>
      <c r="B1412" s="138">
        <f>'Expenditures 15-22'!D233</f>
        <v>677</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1320</v>
      </c>
      <c r="C1417" s="2" t="s">
        <v>594</v>
      </c>
      <c r="D1417" s="2" t="str">
        <f t="shared" si="21"/>
        <v>Error?</v>
      </c>
    </row>
    <row r="1418" spans="1:4" x14ac:dyDescent="0.2">
      <c r="A1418" s="5">
        <v>1357</v>
      </c>
      <c r="B1418" s="138">
        <f>'Expenditures 15-22'!D240</f>
        <v>523</v>
      </c>
      <c r="D1418" s="2" t="str">
        <f t="shared" si="21"/>
        <v>Error?</v>
      </c>
    </row>
    <row r="1419" spans="1:4" x14ac:dyDescent="0.2">
      <c r="A1419" s="5">
        <v>1358</v>
      </c>
      <c r="B1419" s="138">
        <f>'Expenditures 15-22'!D241</f>
        <v>230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753</v>
      </c>
      <c r="C1421" s="2" t="s">
        <v>594</v>
      </c>
      <c r="D1421" s="2" t="str">
        <f t="shared" si="21"/>
        <v>Error?</v>
      </c>
    </row>
    <row r="1422" spans="1:4" x14ac:dyDescent="0.2">
      <c r="A1422" s="5">
        <v>1361</v>
      </c>
      <c r="B1422" s="138">
        <f>'Expenditures 15-22'!D245</f>
        <v>566</v>
      </c>
      <c r="D1422" s="2" t="str">
        <f t="shared" si="21"/>
        <v>Error?</v>
      </c>
    </row>
    <row r="1423" spans="1:4" x14ac:dyDescent="0.2">
      <c r="A1423" s="5">
        <v>1362</v>
      </c>
      <c r="B1423" s="138">
        <f>'Expenditures 15-22'!D246</f>
        <v>1519</v>
      </c>
      <c r="D1423" s="2" t="str">
        <f t="shared" si="21"/>
        <v>Error?</v>
      </c>
    </row>
    <row r="1424" spans="1:4" x14ac:dyDescent="0.2">
      <c r="A1424" s="5">
        <v>1363</v>
      </c>
      <c r="B1424" s="138">
        <f>'Expenditures 15-22'!D257</f>
        <v>2630</v>
      </c>
      <c r="C1424" s="2" t="s">
        <v>594</v>
      </c>
      <c r="D1424" s="2" t="str">
        <f t="shared" si="21"/>
        <v>Error?</v>
      </c>
    </row>
    <row r="1425" spans="1:4" x14ac:dyDescent="0.2">
      <c r="A1425" s="5">
        <v>1364</v>
      </c>
      <c r="B1425" s="138">
        <f>'Expenditures 15-22'!D259</f>
        <v>8224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8224</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7387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17786</v>
      </c>
      <c r="D1431" s="2" t="str">
        <f t="shared" si="21"/>
        <v>Error?</v>
      </c>
    </row>
    <row r="1432" spans="1:4" x14ac:dyDescent="0.2">
      <c r="A1432" s="5">
        <v>1371</v>
      </c>
      <c r="B1432" s="138">
        <f>'Expenditures 15-22'!D267</f>
        <v>7996</v>
      </c>
      <c r="D1432" s="2" t="str">
        <f t="shared" si="21"/>
        <v>Error?</v>
      </c>
    </row>
    <row r="1433" spans="1:4" x14ac:dyDescent="0.2">
      <c r="A1433" s="5">
        <v>1372</v>
      </c>
      <c r="B1433" s="138">
        <f>'Expenditures 15-22'!D268</f>
        <v>8642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41811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1158</v>
      </c>
      <c r="D1442" s="2" t="str">
        <f t="shared" si="21"/>
        <v>Error?</v>
      </c>
    </row>
    <row r="1443" spans="1:4" x14ac:dyDescent="0.2">
      <c r="A1443" s="10">
        <v>1382</v>
      </c>
      <c r="D1443" s="2" t="str">
        <f t="shared" si="21"/>
        <v>OK</v>
      </c>
    </row>
    <row r="1444" spans="1:4" x14ac:dyDescent="0.2">
      <c r="A1444" s="5">
        <v>1383</v>
      </c>
      <c r="B1444" s="138">
        <f>'Expenditures 15-22'!D277</f>
        <v>1158</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55896</v>
      </c>
      <c r="C1446" s="2" t="s">
        <v>594</v>
      </c>
      <c r="D1446" s="2" t="str">
        <f t="shared" si="21"/>
        <v>Error?</v>
      </c>
    </row>
    <row r="1447" spans="1:4" x14ac:dyDescent="0.2">
      <c r="A1447" s="5">
        <v>1386</v>
      </c>
      <c r="B1447" s="138">
        <f>'Expenditures 15-22'!D280</f>
        <v>698</v>
      </c>
      <c r="D1447" s="2" t="str">
        <f t="shared" si="21"/>
        <v>Error?</v>
      </c>
    </row>
    <row r="1448" spans="1:4" x14ac:dyDescent="0.2">
      <c r="A1448" s="5">
        <v>1387</v>
      </c>
      <c r="B1448" s="138">
        <f>'Expenditures 15-22'!D295</f>
        <v>104803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2730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48209</v>
      </c>
      <c r="C1474" s="2" t="s">
        <v>594</v>
      </c>
      <c r="D1474" s="2" t="str">
        <f t="shared" si="22"/>
        <v>Error?</v>
      </c>
    </row>
    <row r="1475" spans="1:4" x14ac:dyDescent="0.2">
      <c r="A1475" s="5">
        <v>1414</v>
      </c>
      <c r="B1475" s="138">
        <f>'Expenditures 15-22'!K232</f>
        <v>643</v>
      </c>
      <c r="C1475" s="2" t="s">
        <v>594</v>
      </c>
      <c r="D1475" s="2" t="str">
        <f t="shared" si="22"/>
        <v>Error?</v>
      </c>
    </row>
    <row r="1476" spans="1:4" x14ac:dyDescent="0.2">
      <c r="A1476" s="5">
        <v>1415</v>
      </c>
      <c r="B1476" s="138">
        <f>'Expenditures 15-22'!K233</f>
        <v>677</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1320</v>
      </c>
      <c r="C1481" s="2" t="s">
        <v>594</v>
      </c>
      <c r="D1481" s="2" t="str">
        <f t="shared" si="22"/>
        <v>Error?</v>
      </c>
    </row>
    <row r="1482" spans="1:4" x14ac:dyDescent="0.2">
      <c r="A1482" s="5">
        <v>1421</v>
      </c>
      <c r="B1482" s="138">
        <f>'Expenditures 15-22'!K240</f>
        <v>523</v>
      </c>
      <c r="C1482" s="2" t="s">
        <v>594</v>
      </c>
      <c r="D1482" s="2" t="str">
        <f t="shared" si="22"/>
        <v>Error?</v>
      </c>
    </row>
    <row r="1483" spans="1:4" x14ac:dyDescent="0.2">
      <c r="A1483" s="5">
        <v>1422</v>
      </c>
      <c r="B1483" s="138">
        <f>'Expenditures 15-22'!K241</f>
        <v>230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753</v>
      </c>
      <c r="C1485" s="2" t="s">
        <v>594</v>
      </c>
      <c r="D1485" s="2" t="str">
        <f t="shared" si="22"/>
        <v>Error?</v>
      </c>
    </row>
    <row r="1486" spans="1:4" x14ac:dyDescent="0.2">
      <c r="A1486" s="5">
        <v>1425</v>
      </c>
      <c r="B1486" s="138">
        <f>'Expenditures 15-22'!K245</f>
        <v>566</v>
      </c>
      <c r="C1486" s="2" t="s">
        <v>594</v>
      </c>
      <c r="D1486" s="2" t="str">
        <f t="shared" si="22"/>
        <v>Error?</v>
      </c>
    </row>
    <row r="1487" spans="1:4" x14ac:dyDescent="0.2">
      <c r="A1487" s="5">
        <v>1426</v>
      </c>
      <c r="B1487" s="138">
        <f>'Expenditures 15-22'!K246</f>
        <v>1519</v>
      </c>
      <c r="C1487" s="2" t="s">
        <v>594</v>
      </c>
      <c r="D1487" s="2" t="str">
        <f t="shared" si="22"/>
        <v>Error?</v>
      </c>
    </row>
    <row r="1488" spans="1:4" x14ac:dyDescent="0.2">
      <c r="A1488" s="5">
        <v>1427</v>
      </c>
      <c r="B1488" s="138">
        <f>'Expenditures 15-22'!K257</f>
        <v>2630</v>
      </c>
      <c r="C1488" s="2" t="s">
        <v>594</v>
      </c>
      <c r="D1488" s="2" t="str">
        <f t="shared" si="22"/>
        <v>Error?</v>
      </c>
    </row>
    <row r="1489" spans="1:4" x14ac:dyDescent="0.2">
      <c r="A1489" s="5">
        <v>1428</v>
      </c>
      <c r="B1489" s="138">
        <f>'Expenditures 15-22'!K259</f>
        <v>8224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8224</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7387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17786</v>
      </c>
      <c r="C1495" s="2" t="s">
        <v>594</v>
      </c>
      <c r="D1495" s="2" t="str">
        <f t="shared" si="22"/>
        <v>Error?</v>
      </c>
    </row>
    <row r="1496" spans="1:4" x14ac:dyDescent="0.2">
      <c r="A1496" s="5">
        <v>1435</v>
      </c>
      <c r="B1496" s="138">
        <f>'Expenditures 15-22'!K267</f>
        <v>7996</v>
      </c>
      <c r="C1496" s="2" t="s">
        <v>594</v>
      </c>
      <c r="D1496" s="2" t="str">
        <f t="shared" si="22"/>
        <v>Error?</v>
      </c>
    </row>
    <row r="1497" spans="1:4" x14ac:dyDescent="0.2">
      <c r="A1497" s="5">
        <v>1436</v>
      </c>
      <c r="B1497" s="138">
        <f>'Expenditures 15-22'!K268</f>
        <v>8642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41811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1158</v>
      </c>
      <c r="C1506" s="2" t="s">
        <v>594</v>
      </c>
      <c r="D1506" s="2" t="str">
        <f t="shared" si="22"/>
        <v>Error?</v>
      </c>
    </row>
    <row r="1507" spans="1:4" x14ac:dyDescent="0.2">
      <c r="A1507" s="10">
        <v>1446</v>
      </c>
      <c r="D1507" s="2" t="str">
        <f t="shared" si="22"/>
        <v>OK</v>
      </c>
    </row>
    <row r="1508" spans="1:4" x14ac:dyDescent="0.2">
      <c r="A1508" s="5">
        <v>1447</v>
      </c>
      <c r="B1508" s="138">
        <f>'Expenditures 15-22'!K277</f>
        <v>1158</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55896</v>
      </c>
      <c r="C1510" s="2" t="s">
        <v>594</v>
      </c>
      <c r="D1510" s="2" t="str">
        <f t="shared" si="22"/>
        <v>Error?</v>
      </c>
    </row>
    <row r="1511" spans="1:4" x14ac:dyDescent="0.2">
      <c r="A1511" s="5">
        <v>1450</v>
      </c>
      <c r="B1511" s="138">
        <f>'Expenditures 15-22'!K280</f>
        <v>698</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104803</v>
      </c>
      <c r="C1517" s="2" t="s">
        <v>594</v>
      </c>
      <c r="D1517" s="2" t="str">
        <f t="shared" si="22"/>
        <v>Error?</v>
      </c>
    </row>
    <row r="1518" spans="1:4" x14ac:dyDescent="0.2">
      <c r="A1518" s="5">
        <v>1457</v>
      </c>
      <c r="B1518" s="138">
        <f>'Expenditures 15-22'!K296</f>
        <v>37080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2349016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2923909</v>
      </c>
      <c r="C1630" s="2" t="s">
        <v>594</v>
      </c>
      <c r="D1630" s="2" t="str">
        <f t="shared" si="24"/>
        <v>Error?</v>
      </c>
    </row>
    <row r="1631" spans="1:4" x14ac:dyDescent="0.2">
      <c r="A1631" s="5">
        <v>1570</v>
      </c>
      <c r="B1631" s="138">
        <f>'Acct Summary 7-8'!D79</f>
        <v>736190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677407</v>
      </c>
      <c r="C1644" s="2" t="s">
        <v>594</v>
      </c>
      <c r="D1644" s="2" t="str">
        <f t="shared" si="24"/>
        <v>Error?</v>
      </c>
    </row>
    <row r="1645" spans="1:4" x14ac:dyDescent="0.2">
      <c r="A1645" s="5">
        <v>1584</v>
      </c>
      <c r="B1645" s="138">
        <f>'Acct Summary 7-8'!E79</f>
        <v>88802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71577</v>
      </c>
      <c r="C1658" s="2" t="s">
        <v>594</v>
      </c>
      <c r="D1658" s="2" t="str">
        <f t="shared" si="24"/>
        <v>Error?</v>
      </c>
    </row>
    <row r="1659" spans="1:4" x14ac:dyDescent="0.2">
      <c r="A1659" s="5">
        <v>1598</v>
      </c>
      <c r="B1659" s="138">
        <f>'Acct Summary 7-8'!F79</f>
        <v>454808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507867</v>
      </c>
      <c r="C1672" s="2" t="s">
        <v>594</v>
      </c>
      <c r="D1672" s="2" t="str">
        <f t="shared" si="25"/>
        <v>Error?</v>
      </c>
    </row>
    <row r="1673" spans="1:4" x14ac:dyDescent="0.2">
      <c r="A1673" s="5">
        <v>1612</v>
      </c>
      <c r="B1673" s="138">
        <f>'Acct Summary 7-8'!G79</f>
        <v>171178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208258</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2132451</v>
      </c>
      <c r="C1744" s="2" t="s">
        <v>594</v>
      </c>
      <c r="D1744" s="2" t="str">
        <f t="shared" si="26"/>
        <v>Error?</v>
      </c>
    </row>
    <row r="1745" spans="1:5" x14ac:dyDescent="0.2">
      <c r="A1745" s="5">
        <v>1684</v>
      </c>
      <c r="B1745" s="138">
        <f>'Tax Sched 23'!B5</f>
        <v>376022</v>
      </c>
      <c r="C1745" s="2" t="s">
        <v>594</v>
      </c>
      <c r="D1745" s="2" t="str">
        <f t="shared" si="26"/>
        <v>Error?</v>
      </c>
    </row>
    <row r="1746" spans="1:5" x14ac:dyDescent="0.2">
      <c r="A1746" s="5">
        <v>1685</v>
      </c>
      <c r="B1746" s="138">
        <f>'Tax Sched 23'!B6</f>
        <v>371535</v>
      </c>
      <c r="C1746" s="2" t="s">
        <v>594</v>
      </c>
      <c r="D1746" s="2" t="str">
        <f t="shared" si="26"/>
        <v>Error?</v>
      </c>
    </row>
    <row r="1747" spans="1:5" x14ac:dyDescent="0.2">
      <c r="A1747" s="5">
        <v>1686</v>
      </c>
      <c r="B1747" s="138">
        <f>'Tax Sched 23'!B7</f>
        <v>106673</v>
      </c>
      <c r="C1747" s="2" t="s">
        <v>594</v>
      </c>
      <c r="D1747" s="2" t="str">
        <f t="shared" si="26"/>
        <v>Error?</v>
      </c>
    </row>
    <row r="1748" spans="1:5" x14ac:dyDescent="0.2">
      <c r="A1748" s="5">
        <v>1687</v>
      </c>
      <c r="B1748" s="138">
        <f>'Tax Sched 23'!B8</f>
        <v>54978</v>
      </c>
      <c r="C1748" s="2" t="s">
        <v>594</v>
      </c>
      <c r="D1748" s="2" t="str">
        <f t="shared" si="26"/>
        <v>Error?</v>
      </c>
    </row>
    <row r="1749" spans="1:5" x14ac:dyDescent="0.2">
      <c r="A1749" s="5">
        <v>1688</v>
      </c>
      <c r="B1749" s="138">
        <f>'Tax Sched 23'!B10</f>
        <v>26668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149004</v>
      </c>
      <c r="C1752" s="2" t="s">
        <v>594</v>
      </c>
      <c r="D1752" s="2" t="str">
        <f t="shared" si="26"/>
        <v>Error?</v>
      </c>
    </row>
    <row r="1753" spans="1:5" x14ac:dyDescent="0.2">
      <c r="A1753" s="5">
        <v>1692</v>
      </c>
      <c r="B1753" s="138">
        <f>'Tax Sched 23'!B12</f>
        <v>26668</v>
      </c>
      <c r="C1753" s="2" t="s">
        <v>594</v>
      </c>
      <c r="D1753" s="2" t="str">
        <f t="shared" si="26"/>
        <v>Error?</v>
      </c>
    </row>
    <row r="1754" spans="1:5" x14ac:dyDescent="0.2">
      <c r="A1754" s="5">
        <v>1693</v>
      </c>
      <c r="B1754" s="138">
        <f>'Tax Sched 23'!B14</f>
        <v>21335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3377629</v>
      </c>
      <c r="C1759" s="2" t="s">
        <v>594</v>
      </c>
      <c r="D1759" s="2" t="str">
        <f t="shared" si="26"/>
        <v>Error?</v>
      </c>
    </row>
    <row r="1760" spans="1:5" x14ac:dyDescent="0.2">
      <c r="A1760" s="5">
        <v>1699</v>
      </c>
      <c r="B1760" s="138">
        <f>'Tax Sched 23'!D4</f>
        <v>2086199</v>
      </c>
      <c r="C1760" s="2" t="s">
        <v>594</v>
      </c>
      <c r="D1760" s="2" t="str">
        <f t="shared" si="26"/>
        <v>Error?</v>
      </c>
    </row>
    <row r="1761" spans="1:5" x14ac:dyDescent="0.2">
      <c r="A1761" s="5">
        <v>1700</v>
      </c>
      <c r="B1761" s="138">
        <f>'Tax Sched 23'!D5</f>
        <v>367810</v>
      </c>
      <c r="C1761" s="2" t="s">
        <v>594</v>
      </c>
      <c r="D1761" s="2" t="str">
        <f t="shared" si="26"/>
        <v>Error?</v>
      </c>
    </row>
    <row r="1762" spans="1:5" s="8" customFormat="1" x14ac:dyDescent="0.2">
      <c r="A1762" s="5">
        <v>1701</v>
      </c>
      <c r="B1762" s="138">
        <f>'Tax Sched 23'!D6</f>
        <v>363914</v>
      </c>
      <c r="C1762" s="2" t="s">
        <v>594</v>
      </c>
      <c r="D1762" s="2" t="str">
        <f t="shared" si="26"/>
        <v>Error?</v>
      </c>
      <c r="E1762" s="9"/>
    </row>
    <row r="1763" spans="1:5" x14ac:dyDescent="0.2">
      <c r="A1763" s="5">
        <v>1702</v>
      </c>
      <c r="B1763" s="138">
        <f>'Tax Sched 23'!D7</f>
        <v>104343</v>
      </c>
      <c r="C1763" s="2" t="s">
        <v>594</v>
      </c>
      <c r="D1763" s="2" t="str">
        <f t="shared" si="26"/>
        <v>Error?</v>
      </c>
    </row>
    <row r="1764" spans="1:5" x14ac:dyDescent="0.2">
      <c r="A1764" s="5">
        <v>1703</v>
      </c>
      <c r="B1764" s="138">
        <f>'Tax Sched 23'!D8</f>
        <v>53877</v>
      </c>
      <c r="C1764" s="2" t="s">
        <v>594</v>
      </c>
      <c r="D1764" s="2" t="str">
        <f t="shared" si="26"/>
        <v>Error?</v>
      </c>
    </row>
    <row r="1765" spans="1:5" x14ac:dyDescent="0.2">
      <c r="A1765" s="5">
        <v>1704</v>
      </c>
      <c r="B1765" s="138">
        <f>'Tax Sched 23'!D10</f>
        <v>26086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145960</v>
      </c>
      <c r="C1768" s="2" t="s">
        <v>594</v>
      </c>
      <c r="D1768" s="2" t="str">
        <f t="shared" si="26"/>
        <v>Error?</v>
      </c>
    </row>
    <row r="1769" spans="1:5" x14ac:dyDescent="0.2">
      <c r="A1769" s="5">
        <v>1708</v>
      </c>
      <c r="B1769" s="138">
        <f>'Tax Sched 23'!D12</f>
        <v>26086</v>
      </c>
      <c r="C1769" s="2" t="s">
        <v>594</v>
      </c>
      <c r="D1769" s="2" t="str">
        <f t="shared" si="26"/>
        <v>Error?</v>
      </c>
    </row>
    <row r="1770" spans="1:5" x14ac:dyDescent="0.2">
      <c r="A1770" s="5">
        <v>1709</v>
      </c>
      <c r="B1770" s="138">
        <f>'Tax Sched 23'!D14</f>
        <v>20869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3305916</v>
      </c>
      <c r="C1775" s="2" t="s">
        <v>594</v>
      </c>
      <c r="D1775" s="2" t="str">
        <f t="shared" si="26"/>
        <v>Error?</v>
      </c>
    </row>
    <row r="1776" spans="1:5" x14ac:dyDescent="0.2">
      <c r="A1776" s="5">
        <v>1715</v>
      </c>
      <c r="B1776" s="138">
        <f>'Tax Sched 23'!C4</f>
        <v>46252</v>
      </c>
      <c r="D1776" s="2" t="str">
        <f t="shared" si="26"/>
        <v>Error?</v>
      </c>
    </row>
    <row r="1777" spans="1:4" x14ac:dyDescent="0.2">
      <c r="A1777" s="5">
        <v>1716</v>
      </c>
      <c r="B1777" s="138">
        <f>'Tax Sched 23'!C5</f>
        <v>8212</v>
      </c>
      <c r="D1777" s="2" t="str">
        <f t="shared" si="26"/>
        <v>Error?</v>
      </c>
    </row>
    <row r="1778" spans="1:4" x14ac:dyDescent="0.2">
      <c r="A1778" s="5">
        <v>1717</v>
      </c>
      <c r="B1778" s="138">
        <f>'Tax Sched 23'!C6</f>
        <v>7621</v>
      </c>
      <c r="D1778" s="2" t="str">
        <f t="shared" si="26"/>
        <v>Error?</v>
      </c>
    </row>
    <row r="1779" spans="1:4" x14ac:dyDescent="0.2">
      <c r="A1779" s="5">
        <v>1718</v>
      </c>
      <c r="B1779" s="138">
        <f>'Tax Sched 23'!C7</f>
        <v>2330</v>
      </c>
      <c r="D1779" s="2" t="str">
        <f t="shared" si="26"/>
        <v>Error?</v>
      </c>
    </row>
    <row r="1780" spans="1:4" x14ac:dyDescent="0.2">
      <c r="A1780" s="5">
        <v>1719</v>
      </c>
      <c r="B1780" s="138">
        <f>'Tax Sched 23'!C8</f>
        <v>1101</v>
      </c>
      <c r="D1780" s="2" t="str">
        <f t="shared" si="26"/>
        <v>Error?</v>
      </c>
    </row>
    <row r="1781" spans="1:4" x14ac:dyDescent="0.2">
      <c r="A1781" s="5">
        <v>1720</v>
      </c>
      <c r="B1781" s="138">
        <f>'Tax Sched 23'!C10</f>
        <v>582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3044</v>
      </c>
      <c r="D1784" s="2" t="str">
        <f t="shared" si="26"/>
        <v>Error?</v>
      </c>
    </row>
    <row r="1785" spans="1:4" x14ac:dyDescent="0.2">
      <c r="A1785" s="5">
        <v>1724</v>
      </c>
      <c r="B1785" s="138">
        <f>'Tax Sched 23'!C12</f>
        <v>582</v>
      </c>
      <c r="D1785" s="2" t="str">
        <f t="shared" si="26"/>
        <v>Error?</v>
      </c>
    </row>
    <row r="1786" spans="1:4" x14ac:dyDescent="0.2">
      <c r="A1786" s="5">
        <v>1725</v>
      </c>
      <c r="B1786" s="138">
        <f>'Tax Sched 23'!C14</f>
        <v>466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71713</v>
      </c>
      <c r="C1791" s="2" t="s">
        <v>594</v>
      </c>
      <c r="D1791" s="2" t="str">
        <f t="shared" ref="D1791:D1854" si="27">IF(ISBLANK(B1791),"OK",IF(A1791-B1791=0,"OK","Error?"))</f>
        <v>Error?</v>
      </c>
    </row>
    <row r="1792" spans="1:4" x14ac:dyDescent="0.2">
      <c r="A1792" s="5">
        <v>1731</v>
      </c>
      <c r="B1792" s="138">
        <f>'Tax Sched 23'!F4</f>
        <v>2222532</v>
      </c>
      <c r="C1792" s="2" t="s">
        <v>594</v>
      </c>
      <c r="D1792" s="2" t="str">
        <f t="shared" si="27"/>
        <v>Error?</v>
      </c>
    </row>
    <row r="1793" spans="1:4" x14ac:dyDescent="0.2">
      <c r="A1793" s="5">
        <v>1732</v>
      </c>
      <c r="B1793" s="138">
        <f>'Tax Sched 23'!F5</f>
        <v>394425</v>
      </c>
      <c r="C1793" s="2" t="s">
        <v>594</v>
      </c>
      <c r="D1793" s="2" t="str">
        <f t="shared" si="27"/>
        <v>Error?</v>
      </c>
    </row>
    <row r="1794" spans="1:4" x14ac:dyDescent="0.2">
      <c r="A1794" s="5">
        <v>1733</v>
      </c>
      <c r="B1794" s="138">
        <f>'Tax Sched 23'!F6</f>
        <v>362674</v>
      </c>
      <c r="C1794" s="2" t="s">
        <v>594</v>
      </c>
      <c r="D1794" s="2" t="str">
        <f t="shared" si="27"/>
        <v>Error?</v>
      </c>
    </row>
    <row r="1795" spans="1:4" x14ac:dyDescent="0.2">
      <c r="A1795" s="5">
        <v>1734</v>
      </c>
      <c r="B1795" s="138">
        <f>'Tax Sched 23'!F7</f>
        <v>111893</v>
      </c>
      <c r="C1795" s="2" t="s">
        <v>594</v>
      </c>
      <c r="D1795" s="2" t="str">
        <f t="shared" si="27"/>
        <v>Error?</v>
      </c>
    </row>
    <row r="1796" spans="1:4" x14ac:dyDescent="0.2">
      <c r="A1796" s="5">
        <v>1735</v>
      </c>
      <c r="B1796" s="138">
        <f>'Tax Sched 23'!F8</f>
        <v>52891</v>
      </c>
      <c r="C1796" s="2" t="s">
        <v>594</v>
      </c>
      <c r="D1796" s="2" t="str">
        <f t="shared" si="27"/>
        <v>Error?</v>
      </c>
    </row>
    <row r="1797" spans="1:4" x14ac:dyDescent="0.2">
      <c r="A1797" s="5">
        <v>1736</v>
      </c>
      <c r="B1797" s="138">
        <f>'Tax Sched 23'!F10</f>
        <v>27974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146294</v>
      </c>
      <c r="C1800" s="2" t="s">
        <v>594</v>
      </c>
      <c r="D1800" s="2" t="str">
        <f t="shared" si="27"/>
        <v>Error?</v>
      </c>
    </row>
    <row r="1801" spans="1:4" x14ac:dyDescent="0.2">
      <c r="A1801" s="5">
        <v>1740</v>
      </c>
      <c r="B1801" s="138">
        <f>'Tax Sched 23'!F12</f>
        <v>27974</v>
      </c>
      <c r="C1801" s="2" t="s">
        <v>594</v>
      </c>
      <c r="D1801" s="2" t="str">
        <f t="shared" si="27"/>
        <v>Error?</v>
      </c>
    </row>
    <row r="1802" spans="1:4" x14ac:dyDescent="0.2">
      <c r="A1802" s="5">
        <v>1741</v>
      </c>
      <c r="B1802" s="138">
        <f>'Tax Sched 23'!F14</f>
        <v>22379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3479660</v>
      </c>
      <c r="C1807" s="2" t="s">
        <v>594</v>
      </c>
      <c r="D1807" s="2" t="str">
        <f t="shared" si="27"/>
        <v>Error?</v>
      </c>
    </row>
    <row r="1808" spans="1:4" x14ac:dyDescent="0.2">
      <c r="A1808" s="5">
        <v>1747</v>
      </c>
      <c r="B1808" s="138">
        <f>'Tax Sched 23'!E4</f>
        <v>2268784</v>
      </c>
      <c r="D1808" s="2" t="str">
        <f t="shared" si="27"/>
        <v>Error?</v>
      </c>
    </row>
    <row r="1809" spans="1:4" x14ac:dyDescent="0.2">
      <c r="A1809" s="5">
        <v>1748</v>
      </c>
      <c r="B1809" s="138">
        <f>'Tax Sched 23'!E5</f>
        <v>402637</v>
      </c>
      <c r="D1809" s="2" t="str">
        <f t="shared" si="27"/>
        <v>Error?</v>
      </c>
    </row>
    <row r="1810" spans="1:4" x14ac:dyDescent="0.2">
      <c r="A1810" s="5">
        <v>1749</v>
      </c>
      <c r="B1810" s="138">
        <f>'Tax Sched 23'!E6</f>
        <v>370295</v>
      </c>
      <c r="D1810" s="2" t="str">
        <f t="shared" si="27"/>
        <v>Error?</v>
      </c>
    </row>
    <row r="1811" spans="1:4" x14ac:dyDescent="0.2">
      <c r="A1811" s="5">
        <v>1750</v>
      </c>
      <c r="B1811" s="138">
        <f>'Tax Sched 23'!E7</f>
        <v>114223</v>
      </c>
      <c r="D1811" s="2" t="str">
        <f t="shared" si="27"/>
        <v>Error?</v>
      </c>
    </row>
    <row r="1812" spans="1:4" x14ac:dyDescent="0.2">
      <c r="A1812" s="5">
        <v>1751</v>
      </c>
      <c r="B1812" s="138">
        <f>'Tax Sched 23'!E8</f>
        <v>53992</v>
      </c>
      <c r="D1812" s="2" t="str">
        <f t="shared" si="27"/>
        <v>Error?</v>
      </c>
    </row>
    <row r="1813" spans="1:4" x14ac:dyDescent="0.2">
      <c r="A1813" s="5">
        <v>1752</v>
      </c>
      <c r="B1813" s="138">
        <f>'Tax Sched 23'!E10</f>
        <v>28556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149338</v>
      </c>
      <c r="D1816" s="2" t="str">
        <f t="shared" si="27"/>
        <v>Error?</v>
      </c>
    </row>
    <row r="1817" spans="1:4" x14ac:dyDescent="0.2">
      <c r="A1817" s="5">
        <v>1756</v>
      </c>
      <c r="B1817" s="138">
        <f>'Tax Sched 23'!E12</f>
        <v>28556</v>
      </c>
      <c r="D1817" s="2" t="str">
        <f t="shared" si="27"/>
        <v>Error?</v>
      </c>
    </row>
    <row r="1818" spans="1:4" x14ac:dyDescent="0.2">
      <c r="A1818" s="5">
        <v>1757</v>
      </c>
      <c r="B1818" s="138">
        <f>'Tax Sched 23'!E14</f>
        <v>22845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3551373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3845000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21335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21335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21335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160300</v>
      </c>
      <c r="D2008" s="2" t="str">
        <f t="shared" si="30"/>
        <v>Error?</v>
      </c>
    </row>
    <row r="2009" spans="1:4" x14ac:dyDescent="0.2">
      <c r="A2009" s="5">
        <v>1948</v>
      </c>
      <c r="B2009" s="138">
        <f>'Cap Outlay Deprec 26'!C8</f>
        <v>7098239</v>
      </c>
      <c r="D2009" s="2" t="str">
        <f t="shared" si="30"/>
        <v>Error?</v>
      </c>
    </row>
    <row r="2010" spans="1:4" x14ac:dyDescent="0.2">
      <c r="A2010" s="5">
        <v>1949</v>
      </c>
      <c r="B2010" s="138">
        <f>'Cap Outlay Deprec 26'!C10</f>
        <v>76673</v>
      </c>
      <c r="D2010" s="2" t="str">
        <f t="shared" si="30"/>
        <v>Error?</v>
      </c>
    </row>
    <row r="2011" spans="1:4" x14ac:dyDescent="0.2">
      <c r="A2011" s="5">
        <v>1950</v>
      </c>
      <c r="B2011" s="138">
        <f>'Cap Outlay Deprec 26'!C12</f>
        <v>458053</v>
      </c>
      <c r="D2011" s="2" t="str">
        <f t="shared" si="30"/>
        <v>Error?</v>
      </c>
    </row>
    <row r="2012" spans="1:4" x14ac:dyDescent="0.2">
      <c r="A2012" s="5">
        <v>1951</v>
      </c>
      <c r="B2012" s="138">
        <f>'Cap Outlay Deprec 26'!C13</f>
        <v>1076489</v>
      </c>
      <c r="D2012" s="2" t="str">
        <f t="shared" si="30"/>
        <v>Error?</v>
      </c>
    </row>
    <row r="2013" spans="1:4" x14ac:dyDescent="0.2">
      <c r="A2013" s="5">
        <v>1952</v>
      </c>
      <c r="B2013" s="138">
        <f>'Cap Outlay Deprec 26'!C16</f>
        <v>9119754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1122267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76226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1198493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250000</v>
      </c>
      <c r="C2025" s="2" t="s">
        <v>594</v>
      </c>
      <c r="D2025" s="2" t="str">
        <f t="shared" si="30"/>
        <v>Error?</v>
      </c>
    </row>
    <row r="2026" spans="1:4" x14ac:dyDescent="0.2">
      <c r="A2026" s="5">
        <v>1965</v>
      </c>
      <c r="B2026" s="138">
        <f>'Cap Outlay Deprec 26'!F5</f>
        <v>160300</v>
      </c>
      <c r="C2026" s="2" t="s">
        <v>594</v>
      </c>
      <c r="D2026" s="2" t="str">
        <f t="shared" si="30"/>
        <v>Error?</v>
      </c>
    </row>
    <row r="2027" spans="1:4" x14ac:dyDescent="0.2">
      <c r="A2027" s="5">
        <v>1966</v>
      </c>
      <c r="B2027" s="138">
        <f>'Cap Outlay Deprec 26'!F8</f>
        <v>8220506</v>
      </c>
      <c r="C2027" s="2" t="s">
        <v>594</v>
      </c>
      <c r="D2027" s="2" t="str">
        <f t="shared" si="30"/>
        <v>Error?</v>
      </c>
    </row>
    <row r="2028" spans="1:4" x14ac:dyDescent="0.2">
      <c r="A2028" s="5">
        <v>1967</v>
      </c>
      <c r="B2028" s="138">
        <f>'Cap Outlay Deprec 26'!F10</f>
        <v>76673</v>
      </c>
      <c r="C2028" s="2" t="s">
        <v>594</v>
      </c>
      <c r="D2028" s="2" t="str">
        <f t="shared" si="30"/>
        <v>Error?</v>
      </c>
    </row>
    <row r="2029" spans="1:4" x14ac:dyDescent="0.2">
      <c r="A2029" s="5">
        <v>1968</v>
      </c>
      <c r="B2029" s="138">
        <f>'Cap Outlay Deprec 26'!F12</f>
        <v>534279</v>
      </c>
      <c r="C2029" s="2" t="s">
        <v>594</v>
      </c>
      <c r="D2029" s="2" t="str">
        <f t="shared" si="30"/>
        <v>Error?</v>
      </c>
    </row>
    <row r="2030" spans="1:4" x14ac:dyDescent="0.2">
      <c r="A2030" s="5">
        <v>1969</v>
      </c>
      <c r="B2030" s="138">
        <f>'Cap Outlay Deprec 26'!F13</f>
        <v>1076489</v>
      </c>
      <c r="C2030" s="2" t="s">
        <v>594</v>
      </c>
      <c r="D2030" s="2" t="str">
        <f t="shared" si="30"/>
        <v>Error?</v>
      </c>
    </row>
    <row r="2031" spans="1:4" x14ac:dyDescent="0.2">
      <c r="A2031" s="5">
        <v>1970</v>
      </c>
      <c r="B2031" s="138">
        <f>'Cap Outlay Deprec 26'!F16</f>
        <v>10068247</v>
      </c>
      <c r="C2031" s="2" t="s">
        <v>594</v>
      </c>
      <c r="D2031" s="2" t="str">
        <f t="shared" si="30"/>
        <v>Error?</v>
      </c>
    </row>
    <row r="2032" spans="1:4" x14ac:dyDescent="0.2">
      <c r="A2032" s="10">
        <v>1971</v>
      </c>
      <c r="D2032" s="2" t="str">
        <f t="shared" si="30"/>
        <v>OK</v>
      </c>
    </row>
    <row r="2033" spans="1:4" x14ac:dyDescent="0.2">
      <c r="A2033" s="5">
        <v>1972</v>
      </c>
      <c r="B2033" s="138">
        <f>'Cap Outlay Deprec 26'!H8</f>
        <v>3444827</v>
      </c>
      <c r="D2033" s="2" t="str">
        <f t="shared" si="30"/>
        <v>Error?</v>
      </c>
    </row>
    <row r="2034" spans="1:4" x14ac:dyDescent="0.2">
      <c r="A2034" s="5">
        <v>1973</v>
      </c>
      <c r="B2034" s="138">
        <f>'Cap Outlay Deprec 26'!H10</f>
        <v>64881</v>
      </c>
      <c r="D2034" s="2" t="str">
        <f t="shared" si="30"/>
        <v>Error?</v>
      </c>
    </row>
    <row r="2035" spans="1:4" x14ac:dyDescent="0.2">
      <c r="A2035" s="5">
        <v>1974</v>
      </c>
      <c r="B2035" s="138">
        <f>'Cap Outlay Deprec 26'!H12</f>
        <v>258235</v>
      </c>
      <c r="D2035" s="2" t="str">
        <f t="shared" si="30"/>
        <v>Error?</v>
      </c>
    </row>
    <row r="2036" spans="1:4" x14ac:dyDescent="0.2">
      <c r="A2036" s="5">
        <v>1975</v>
      </c>
      <c r="B2036" s="138">
        <f>'Cap Outlay Deprec 26'!H13</f>
        <v>985006</v>
      </c>
      <c r="D2036" s="2" t="str">
        <f t="shared" si="30"/>
        <v>Error?</v>
      </c>
    </row>
    <row r="2037" spans="1:4" x14ac:dyDescent="0.2">
      <c r="A2037" s="5">
        <v>1976</v>
      </c>
      <c r="B2037" s="138">
        <f>'Cap Outlay Deprec 26'!H16</f>
        <v>4752949</v>
      </c>
      <c r="C2037" s="2" t="s">
        <v>594</v>
      </c>
      <c r="D2037" s="2" t="str">
        <f t="shared" si="30"/>
        <v>Error?</v>
      </c>
    </row>
    <row r="2038" spans="1:4" x14ac:dyDescent="0.2">
      <c r="A2038" s="10">
        <v>1977</v>
      </c>
      <c r="D2038" s="2" t="str">
        <f t="shared" si="30"/>
        <v>OK</v>
      </c>
    </row>
    <row r="2039" spans="1:4" x14ac:dyDescent="0.2">
      <c r="A2039" s="5">
        <v>1978</v>
      </c>
      <c r="B2039" s="138">
        <f>'Cap Outlay Deprec 26'!I8</f>
        <v>199030</v>
      </c>
      <c r="D2039" s="2" t="str">
        <f t="shared" si="30"/>
        <v>Error?</v>
      </c>
    </row>
    <row r="2040" spans="1:4" x14ac:dyDescent="0.2">
      <c r="A2040" s="5">
        <v>1979</v>
      </c>
      <c r="B2040" s="138">
        <f>'Cap Outlay Deprec 26'!I10</f>
        <v>3664</v>
      </c>
      <c r="D2040" s="2" t="str">
        <f t="shared" si="30"/>
        <v>Error?</v>
      </c>
    </row>
    <row r="2041" spans="1:4" x14ac:dyDescent="0.2">
      <c r="A2041" s="5">
        <v>1980</v>
      </c>
      <c r="B2041" s="138">
        <f>'Cap Outlay Deprec 26'!I12</f>
        <v>37538</v>
      </c>
      <c r="D2041" s="2" t="str">
        <f t="shared" si="30"/>
        <v>Error?</v>
      </c>
    </row>
    <row r="2042" spans="1:4" x14ac:dyDescent="0.2">
      <c r="A2042" s="5">
        <v>1981</v>
      </c>
      <c r="B2042" s="138">
        <f>'Cap Outlay Deprec 26'!I13</f>
        <v>50265</v>
      </c>
      <c r="D2042" s="2" t="str">
        <f t="shared" si="30"/>
        <v>Error?</v>
      </c>
    </row>
    <row r="2043" spans="1:4" x14ac:dyDescent="0.2">
      <c r="A2043" s="5">
        <v>1982</v>
      </c>
      <c r="B2043" s="138">
        <f>'Cap Outlay Deprec 26'!I16</f>
        <v>290497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3643857</v>
      </c>
      <c r="C2051" s="2" t="s">
        <v>594</v>
      </c>
      <c r="D2051" s="2" t="str">
        <f t="shared" si="31"/>
        <v>Error?</v>
      </c>
    </row>
    <row r="2052" spans="1:4" x14ac:dyDescent="0.2">
      <c r="A2052" s="5">
        <v>1991</v>
      </c>
      <c r="B2052" s="138">
        <f>'Cap Outlay Deprec 26'!K10</f>
        <v>68545</v>
      </c>
      <c r="C2052" s="2" t="s">
        <v>594</v>
      </c>
      <c r="D2052" s="2" t="str">
        <f t="shared" si="31"/>
        <v>Error?</v>
      </c>
    </row>
    <row r="2053" spans="1:4" x14ac:dyDescent="0.2">
      <c r="A2053" s="5">
        <v>1992</v>
      </c>
      <c r="B2053" s="138">
        <f>'Cap Outlay Deprec 26'!K12</f>
        <v>295773</v>
      </c>
      <c r="C2053" s="2" t="s">
        <v>594</v>
      </c>
      <c r="D2053" s="2" t="str">
        <f t="shared" si="31"/>
        <v>Error?</v>
      </c>
    </row>
    <row r="2054" spans="1:4" x14ac:dyDescent="0.2">
      <c r="A2054" s="5">
        <v>1993</v>
      </c>
      <c r="B2054" s="138">
        <f>'Cap Outlay Deprec 26'!K13</f>
        <v>1035271</v>
      </c>
      <c r="C2054" s="2" t="s">
        <v>594</v>
      </c>
      <c r="D2054" s="2" t="str">
        <f t="shared" si="31"/>
        <v>Error?</v>
      </c>
    </row>
    <row r="2055" spans="1:4" x14ac:dyDescent="0.2">
      <c r="A2055" s="5">
        <v>1994</v>
      </c>
      <c r="B2055" s="138">
        <f>'Cap Outlay Deprec 26'!K16</f>
        <v>5043446</v>
      </c>
      <c r="C2055" s="2" t="s">
        <v>594</v>
      </c>
      <c r="D2055" s="2" t="str">
        <f t="shared" si="31"/>
        <v>Error?</v>
      </c>
    </row>
    <row r="2056" spans="1:4" x14ac:dyDescent="0.2">
      <c r="A2056" s="5">
        <v>1995</v>
      </c>
      <c r="B2056" s="138">
        <f>'Cap Outlay Deprec 26'!L5</f>
        <v>160300</v>
      </c>
      <c r="C2056" s="2" t="s">
        <v>594</v>
      </c>
      <c r="D2056" s="2" t="str">
        <f t="shared" si="31"/>
        <v>Error?</v>
      </c>
    </row>
    <row r="2057" spans="1:4" x14ac:dyDescent="0.2">
      <c r="A2057" s="5">
        <v>1996</v>
      </c>
      <c r="B2057" s="138">
        <f>'Cap Outlay Deprec 26'!L8</f>
        <v>4576649</v>
      </c>
      <c r="C2057" s="2" t="s">
        <v>594</v>
      </c>
      <c r="D2057" s="2" t="str">
        <f t="shared" si="31"/>
        <v>Error?</v>
      </c>
    </row>
    <row r="2058" spans="1:4" x14ac:dyDescent="0.2">
      <c r="A2058" s="5">
        <v>1997</v>
      </c>
      <c r="B2058" s="138">
        <f>'Cap Outlay Deprec 26'!L10</f>
        <v>8128</v>
      </c>
      <c r="C2058" s="2" t="s">
        <v>594</v>
      </c>
      <c r="D2058" s="2" t="str">
        <f t="shared" si="31"/>
        <v>Error?</v>
      </c>
    </row>
    <row r="2059" spans="1:4" x14ac:dyDescent="0.2">
      <c r="A2059" s="5">
        <v>1998</v>
      </c>
      <c r="B2059" s="138">
        <f>'Cap Outlay Deprec 26'!L12</f>
        <v>238506</v>
      </c>
      <c r="C2059" s="2" t="s">
        <v>594</v>
      </c>
      <c r="D2059" s="2" t="str">
        <f t="shared" si="31"/>
        <v>Error?</v>
      </c>
    </row>
    <row r="2060" spans="1:4" x14ac:dyDescent="0.2">
      <c r="A2060" s="5">
        <v>1999</v>
      </c>
      <c r="B2060" s="138">
        <f>'Cap Outlay Deprec 26'!L13</f>
        <v>41218</v>
      </c>
      <c r="C2060" s="2" t="s">
        <v>594</v>
      </c>
      <c r="D2060" s="2" t="str">
        <f t="shared" si="31"/>
        <v>Error?</v>
      </c>
    </row>
    <row r="2061" spans="1:4" x14ac:dyDescent="0.2">
      <c r="A2061" s="5">
        <v>2000</v>
      </c>
      <c r="B2061" s="138">
        <f>'Cap Outlay Deprec 26'!L16</f>
        <v>5024801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53012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107675</v>
      </c>
      <c r="C2088" s="2" t="s">
        <v>594</v>
      </c>
      <c r="D2088" s="2" t="str">
        <f t="shared" si="31"/>
        <v>Error?</v>
      </c>
    </row>
    <row r="2089" spans="1:4" x14ac:dyDescent="0.2">
      <c r="A2089" s="5">
        <v>2028</v>
      </c>
      <c r="B2089" s="138">
        <f>'Expenditures 15-22'!K92</f>
        <v>88074</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123000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268136</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63547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2513574</v>
      </c>
      <c r="C2551" s="2" t="s">
        <v>594</v>
      </c>
      <c r="D2551" s="2" t="str">
        <f t="shared" si="38"/>
        <v>Error?</v>
      </c>
    </row>
    <row r="2552" spans="1:4" x14ac:dyDescent="0.2">
      <c r="A2552" s="10">
        <v>2491</v>
      </c>
      <c r="D2552" s="2" t="str">
        <f t="shared" si="38"/>
        <v>OK</v>
      </c>
    </row>
    <row r="2553" spans="1:4" x14ac:dyDescent="0.2">
      <c r="A2553" s="5">
        <v>2492</v>
      </c>
      <c r="B2553" s="138">
        <f>'Acct Summary 7-8'!C6</f>
        <v>1502239</v>
      </c>
      <c r="C2553" s="2" t="s">
        <v>594</v>
      </c>
      <c r="D2553" s="2" t="str">
        <f t="shared" si="38"/>
        <v>Error?</v>
      </c>
    </row>
    <row r="2554" spans="1:4" x14ac:dyDescent="0.2">
      <c r="A2554" s="5">
        <v>2493</v>
      </c>
      <c r="B2554" s="138">
        <f>'Acct Summary 7-8'!C7</f>
        <v>435397</v>
      </c>
      <c r="C2554" s="2" t="s">
        <v>594</v>
      </c>
      <c r="D2554" s="2" t="str">
        <f t="shared" si="38"/>
        <v>Error?</v>
      </c>
    </row>
    <row r="2555" spans="1:4" x14ac:dyDescent="0.2">
      <c r="A2555" s="5">
        <v>2494</v>
      </c>
      <c r="B2555" s="138">
        <f>'Acct Summary 7-8'!C8</f>
        <v>4451210</v>
      </c>
      <c r="C2555" s="2" t="s">
        <v>594</v>
      </c>
      <c r="D2555" s="2" t="str">
        <f t="shared" si="38"/>
        <v>Error?</v>
      </c>
    </row>
    <row r="2556" spans="1:4" x14ac:dyDescent="0.2">
      <c r="A2556" s="5">
        <v>2495</v>
      </c>
      <c r="B2556" s="138">
        <f>'Acct Summary 7-8'!C12</f>
        <v>2513897</v>
      </c>
      <c r="C2556" s="2" t="s">
        <v>594</v>
      </c>
      <c r="D2556" s="2" t="str">
        <f t="shared" si="38"/>
        <v>Error?</v>
      </c>
    </row>
    <row r="2557" spans="1:4" x14ac:dyDescent="0.2">
      <c r="A2557" s="5">
        <v>2496</v>
      </c>
      <c r="B2557" s="138">
        <f>'Acct Summary 7-8'!C13</f>
        <v>1118803</v>
      </c>
      <c r="C2557" s="2" t="s">
        <v>594</v>
      </c>
      <c r="D2557" s="2" t="str">
        <f t="shared" si="38"/>
        <v>Error?</v>
      </c>
    </row>
    <row r="2558" spans="1:4" x14ac:dyDescent="0.2">
      <c r="A2558" s="5">
        <v>2497</v>
      </c>
      <c r="B2558" s="138">
        <f>'Acct Summary 7-8'!C14</f>
        <v>7582</v>
      </c>
      <c r="C2558" s="2" t="s">
        <v>594</v>
      </c>
      <c r="D2558" s="2" t="str">
        <f t="shared" si="38"/>
        <v>Error?</v>
      </c>
    </row>
    <row r="2559" spans="1:4" x14ac:dyDescent="0.2">
      <c r="A2559" s="5">
        <v>2498</v>
      </c>
      <c r="B2559" s="138">
        <f>'Acct Summary 7-8'!C15</f>
        <v>195749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3836031</v>
      </c>
      <c r="C2561" s="2" t="s">
        <v>594</v>
      </c>
      <c r="D2561" s="2" t="str">
        <f t="shared" si="39"/>
        <v>Error?</v>
      </c>
    </row>
    <row r="2562" spans="1:4" x14ac:dyDescent="0.2">
      <c r="A2562" s="5">
        <v>2501</v>
      </c>
      <c r="B2562" s="138">
        <f>'Acct Summary 7-8'!C20</f>
        <v>615179</v>
      </c>
      <c r="C2562" s="2" t="s">
        <v>594</v>
      </c>
      <c r="D2562" s="2" t="str">
        <f t="shared" si="39"/>
        <v>Error?</v>
      </c>
    </row>
    <row r="2563" spans="1:4" x14ac:dyDescent="0.2">
      <c r="A2563" s="5">
        <v>2502</v>
      </c>
      <c r="B2563" s="138">
        <f>'Acct Summary 7-8'!C80</f>
        <v>-40286</v>
      </c>
      <c r="D2563" s="2" t="str">
        <f t="shared" si="39"/>
        <v>Error?</v>
      </c>
    </row>
    <row r="2564" spans="1:4" x14ac:dyDescent="0.2">
      <c r="A2564" s="5">
        <v>2503</v>
      </c>
      <c r="B2564" s="138">
        <f>'Acct Summary 7-8'!D4</f>
        <v>398153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398153</v>
      </c>
      <c r="C2568" s="2" t="s">
        <v>594</v>
      </c>
      <c r="D2568" s="2" t="str">
        <f t="shared" si="39"/>
        <v>Error?</v>
      </c>
    </row>
    <row r="2569" spans="1:4" x14ac:dyDescent="0.2">
      <c r="A2569" s="5">
        <v>2508</v>
      </c>
      <c r="B2569" s="138">
        <f>'Acct Summary 7-8'!D13</f>
        <v>575570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575570</v>
      </c>
      <c r="C2573" s="2" t="s">
        <v>594</v>
      </c>
      <c r="D2573" s="2" t="str">
        <f t="shared" si="39"/>
        <v>Error?</v>
      </c>
    </row>
    <row r="2574" spans="1:4" x14ac:dyDescent="0.2">
      <c r="A2574" s="5">
        <v>2513</v>
      </c>
      <c r="B2574" s="138">
        <f>'Acct Summary 7-8'!D20</f>
        <v>-177417</v>
      </c>
      <c r="C2574" s="2" t="s">
        <v>594</v>
      </c>
      <c r="D2574" s="2" t="str">
        <f t="shared" si="39"/>
        <v>Error?</v>
      </c>
    </row>
    <row r="2575" spans="1:4" x14ac:dyDescent="0.2">
      <c r="A2575" s="5">
        <v>2514</v>
      </c>
      <c r="B2575" s="138">
        <f>'Acct Summary 7-8'!D80</f>
        <v>-4366</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110244</v>
      </c>
      <c r="C2591" s="2" t="s">
        <v>594</v>
      </c>
      <c r="D2591" s="2" t="str">
        <f t="shared" si="39"/>
        <v>Error?</v>
      </c>
    </row>
    <row r="2592" spans="1:4" x14ac:dyDescent="0.2">
      <c r="A2592" s="10">
        <v>2531</v>
      </c>
      <c r="D2592" s="2" t="str">
        <f t="shared" si="39"/>
        <v>OK</v>
      </c>
    </row>
    <row r="2593" spans="1:4" x14ac:dyDescent="0.2">
      <c r="A2593" s="5">
        <v>2532</v>
      </c>
      <c r="B2593" s="138">
        <f>'Acct Summary 7-8'!F6</f>
        <v>133139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243383</v>
      </c>
      <c r="C2595" s="2" t="s">
        <v>594</v>
      </c>
      <c r="D2595" s="2" t="str">
        <f t="shared" si="39"/>
        <v>Error?</v>
      </c>
    </row>
    <row r="2596" spans="1:4" x14ac:dyDescent="0.2">
      <c r="A2596" s="5">
        <v>2535</v>
      </c>
      <c r="B2596" s="138">
        <f>'Acct Summary 7-8'!F13</f>
        <v>187100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187100</v>
      </c>
      <c r="C2600" s="2" t="s">
        <v>594</v>
      </c>
      <c r="D2600" s="2" t="str">
        <f t="shared" si="39"/>
        <v>Error?</v>
      </c>
    </row>
    <row r="2601" spans="1:4" x14ac:dyDescent="0.2">
      <c r="A2601" s="5">
        <v>2540</v>
      </c>
      <c r="B2601" s="138">
        <f>'Acct Summary 7-8'!F20</f>
        <v>56283</v>
      </c>
      <c r="C2601" s="2" t="s">
        <v>594</v>
      </c>
      <c r="D2601" s="2" t="str">
        <f t="shared" si="39"/>
        <v>Error?</v>
      </c>
    </row>
    <row r="2602" spans="1:4" x14ac:dyDescent="0.2">
      <c r="A2602" s="5">
        <v>2541</v>
      </c>
      <c r="B2602" s="138">
        <f>'Acct Summary 7-8'!F80</f>
        <v>-3224</v>
      </c>
      <c r="D2602" s="2" t="str">
        <f t="shared" si="39"/>
        <v>Error?</v>
      </c>
    </row>
    <row r="2603" spans="1:4" x14ac:dyDescent="0.2">
      <c r="A2603" s="5">
        <v>2542</v>
      </c>
      <c r="B2603" s="138">
        <f>'Acct Summary 7-8'!G4</f>
        <v>141883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141883</v>
      </c>
      <c r="C2606" s="2" t="s">
        <v>594</v>
      </c>
      <c r="D2606" s="2" t="str">
        <f t="shared" si="39"/>
        <v>Error?</v>
      </c>
    </row>
    <row r="2607" spans="1:4" x14ac:dyDescent="0.2">
      <c r="A2607" s="5">
        <v>2546</v>
      </c>
      <c r="B2607" s="138">
        <f>'Acct Summary 7-8'!G12</f>
        <v>48209</v>
      </c>
      <c r="C2607" s="2" t="s">
        <v>594</v>
      </c>
      <c r="D2607" s="2" t="str">
        <f t="shared" si="39"/>
        <v>Error?</v>
      </c>
    </row>
    <row r="2608" spans="1:4" x14ac:dyDescent="0.2">
      <c r="A2608" s="5">
        <v>2547</v>
      </c>
      <c r="B2608" s="138">
        <f>'Acct Summary 7-8'!G13</f>
        <v>55896</v>
      </c>
      <c r="C2608" s="2" t="s">
        <v>594</v>
      </c>
      <c r="D2608" s="2" t="str">
        <f t="shared" si="39"/>
        <v>Error?</v>
      </c>
    </row>
    <row r="2609" spans="1:4" x14ac:dyDescent="0.2">
      <c r="A2609" s="5">
        <v>2548</v>
      </c>
      <c r="B2609" s="138">
        <f>'Acct Summary 7-8'!G14</f>
        <v>698</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104803</v>
      </c>
      <c r="C2612" s="2" t="s">
        <v>594</v>
      </c>
      <c r="D2612" s="2" t="str">
        <f t="shared" si="39"/>
        <v>Error?</v>
      </c>
    </row>
    <row r="2613" spans="1:4" x14ac:dyDescent="0.2">
      <c r="A2613" s="5">
        <v>2552</v>
      </c>
      <c r="B2613" s="138">
        <f>'Acct Summary 7-8'!G20</f>
        <v>37080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372377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372377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389602</v>
      </c>
      <c r="C2634" s="2" t="s">
        <v>594</v>
      </c>
      <c r="D2634" s="2" t="str">
        <f t="shared" si="40"/>
        <v>Error?</v>
      </c>
    </row>
    <row r="2635" spans="1:4" x14ac:dyDescent="0.2">
      <c r="A2635" s="5">
        <v>2574</v>
      </c>
      <c r="B2635" s="138">
        <f>'Acct Summary 7-8'!E17</f>
        <v>389602</v>
      </c>
      <c r="C2635" s="2" t="s">
        <v>594</v>
      </c>
      <c r="D2635" s="2" t="str">
        <f t="shared" si="40"/>
        <v>Error?</v>
      </c>
    </row>
    <row r="2636" spans="1:4" x14ac:dyDescent="0.2">
      <c r="A2636" s="5">
        <v>2575</v>
      </c>
      <c r="B2636" s="138">
        <f>'Acct Summary 7-8'!E20</f>
        <v>-17225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54663</v>
      </c>
      <c r="C2789" s="2" t="s">
        <v>594</v>
      </c>
      <c r="D2789" s="2" t="str">
        <f t="shared" si="42"/>
        <v>Error?</v>
      </c>
    </row>
    <row r="2790" spans="1:4" x14ac:dyDescent="0.2">
      <c r="A2790" s="5">
        <v>2729</v>
      </c>
      <c r="B2790" s="138">
        <f>'Expenditures 15-22'!E102</f>
        <v>54663</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69970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70654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50805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36743</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33911</v>
      </c>
      <c r="D2912" s="2" t="str">
        <f t="shared" si="44"/>
        <v>Error?</v>
      </c>
    </row>
    <row r="2913" spans="1:4" x14ac:dyDescent="0.2">
      <c r="A2913" s="5">
        <v>2852</v>
      </c>
      <c r="B2913" s="138">
        <f>'Assets-Liab 5-6'!I41</f>
        <v>70654</v>
      </c>
      <c r="C2913" s="2" t="s">
        <v>594</v>
      </c>
      <c r="D2913" s="2" t="str">
        <f t="shared" si="44"/>
        <v>Error?</v>
      </c>
    </row>
    <row r="2914" spans="1:4" x14ac:dyDescent="0.2">
      <c r="A2914" s="5">
        <v>2853</v>
      </c>
      <c r="B2914" s="138">
        <f>'Assets-Liab 5-6'!L33</f>
        <v>50805</v>
      </c>
      <c r="D2914" s="2" t="str">
        <f t="shared" si="44"/>
        <v>Error?</v>
      </c>
    </row>
    <row r="2915" spans="1:4" x14ac:dyDescent="0.2">
      <c r="A2915" s="10">
        <v>2854</v>
      </c>
      <c r="D2915" s="2" t="str">
        <f t="shared" si="44"/>
        <v>OK</v>
      </c>
    </row>
    <row r="2916" spans="1:4" x14ac:dyDescent="0.2">
      <c r="A2916" s="5">
        <v>2855</v>
      </c>
      <c r="B2916" s="138">
        <f>'Assets-Liab 5-6'!L34</f>
        <v>50805</v>
      </c>
      <c r="C2916" s="2" t="s">
        <v>594</v>
      </c>
      <c r="D2916" s="2" t="str">
        <f t="shared" si="44"/>
        <v>Error?</v>
      </c>
    </row>
    <row r="2917" spans="1:4" x14ac:dyDescent="0.2">
      <c r="A2917" s="5">
        <v>2856</v>
      </c>
      <c r="B2917" s="138">
        <f>'Assets-Liab 5-6'!L41</f>
        <v>50805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28770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25893</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53012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81782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25893</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28304</v>
      </c>
      <c r="D3055" s="2" t="str">
        <f t="shared" si="46"/>
        <v>Error?</v>
      </c>
    </row>
    <row r="3056" spans="1:4" x14ac:dyDescent="0.2">
      <c r="A3056" s="5">
        <v>2995</v>
      </c>
      <c r="B3056" s="138">
        <f>'Expenditures 15-22'!D10</f>
        <v>8442</v>
      </c>
      <c r="D3056" s="2" t="str">
        <f t="shared" si="46"/>
        <v>Error?</v>
      </c>
    </row>
    <row r="3057" spans="1:4" x14ac:dyDescent="0.2">
      <c r="A3057" s="5">
        <v>2996</v>
      </c>
      <c r="B3057" s="138">
        <f>'Expenditures 15-22'!E10</f>
        <v>12106</v>
      </c>
      <c r="D3057" s="2" t="str">
        <f t="shared" si="46"/>
        <v>Error?</v>
      </c>
    </row>
    <row r="3058" spans="1:4" x14ac:dyDescent="0.2">
      <c r="A3058" s="5">
        <v>2997</v>
      </c>
      <c r="B3058" s="138">
        <f>'Expenditures 15-22'!F10</f>
        <v>43707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403</v>
      </c>
      <c r="D3060" s="2" t="str">
        <f t="shared" si="46"/>
        <v>Error?</v>
      </c>
    </row>
    <row r="3061" spans="1:4" x14ac:dyDescent="0.2">
      <c r="A3061" s="10">
        <v>3000</v>
      </c>
      <c r="D3061" s="2" t="str">
        <f t="shared" si="46"/>
        <v>OK</v>
      </c>
    </row>
    <row r="3062" spans="1:4" x14ac:dyDescent="0.2">
      <c r="A3062" s="5">
        <v>3001</v>
      </c>
      <c r="B3062" s="138">
        <f>'Expenditures 15-22'!K10</f>
        <v>92962</v>
      </c>
      <c r="C3062" s="2" t="s">
        <v>594</v>
      </c>
      <c r="D3062" s="2" t="str">
        <f t="shared" si="46"/>
        <v>Error?</v>
      </c>
    </row>
    <row r="3063" spans="1:4" x14ac:dyDescent="0.2">
      <c r="A3063" s="10">
        <v>3002</v>
      </c>
      <c r="D3063" s="2" t="str">
        <f t="shared" si="46"/>
        <v>OK</v>
      </c>
    </row>
    <row r="3064" spans="1:4" x14ac:dyDescent="0.2">
      <c r="A3064" s="5">
        <v>3003</v>
      </c>
      <c r="B3064" s="138">
        <f>'Expenditures 15-22'!D219</f>
        <v>2913</v>
      </c>
      <c r="D3064" s="2" t="str">
        <f t="shared" si="46"/>
        <v>Error?</v>
      </c>
    </row>
    <row r="3065" spans="1:4" x14ac:dyDescent="0.2">
      <c r="A3065" s="5">
        <v>3004</v>
      </c>
      <c r="B3065" s="138">
        <f>'Expenditures 15-22'!K219</f>
        <v>2913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27870</v>
      </c>
      <c r="C3225" s="2" t="s">
        <v>594</v>
      </c>
      <c r="D3225" s="2" t="str">
        <f t="shared" si="49"/>
        <v>Error?</v>
      </c>
    </row>
    <row r="3226" spans="1:4" x14ac:dyDescent="0.2">
      <c r="A3226" s="5">
        <v>3165</v>
      </c>
      <c r="B3226" s="138">
        <f>'Acct Summary 7-8'!I8</f>
        <v>27870</v>
      </c>
      <c r="C3226" s="2" t="s">
        <v>594</v>
      </c>
      <c r="D3226" s="2" t="str">
        <f t="shared" si="49"/>
        <v>Error?</v>
      </c>
    </row>
    <row r="3227" spans="1:4" x14ac:dyDescent="0.2">
      <c r="A3227" s="5">
        <v>3166</v>
      </c>
      <c r="B3227" s="138">
        <f>'Acct Summary 7-8'!I20</f>
        <v>27870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615179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123000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123000</v>
      </c>
      <c r="C3238" s="2" t="s">
        <v>594</v>
      </c>
      <c r="D3238" s="2" t="str">
        <f t="shared" si="49"/>
        <v>Error?</v>
      </c>
    </row>
    <row r="3239" spans="1:4" x14ac:dyDescent="0.2">
      <c r="A3239" s="5">
        <v>3178</v>
      </c>
      <c r="B3239" s="138">
        <f>'Acct Summary 7-8'!D78</f>
        <v>-54417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56283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37080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-17225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123000</v>
      </c>
      <c r="C3318" s="2" t="s">
        <v>594</v>
      </c>
      <c r="D3318" s="2" t="str">
        <f t="shared" si="50"/>
        <v>Error?</v>
      </c>
    </row>
    <row r="3319" spans="1:4" x14ac:dyDescent="0.2">
      <c r="A3319" s="5">
        <v>3258</v>
      </c>
      <c r="B3319" s="138">
        <f>'Acct Summary 7-8'!I77</f>
        <v>-123000</v>
      </c>
      <c r="C3319" s="2" t="s">
        <v>594</v>
      </c>
      <c r="D3319" s="2" t="str">
        <f t="shared" si="50"/>
        <v>Error?</v>
      </c>
    </row>
    <row r="3320" spans="1:4" x14ac:dyDescent="0.2">
      <c r="A3320" s="5">
        <v>3259</v>
      </c>
      <c r="B3320" s="138">
        <f>'Acct Summary 7-8'!I78</f>
        <v>-95130</v>
      </c>
      <c r="C3320" s="2" t="s">
        <v>594</v>
      </c>
      <c r="D3320" s="2" t="str">
        <f t="shared" si="50"/>
        <v>Error?</v>
      </c>
    </row>
    <row r="3321" spans="1:4" x14ac:dyDescent="0.2">
      <c r="A3321" s="5">
        <v>3260</v>
      </c>
      <c r="B3321" s="138">
        <f>'Acct Summary 7-8'!I79</f>
        <v>129041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33911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305682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89987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12491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2802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285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411247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19468</v>
      </c>
      <c r="D3387" s="2" t="str">
        <f t="shared" si="51"/>
        <v>Error?</v>
      </c>
    </row>
    <row r="3388" spans="1:4" x14ac:dyDescent="0.2">
      <c r="A3388" s="5">
        <v>3327</v>
      </c>
      <c r="B3388" s="138">
        <f>'Expenditures 15-22'!D217</f>
        <v>19958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19468</v>
      </c>
      <c r="C3390" s="2" t="s">
        <v>594</v>
      </c>
      <c r="D3390" s="2" t="str">
        <f t="shared" si="51"/>
        <v>Error?</v>
      </c>
    </row>
    <row r="3391" spans="1:4" x14ac:dyDescent="0.2">
      <c r="A3391" s="5">
        <v>3330</v>
      </c>
      <c r="B3391" s="138">
        <f>'Expenditures 15-22'!K217</f>
        <v>19958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1659772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49096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41306</v>
      </c>
      <c r="D3417" s="2" t="str">
        <f t="shared" si="52"/>
        <v>Error?</v>
      </c>
    </row>
    <row r="3418" spans="1:4" x14ac:dyDescent="0.2">
      <c r="A3418" s="10">
        <v>3357</v>
      </c>
      <c r="D3418" s="2" t="str">
        <f t="shared" si="52"/>
        <v>OK</v>
      </c>
    </row>
    <row r="3419" spans="1:4" x14ac:dyDescent="0.2">
      <c r="A3419" s="5">
        <v>3358</v>
      </c>
      <c r="B3419" s="138">
        <f>'Assets-Liab 5-6'!F4</f>
        <v>185494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121664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684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50805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84904</v>
      </c>
      <c r="C3446" s="2" t="s">
        <v>594</v>
      </c>
      <c r="D3446" s="2" t="str">
        <f t="shared" si="52"/>
        <v>Error?</v>
      </c>
    </row>
    <row r="3447" spans="1:4" x14ac:dyDescent="0.2">
      <c r="A3447" s="5">
        <v>3386</v>
      </c>
      <c r="B3447" s="138">
        <f>'Tax Sched 23'!D16</f>
        <v>83264</v>
      </c>
      <c r="C3447" s="2" t="s">
        <v>594</v>
      </c>
      <c r="D3447" s="2" t="str">
        <f t="shared" si="52"/>
        <v>Error?</v>
      </c>
    </row>
    <row r="3448" spans="1:4" x14ac:dyDescent="0.2">
      <c r="A3448" s="5">
        <v>3387</v>
      </c>
      <c r="B3448" s="138">
        <f>'Tax Sched 23'!C16</f>
        <v>1640</v>
      </c>
      <c r="D3448" s="2" t="str">
        <f t="shared" si="52"/>
        <v>Error?</v>
      </c>
    </row>
    <row r="3449" spans="1:4" x14ac:dyDescent="0.2">
      <c r="A3449" s="5">
        <v>3388</v>
      </c>
      <c r="B3449" s="138">
        <f>'Tax Sched 23'!F16</f>
        <v>78777</v>
      </c>
      <c r="C3449" s="2" t="s">
        <v>594</v>
      </c>
      <c r="D3449" s="2" t="str">
        <f t="shared" si="52"/>
        <v>Error?</v>
      </c>
    </row>
    <row r="3450" spans="1:4" x14ac:dyDescent="0.2">
      <c r="A3450" s="5">
        <v>3389</v>
      </c>
      <c r="B3450" s="138">
        <f>'Tax Sched 23'!E16</f>
        <v>80417</v>
      </c>
      <c r="D3450" s="2" t="str">
        <f t="shared" si="52"/>
        <v>Error?</v>
      </c>
    </row>
    <row r="3451" spans="1:4" x14ac:dyDescent="0.2">
      <c r="A3451" s="5">
        <v>3390</v>
      </c>
      <c r="B3451" s="138">
        <f>'Cap Outlay Deprec 26'!C15</f>
        <v>250000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250000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24741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26474</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51215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51215</v>
      </c>
      <c r="D3567" s="2" t="str">
        <f t="shared" si="54"/>
        <v>Error?</v>
      </c>
    </row>
    <row r="3568" spans="1:4" x14ac:dyDescent="0.2">
      <c r="A3568" s="5">
        <v>3507</v>
      </c>
      <c r="B3568" s="138">
        <f>'Assets-Liab 5-6'!K41</f>
        <v>51215</v>
      </c>
      <c r="C3568" s="2" t="s">
        <v>594</v>
      </c>
      <c r="D3568" s="2" t="str">
        <f t="shared" si="54"/>
        <v>Error?</v>
      </c>
    </row>
    <row r="3569" spans="1:4" x14ac:dyDescent="0.2">
      <c r="A3569" s="5">
        <v>3508</v>
      </c>
      <c r="B3569" s="138">
        <f>'Acct Summary 7-8'!K4</f>
        <v>27484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27484</v>
      </c>
      <c r="C3571" s="2" t="s">
        <v>594</v>
      </c>
      <c r="D3571" s="2" t="str">
        <f t="shared" si="54"/>
        <v>Error?</v>
      </c>
    </row>
    <row r="3572" spans="1:4" x14ac:dyDescent="0.2">
      <c r="A3572" s="5">
        <v>3511</v>
      </c>
      <c r="B3572" s="138">
        <f>'Acct Summary 7-8'!K13</f>
        <v>608503</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608503</v>
      </c>
      <c r="C3575" s="2" t="s">
        <v>594</v>
      </c>
      <c r="D3575" s="2" t="str">
        <f t="shared" si="54"/>
        <v>Error?</v>
      </c>
    </row>
    <row r="3576" spans="1:4" x14ac:dyDescent="0.2">
      <c r="A3576" s="5">
        <v>3515</v>
      </c>
      <c r="B3576" s="138">
        <f>'Acct Summary 7-8'!K20</f>
        <v>-581019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-581019</v>
      </c>
      <c r="C3588" s="2" t="s">
        <v>594</v>
      </c>
      <c r="D3588" s="2" t="str">
        <f t="shared" si="55"/>
        <v>Error?</v>
      </c>
    </row>
    <row r="3589" spans="1:4" x14ac:dyDescent="0.2">
      <c r="A3589" s="5">
        <v>3528</v>
      </c>
      <c r="B3589" s="138">
        <f>'Acct Summary 7-8'!K79</f>
        <v>632234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51215</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608503</v>
      </c>
      <c r="D3632" s="2" t="str">
        <f t="shared" si="55"/>
        <v>Error?</v>
      </c>
    </row>
    <row r="3633" spans="1:4" x14ac:dyDescent="0.2">
      <c r="A3633" s="5">
        <v>3572</v>
      </c>
      <c r="B3633" s="138">
        <f>'Expenditures 15-22'!E350</f>
        <v>608503</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608503</v>
      </c>
      <c r="C3635" s="2" t="s">
        <v>594</v>
      </c>
      <c r="D3635" s="2" t="str">
        <f t="shared" si="55"/>
        <v>Error?</v>
      </c>
    </row>
    <row r="3636" spans="1:4" x14ac:dyDescent="0.2">
      <c r="A3636" s="5">
        <v>3575</v>
      </c>
      <c r="B3636" s="138">
        <f>'Expenditures 15-22'!E367</f>
        <v>608503</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608503</v>
      </c>
      <c r="C3669" s="2" t="s">
        <v>594</v>
      </c>
      <c r="D3669" s="2" t="str">
        <f t="shared" si="56"/>
        <v>Error?</v>
      </c>
    </row>
    <row r="3670" spans="1:4" x14ac:dyDescent="0.2">
      <c r="A3670" s="5">
        <v>3609</v>
      </c>
      <c r="B3670" s="138">
        <f>'Expenditures 15-22'!K350</f>
        <v>608503</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608503</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608503</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-581019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27391</v>
      </c>
      <c r="C3725" s="2" t="s">
        <v>594</v>
      </c>
      <c r="D3725" s="2" t="str">
        <f t="shared" si="57"/>
        <v>Error?</v>
      </c>
    </row>
    <row r="3726" spans="1:4" x14ac:dyDescent="0.2">
      <c r="A3726" s="5">
        <v>3665</v>
      </c>
      <c r="B3726" s="138">
        <f>'Tax Sched 23'!D13</f>
        <v>26971</v>
      </c>
      <c r="C3726" s="2" t="s">
        <v>594</v>
      </c>
      <c r="D3726" s="2" t="str">
        <f t="shared" si="57"/>
        <v>Error?</v>
      </c>
    </row>
    <row r="3727" spans="1:4" x14ac:dyDescent="0.2">
      <c r="A3727" s="5">
        <v>3666</v>
      </c>
      <c r="B3727" s="138">
        <f>'Tax Sched 23'!C13</f>
        <v>420</v>
      </c>
      <c r="D3727" s="2" t="str">
        <f t="shared" si="57"/>
        <v>Error?</v>
      </c>
    </row>
    <row r="3728" spans="1:4" x14ac:dyDescent="0.2">
      <c r="A3728" s="5">
        <v>3667</v>
      </c>
      <c r="B3728" s="138">
        <f>'Tax Sched 23'!F13</f>
        <v>28136</v>
      </c>
      <c r="C3728" s="2" t="s">
        <v>594</v>
      </c>
      <c r="D3728" s="2" t="str">
        <f t="shared" si="57"/>
        <v>Error?</v>
      </c>
    </row>
    <row r="3729" spans="1:4" x14ac:dyDescent="0.2">
      <c r="A3729" s="5">
        <v>3668</v>
      </c>
      <c r="B3729" s="138">
        <f>'Tax Sched 23'!E13</f>
        <v>28556</v>
      </c>
      <c r="D3729" s="2" t="str">
        <f t="shared" si="57"/>
        <v>Error?</v>
      </c>
    </row>
    <row r="3730" spans="1:4" x14ac:dyDescent="0.2">
      <c r="A3730" s="5">
        <v>3669</v>
      </c>
      <c r="B3730" s="138">
        <f>'ICR Computation 30'!E10</f>
        <v>214790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537</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-537</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3711</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3174</v>
      </c>
      <c r="D4111" s="2" t="str">
        <f t="shared" si="63"/>
        <v>Error?</v>
      </c>
    </row>
    <row r="4112" spans="1:4" x14ac:dyDescent="0.2">
      <c r="A4112" s="10">
        <v>4051</v>
      </c>
      <c r="D4112" s="2" t="str">
        <f t="shared" si="63"/>
        <v>OK</v>
      </c>
    </row>
    <row r="4113" spans="1:4" x14ac:dyDescent="0.2">
      <c r="A4113" s="5">
        <v>4052</v>
      </c>
      <c r="B4113" s="138">
        <f>'Acct Summary 7-8'!C9</f>
        <v>249527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4700737</v>
      </c>
      <c r="C4122" s="2" t="s">
        <v>594</v>
      </c>
      <c r="D4122" s="2" t="str">
        <f t="shared" si="63"/>
        <v>Error?</v>
      </c>
    </row>
    <row r="4123" spans="1:4" x14ac:dyDescent="0.2">
      <c r="A4123" s="5">
        <v>4062</v>
      </c>
      <c r="B4123" s="138">
        <f>'Acct Summary 7-8'!D10</f>
        <v>398153</v>
      </c>
      <c r="C4123" s="2" t="s">
        <v>594</v>
      </c>
      <c r="D4123" s="2" t="str">
        <f t="shared" si="63"/>
        <v>Error?</v>
      </c>
    </row>
    <row r="4124" spans="1:4" x14ac:dyDescent="0.2">
      <c r="A4124" s="5">
        <v>4063</v>
      </c>
      <c r="B4124" s="138">
        <f>'Acct Summary 7-8'!E10</f>
        <v>372377</v>
      </c>
      <c r="C4124" s="2" t="s">
        <v>594</v>
      </c>
      <c r="D4124" s="2" t="str">
        <f t="shared" si="63"/>
        <v>Error?</v>
      </c>
    </row>
    <row r="4125" spans="1:4" x14ac:dyDescent="0.2">
      <c r="A4125" s="5">
        <v>4064</v>
      </c>
      <c r="B4125" s="138">
        <f>'Acct Summary 7-8'!F10</f>
        <v>243383</v>
      </c>
      <c r="C4125" s="2" t="s">
        <v>594</v>
      </c>
      <c r="D4125" s="2" t="str">
        <f t="shared" si="63"/>
        <v>Error?</v>
      </c>
    </row>
    <row r="4126" spans="1:4" x14ac:dyDescent="0.2">
      <c r="A4126" s="5">
        <v>4065</v>
      </c>
      <c r="B4126" s="138">
        <f>'Acct Summary 7-8'!G10</f>
        <v>141883</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27870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27484</v>
      </c>
      <c r="C4130" s="2" t="s">
        <v>594</v>
      </c>
      <c r="D4130" s="2" t="str">
        <f t="shared" si="63"/>
        <v>Error?</v>
      </c>
    </row>
    <row r="4131" spans="1:4" x14ac:dyDescent="0.2">
      <c r="A4131" s="5">
        <v>4070</v>
      </c>
      <c r="B4131" s="138">
        <f>'Acct Summary 7-8'!C18</f>
        <v>249527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4085558</v>
      </c>
      <c r="C4136" s="2" t="s">
        <v>594</v>
      </c>
      <c r="D4136" s="2" t="str">
        <f t="shared" si="63"/>
        <v>Error?</v>
      </c>
    </row>
    <row r="4137" spans="1:4" x14ac:dyDescent="0.2">
      <c r="A4137" s="5">
        <v>4076</v>
      </c>
      <c r="B4137" s="138">
        <f>'Acct Summary 7-8'!D19</f>
        <v>575570</v>
      </c>
      <c r="C4137" s="2" t="s">
        <v>594</v>
      </c>
      <c r="D4137" s="2" t="str">
        <f t="shared" si="63"/>
        <v>Error?</v>
      </c>
    </row>
    <row r="4138" spans="1:4" x14ac:dyDescent="0.2">
      <c r="A4138" s="5">
        <v>4077</v>
      </c>
      <c r="B4138" s="138">
        <f>'Acct Summary 7-8'!E19</f>
        <v>389602</v>
      </c>
      <c r="C4138" s="2" t="s">
        <v>594</v>
      </c>
      <c r="D4138" s="2" t="str">
        <f t="shared" si="63"/>
        <v>Error?</v>
      </c>
    </row>
    <row r="4139" spans="1:4" x14ac:dyDescent="0.2">
      <c r="A4139" s="5">
        <v>4078</v>
      </c>
      <c r="B4139" s="138">
        <f>'Acct Summary 7-8'!F19</f>
        <v>187100</v>
      </c>
      <c r="C4139" s="2" t="s">
        <v>594</v>
      </c>
      <c r="D4139" s="2" t="str">
        <f t="shared" si="63"/>
        <v>Error?</v>
      </c>
    </row>
    <row r="4140" spans="1:4" x14ac:dyDescent="0.2">
      <c r="A4140" s="5">
        <v>4079</v>
      </c>
      <c r="B4140" s="138">
        <f>'Acct Summary 7-8'!G19</f>
        <v>104803</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608503</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3545000</v>
      </c>
      <c r="C4171" s="2" t="s">
        <v>594</v>
      </c>
      <c r="D4171" s="2" t="str">
        <f t="shared" si="64"/>
        <v>Error?</v>
      </c>
    </row>
    <row r="4172" spans="1:4" x14ac:dyDescent="0.2">
      <c r="A4172" s="5">
        <v>4111</v>
      </c>
      <c r="B4172" s="138">
        <f>'Short-Term Long-Term Debt 24'!J49</f>
        <v>3473423</v>
      </c>
      <c r="C4172" s="2" t="s">
        <v>594</v>
      </c>
      <c r="D4172" s="2" t="str">
        <f t="shared" si="64"/>
        <v>Error?</v>
      </c>
    </row>
    <row r="4173" spans="1:4" x14ac:dyDescent="0.2">
      <c r="A4173" s="5">
        <v>4112</v>
      </c>
      <c r="B4173" s="138">
        <f>'Short-Term Long-Term Debt 24'!H49</f>
        <v>300000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3972.6</v>
      </c>
      <c r="C4265" s="2" t="s">
        <v>594</v>
      </c>
      <c r="D4265" s="2" t="str">
        <f t="shared" si="65"/>
        <v>Error?</v>
      </c>
      <c r="E4265" s="128"/>
    </row>
    <row r="4266" spans="1:5" x14ac:dyDescent="0.2">
      <c r="A4266" s="12">
        <v>4205</v>
      </c>
      <c r="B4266" s="138">
        <f>('FP Info 3'!F10)*100000</f>
        <v>705</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4878</v>
      </c>
      <c r="C4268" s="2" t="s">
        <v>594</v>
      </c>
      <c r="D4268" s="2" t="str">
        <f t="shared" si="65"/>
        <v>Error?</v>
      </c>
    </row>
    <row r="4269" spans="1:5" x14ac:dyDescent="0.2">
      <c r="A4269" s="12">
        <v>4208</v>
      </c>
      <c r="B4269" s="138">
        <f>'FP Info 3'!J16</f>
        <v>4143094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9698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6946</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6946</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15416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15942</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57111585</v>
      </c>
      <c r="D4995" s="2" t="str">
        <f t="shared" si="77"/>
        <v>Error?</v>
      </c>
    </row>
    <row r="4996" spans="1:4" x14ac:dyDescent="0.2">
      <c r="A4996" s="12">
        <v>4935</v>
      </c>
      <c r="B4996" s="138">
        <f>'FP Info 3'!H31</f>
        <v>7881398.7300000004</v>
      </c>
      <c r="D4996" s="2" t="str">
        <f t="shared" si="77"/>
        <v>Error?</v>
      </c>
    </row>
    <row r="4997" spans="1:4" x14ac:dyDescent="0.2">
      <c r="A4997" s="12">
        <v>4936</v>
      </c>
      <c r="B4997" s="138">
        <f>'FP Info 3'!H37</f>
        <v>3545000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27391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2132451</v>
      </c>
      <c r="D5061" s="2" t="str">
        <f t="shared" si="78"/>
        <v>Error?</v>
      </c>
    </row>
    <row r="5062" spans="1:4" x14ac:dyDescent="0.2">
      <c r="A5062" s="10">
        <v>5001</v>
      </c>
      <c r="D5062" s="2" t="str">
        <f t="shared" si="78"/>
        <v>OK</v>
      </c>
    </row>
    <row r="5063" spans="1:4" x14ac:dyDescent="0.2">
      <c r="A5063" s="5">
        <v>5002</v>
      </c>
      <c r="B5063" s="138">
        <f>'Revenues 9-14'!C7</f>
        <v>21335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2181177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138393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138393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71023</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71023</v>
      </c>
      <c r="C5087" s="2" t="s">
        <v>594</v>
      </c>
      <c r="D5087" s="2" t="str">
        <f t="shared" si="78"/>
        <v>Error?</v>
      </c>
    </row>
    <row r="5088" spans="1:4" x14ac:dyDescent="0.2">
      <c r="A5088" s="5">
        <v>5027</v>
      </c>
      <c r="B5088" s="138">
        <f>'Revenues 9-14'!C65</f>
        <v>22050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22050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11200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7112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18312</v>
      </c>
      <c r="C5096" s="2" t="s">
        <v>594</v>
      </c>
      <c r="D5096" s="2" t="str">
        <f t="shared" si="78"/>
        <v>Error?</v>
      </c>
    </row>
    <row r="5097" spans="1:4" x14ac:dyDescent="0.2">
      <c r="A5097" s="5">
        <v>5036</v>
      </c>
      <c r="B5097" s="138">
        <f>'Revenues 9-14'!C77</f>
        <v>9486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9486</v>
      </c>
      <c r="C5102" s="2" t="s">
        <v>594</v>
      </c>
      <c r="D5102" s="2" t="str">
        <f t="shared" si="78"/>
        <v>Error?</v>
      </c>
    </row>
    <row r="5103" spans="1:4" x14ac:dyDescent="0.2">
      <c r="A5103" s="5">
        <v>5042</v>
      </c>
      <c r="B5103" s="138">
        <f>'Revenues 9-14'!C84</f>
        <v>59035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59035</v>
      </c>
      <c r="C5112" s="2" t="s">
        <v>594</v>
      </c>
      <c r="D5112" s="2" t="str">
        <f t="shared" si="78"/>
        <v>Error?</v>
      </c>
    </row>
    <row r="5113" spans="1:4" x14ac:dyDescent="0.2">
      <c r="A5113" s="5">
        <v>5052</v>
      </c>
      <c r="B5113" s="138">
        <f>'Revenues 9-14'!C95</f>
        <v>6500</v>
      </c>
      <c r="D5113" s="2" t="str">
        <f t="shared" si="78"/>
        <v>Error?</v>
      </c>
    </row>
    <row r="5114" spans="1:4" x14ac:dyDescent="0.2">
      <c r="A5114" s="5">
        <v>5053</v>
      </c>
      <c r="B5114" s="138">
        <f>'Revenues 9-14'!C96</f>
        <v>500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1328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5770</v>
      </c>
      <c r="D5119" s="2" t="str">
        <f t="shared" ref="D5119:D5182" si="79">IF(ISBLANK(B5119),"OK",IF(A5119-B5119=0,"OK","Error?"))</f>
        <v>Error?</v>
      </c>
    </row>
    <row r="5120" spans="1:4" x14ac:dyDescent="0.2">
      <c r="A5120" s="5">
        <v>5059</v>
      </c>
      <c r="B5120" s="138">
        <f>'Revenues 9-14'!C108</f>
        <v>14098</v>
      </c>
      <c r="C5120" s="2" t="s">
        <v>594</v>
      </c>
      <c r="D5120" s="2" t="str">
        <f t="shared" si="79"/>
        <v>Error?</v>
      </c>
    </row>
    <row r="5121" spans="1:4" x14ac:dyDescent="0.2">
      <c r="A5121" s="5">
        <v>5060</v>
      </c>
      <c r="B5121" s="138">
        <f>'Revenues 9-14'!C109</f>
        <v>2513574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1348028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1348028</v>
      </c>
      <c r="C5132" s="2" t="s">
        <v>594</v>
      </c>
      <c r="D5132" s="2" t="str">
        <f t="shared" si="79"/>
        <v>Error?</v>
      </c>
    </row>
    <row r="5133" spans="1:4" x14ac:dyDescent="0.2">
      <c r="A5133" s="5">
        <v>5072</v>
      </c>
      <c r="B5133" s="138">
        <f>'Revenues 9-14'!C124</f>
        <v>45547</v>
      </c>
      <c r="D5133" s="2" t="str">
        <f t="shared" si="79"/>
        <v>Error?</v>
      </c>
    </row>
    <row r="5134" spans="1:4" x14ac:dyDescent="0.2">
      <c r="A5134" s="5">
        <v>5073</v>
      </c>
      <c r="B5134" s="138">
        <f>'Revenues 9-14'!C125</f>
        <v>30514</v>
      </c>
      <c r="D5134" s="2" t="str">
        <f t="shared" si="79"/>
        <v>Error?</v>
      </c>
    </row>
    <row r="5135" spans="1:4" x14ac:dyDescent="0.2">
      <c r="A5135" s="5">
        <v>5074</v>
      </c>
      <c r="B5135" s="138">
        <f>'Revenues 9-14'!C126</f>
        <v>47228</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2205</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125494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4251</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8537</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3364</v>
      </c>
      <c r="D5167" s="2" t="str">
        <f t="shared" si="79"/>
        <v>Error?</v>
      </c>
    </row>
    <row r="5168" spans="1:4" x14ac:dyDescent="0.2">
      <c r="A5168" s="5">
        <v>5107</v>
      </c>
      <c r="B5168" s="138">
        <f>'Revenues 9-14'!C147</f>
        <v>6647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10169</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10169</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154211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1502239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15942</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150393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46763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197156</v>
      </c>
      <c r="C5246" s="2" t="s">
        <v>594</v>
      </c>
      <c r="D5246" s="2" t="str">
        <f t="shared" si="80"/>
        <v>Error?</v>
      </c>
    </row>
    <row r="5247" spans="1:4" x14ac:dyDescent="0.2">
      <c r="A5247" s="5">
        <v>5186</v>
      </c>
      <c r="B5247" s="138">
        <f>'Revenues 9-14'!C203</f>
        <v>77188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77188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113051</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113051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419455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435397</v>
      </c>
      <c r="C5326" s="2" t="s">
        <v>594</v>
      </c>
      <c r="D5326" s="2" t="str">
        <f t="shared" si="82"/>
        <v>Error?</v>
      </c>
    </row>
    <row r="5327" spans="1:4" x14ac:dyDescent="0.2">
      <c r="A5327" s="5">
        <v>5266</v>
      </c>
      <c r="B5327" s="138">
        <f>'Revenues 9-14'!C275</f>
        <v>4451210</v>
      </c>
      <c r="C5327" s="2" t="s">
        <v>594</v>
      </c>
      <c r="D5327" s="2" t="str">
        <f t="shared" si="82"/>
        <v>Error?</v>
      </c>
    </row>
    <row r="5328" spans="1:4" x14ac:dyDescent="0.2">
      <c r="A5328" s="5">
        <v>5267</v>
      </c>
      <c r="B5328" s="138">
        <f>'Revenues 9-14'!D5</f>
        <v>376022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376022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7852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7852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14279</v>
      </c>
      <c r="C5355" s="2" t="s">
        <v>594</v>
      </c>
      <c r="D5355" s="2" t="str">
        <f t="shared" si="82"/>
        <v>Error?</v>
      </c>
    </row>
    <row r="5356" spans="1:4" x14ac:dyDescent="0.2">
      <c r="A5356" s="5">
        <v>5295</v>
      </c>
      <c r="B5356" s="138">
        <f>'Revenues 9-14'!D109</f>
        <v>398153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398153</v>
      </c>
      <c r="C5508" s="2" t="s">
        <v>594</v>
      </c>
      <c r="D5508" s="2" t="str">
        <f t="shared" si="85"/>
        <v>Error?</v>
      </c>
    </row>
    <row r="5509" spans="1:4" x14ac:dyDescent="0.2">
      <c r="A5509" s="5">
        <v>5448</v>
      </c>
      <c r="B5509" s="138">
        <f>'Revenues 9-14'!E5</f>
        <v>371535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371535</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842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842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372377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372377</v>
      </c>
      <c r="C5552" s="2" t="s">
        <v>594</v>
      </c>
      <c r="D5552" s="2" t="str">
        <f t="shared" si="85"/>
        <v>Error?</v>
      </c>
    </row>
    <row r="5553" spans="1:4" x14ac:dyDescent="0.2">
      <c r="A5553" s="5">
        <v>5492</v>
      </c>
      <c r="B5553" s="138">
        <f>'Revenues 9-14'!F5</f>
        <v>106673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106673</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3571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3571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110244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36302</v>
      </c>
      <c r="D5615" s="2" t="str">
        <f t="shared" si="86"/>
        <v>Error?</v>
      </c>
    </row>
    <row r="5616" spans="1:4" x14ac:dyDescent="0.2">
      <c r="A5616" s="10">
        <v>5555</v>
      </c>
      <c r="D5616" s="2" t="str">
        <f t="shared" si="86"/>
        <v>OK</v>
      </c>
    </row>
    <row r="5617" spans="1:4" x14ac:dyDescent="0.2">
      <c r="A5617" s="5">
        <v>5556</v>
      </c>
      <c r="B5617" s="138">
        <f>'Revenues 9-14'!F152</f>
        <v>96837</v>
      </c>
      <c r="D5617" s="2" t="str">
        <f t="shared" si="86"/>
        <v>Error?</v>
      </c>
    </row>
    <row r="5618" spans="1:4" x14ac:dyDescent="0.2">
      <c r="A5618" s="5">
        <v>5557</v>
      </c>
      <c r="B5618" s="138">
        <f>'Revenues 9-14'!F154</f>
        <v>133139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133139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133139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243383</v>
      </c>
      <c r="C5720" s="2" t="s">
        <v>594</v>
      </c>
      <c r="D5720" s="2" t="str">
        <f t="shared" si="88"/>
        <v>Error?</v>
      </c>
    </row>
    <row r="5721" spans="1:4" x14ac:dyDescent="0.2">
      <c r="A5721" s="5">
        <v>5660</v>
      </c>
      <c r="B5721" s="138">
        <f>'Revenues 9-14'!G5</f>
        <v>54978</v>
      </c>
      <c r="D5721" s="2" t="str">
        <f t="shared" si="88"/>
        <v>Error?</v>
      </c>
    </row>
    <row r="5722" spans="1:4" x14ac:dyDescent="0.2">
      <c r="A5722" s="5">
        <v>5661</v>
      </c>
      <c r="B5722" s="138">
        <f>'Revenues 9-14'!G7</f>
        <v>0</v>
      </c>
      <c r="D5722" s="2" t="str">
        <f t="shared" si="88"/>
        <v>Error?</v>
      </c>
    </row>
    <row r="5723" spans="1:4" x14ac:dyDescent="0.2">
      <c r="A5723" s="5">
        <v>5662</v>
      </c>
      <c r="B5723" s="138">
        <f>'Revenues 9-14'!G8</f>
        <v>84904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139882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2001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2001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141883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26668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26668</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1202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1202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27870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26668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26668</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816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816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27484</v>
      </c>
      <c r="C6023" s="2" t="s">
        <v>594</v>
      </c>
      <c r="D6023" s="2" t="str">
        <f t="shared" si="93"/>
        <v>Error?</v>
      </c>
    </row>
    <row r="6024" spans="1:5" x14ac:dyDescent="0.2">
      <c r="A6024" s="5">
        <v>5963</v>
      </c>
      <c r="B6024" s="138">
        <f>'Revenues 9-14'!G109</f>
        <v>141883</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27870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27484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21740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380.07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164838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36743</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490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164838</v>
      </c>
      <c r="D6215" s="2" t="str">
        <f t="shared" si="96"/>
        <v>Error?</v>
      </c>
      <c r="E6215" s="2" t="s">
        <v>199</v>
      </c>
    </row>
    <row r="6216" spans="1:5" x14ac:dyDescent="0.2">
      <c r="A6216">
        <v>6155</v>
      </c>
      <c r="B6216" s="138">
        <f>'Assets-Liab 5-6'!J41</f>
        <v>164838</v>
      </c>
      <c r="D6216" s="2" t="str">
        <f t="shared" si="96"/>
        <v>Error?</v>
      </c>
      <c r="E6216" s="2" t="s">
        <v>199</v>
      </c>
    </row>
    <row r="6217" spans="1:5" x14ac:dyDescent="0.2">
      <c r="A6217">
        <v>6156</v>
      </c>
      <c r="B6217" s="138">
        <f>'Assets-Liab 5-6'!J4</f>
        <v>56007</v>
      </c>
      <c r="D6217" s="2" t="str">
        <f t="shared" si="96"/>
        <v>Error?</v>
      </c>
      <c r="E6217" s="2" t="s">
        <v>199</v>
      </c>
    </row>
    <row r="6218" spans="1:5" x14ac:dyDescent="0.2">
      <c r="A6218">
        <v>6157</v>
      </c>
      <c r="B6218" s="138">
        <f>'Assets-Liab 5-6'!J5</f>
        <v>108831</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151510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151510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151510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200642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200642</v>
      </c>
      <c r="D6229" s="2" t="str">
        <f t="shared" si="96"/>
        <v>Error?</v>
      </c>
      <c r="E6229" s="2" t="s">
        <v>199</v>
      </c>
    </row>
    <row r="6230" spans="1:5" x14ac:dyDescent="0.2">
      <c r="A6230">
        <v>6169</v>
      </c>
      <c r="B6230" s="138">
        <f>'Acct Summary 7-8'!J20</f>
        <v>-49132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-49132</v>
      </c>
      <c r="D6263" s="2" t="str">
        <f t="shared" si="96"/>
        <v>Error?</v>
      </c>
      <c r="E6263" s="2" t="s">
        <v>199</v>
      </c>
    </row>
    <row r="6264" spans="1:5" x14ac:dyDescent="0.2">
      <c r="A6264">
        <v>6203</v>
      </c>
      <c r="B6264" s="138">
        <f>'Acct Summary 7-8'!J79</f>
        <v>215410</v>
      </c>
      <c r="D6264" s="2" t="str">
        <f t="shared" si="96"/>
        <v>Error?</v>
      </c>
      <c r="E6264" s="2" t="s">
        <v>199</v>
      </c>
    </row>
    <row r="6265" spans="1:5" x14ac:dyDescent="0.2">
      <c r="A6265">
        <v>6204</v>
      </c>
      <c r="B6265" s="138">
        <f>'Acct Summary 7-8'!J80</f>
        <v>-1440</v>
      </c>
      <c r="D6265" s="2" t="str">
        <f t="shared" si="96"/>
        <v>Error?</v>
      </c>
      <c r="E6265" s="2" t="s">
        <v>199</v>
      </c>
    </row>
    <row r="6266" spans="1:5" x14ac:dyDescent="0.2">
      <c r="A6266">
        <v>6205</v>
      </c>
      <c r="B6266" s="138">
        <f>'Acct Summary 7-8'!J81</f>
        <v>164838</v>
      </c>
      <c r="D6266" s="2" t="str">
        <f t="shared" si="96"/>
        <v>Error?</v>
      </c>
      <c r="E6266" s="2" t="s">
        <v>199</v>
      </c>
    </row>
    <row r="6267" spans="1:5" x14ac:dyDescent="0.2">
      <c r="A6267">
        <v>6206</v>
      </c>
      <c r="B6267" s="138">
        <f>'Acct Summary 7-8'!C82</f>
        <v>574893</v>
      </c>
      <c r="D6267" s="2" t="str">
        <f t="shared" si="96"/>
        <v>Error?</v>
      </c>
      <c r="E6267" s="2" t="s">
        <v>199</v>
      </c>
    </row>
    <row r="6268" spans="1:5" x14ac:dyDescent="0.2">
      <c r="A6268">
        <v>6207</v>
      </c>
      <c r="B6268" s="138">
        <f>'Acct Summary 7-8'!D82</f>
        <v>-58783</v>
      </c>
      <c r="D6268" s="2" t="str">
        <f t="shared" si="96"/>
        <v>Error?</v>
      </c>
      <c r="E6268" s="2" t="s">
        <v>199</v>
      </c>
    </row>
    <row r="6269" spans="1:5" x14ac:dyDescent="0.2">
      <c r="A6269">
        <v>6208</v>
      </c>
      <c r="B6269" s="138">
        <f>'Acct Summary 7-8'!E82</f>
        <v>-17225</v>
      </c>
      <c r="D6269" s="2" t="str">
        <f t="shared" si="96"/>
        <v>Error?</v>
      </c>
      <c r="E6269" s="2" t="s">
        <v>199</v>
      </c>
    </row>
    <row r="6270" spans="1:5" x14ac:dyDescent="0.2">
      <c r="A6270">
        <v>6209</v>
      </c>
      <c r="B6270" s="138">
        <f>'Acct Summary 7-8'!F82</f>
        <v>53059</v>
      </c>
      <c r="D6270" s="2" t="str">
        <f t="shared" si="96"/>
        <v>Error?</v>
      </c>
      <c r="E6270" s="2" t="s">
        <v>199</v>
      </c>
    </row>
    <row r="6271" spans="1:5" x14ac:dyDescent="0.2">
      <c r="A6271">
        <v>6210</v>
      </c>
      <c r="B6271" s="138">
        <f>'Acct Summary 7-8'!G82</f>
        <v>37080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-95130</v>
      </c>
      <c r="D6273" s="2" t="str">
        <f t="shared" si="97"/>
        <v>Error?</v>
      </c>
      <c r="E6273" s="2" t="s">
        <v>199</v>
      </c>
    </row>
    <row r="6274" spans="1:5" x14ac:dyDescent="0.2">
      <c r="A6274">
        <v>6213</v>
      </c>
      <c r="B6274" s="138">
        <f>'Acct Summary 7-8'!J82</f>
        <v>-50572</v>
      </c>
      <c r="D6274" s="2" t="str">
        <f t="shared" si="97"/>
        <v>Error?</v>
      </c>
      <c r="E6274" s="2" t="s">
        <v>199</v>
      </c>
    </row>
    <row r="6275" spans="1:5" x14ac:dyDescent="0.2">
      <c r="A6275">
        <v>6214</v>
      </c>
      <c r="B6275" s="138">
        <f>'Acct Summary 7-8'!K82</f>
        <v>-581019</v>
      </c>
      <c r="D6275" s="2" t="str">
        <f t="shared" si="97"/>
        <v>Error?</v>
      </c>
      <c r="E6275" s="2" t="s">
        <v>199</v>
      </c>
    </row>
    <row r="6276" spans="1:5" x14ac:dyDescent="0.2">
      <c r="A6276">
        <v>6215</v>
      </c>
      <c r="B6276" s="138">
        <f>'Acct Summary 7-8'!C83</f>
        <v>0.19661795220029077</v>
      </c>
      <c r="D6276" s="2" t="str">
        <f t="shared" si="97"/>
        <v>Error?</v>
      </c>
      <c r="E6276" s="2" t="s">
        <v>199</v>
      </c>
    </row>
    <row r="6277" spans="1:5" x14ac:dyDescent="0.2">
      <c r="A6277">
        <v>6216</v>
      </c>
      <c r="B6277" s="138">
        <f>'Acct Summary 7-8'!D83</f>
        <v>-8.6776487399746388E-2</v>
      </c>
      <c r="D6277" s="2" t="str">
        <f t="shared" si="97"/>
        <v>Error?</v>
      </c>
      <c r="E6277" s="2" t="s">
        <v>199</v>
      </c>
    </row>
    <row r="6278" spans="1:5" x14ac:dyDescent="0.2">
      <c r="A6278">
        <v>6217</v>
      </c>
      <c r="B6278" s="138">
        <f>'Acct Summary 7-8'!E83</f>
        <v>-0.24064992944660996</v>
      </c>
      <c r="D6278" s="2" t="str">
        <f t="shared" si="97"/>
        <v>Error?</v>
      </c>
      <c r="E6278" s="2" t="s">
        <v>199</v>
      </c>
    </row>
    <row r="6279" spans="1:5" x14ac:dyDescent="0.2">
      <c r="A6279">
        <v>6218</v>
      </c>
      <c r="B6279" s="138">
        <f>'Acct Summary 7-8'!F83</f>
        <v>0.10447420289170196</v>
      </c>
      <c r="D6279" s="2" t="str">
        <f t="shared" si="97"/>
        <v>Error?</v>
      </c>
      <c r="E6279" s="2" t="s">
        <v>199</v>
      </c>
    </row>
    <row r="6280" spans="1:5" x14ac:dyDescent="0.2">
      <c r="A6280">
        <v>6219</v>
      </c>
      <c r="B6280" s="138">
        <f>'Acct Summary 7-8'!G83</f>
        <v>0.17804838229503789</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-2.8052844209843415</v>
      </c>
      <c r="D6282" s="2" t="str">
        <f t="shared" si="97"/>
        <v>Error?</v>
      </c>
      <c r="E6282" s="2" t="s">
        <v>199</v>
      </c>
    </row>
    <row r="6283" spans="1:5" x14ac:dyDescent="0.2">
      <c r="A6283">
        <v>6222</v>
      </c>
      <c r="B6283" s="138">
        <f>'Acct Summary 7-8'!J83</f>
        <v>-0.30679818973780315</v>
      </c>
      <c r="D6283" s="2" t="str">
        <f t="shared" si="97"/>
        <v>Error?</v>
      </c>
      <c r="E6283" s="2" t="s">
        <v>199</v>
      </c>
    </row>
    <row r="6284" spans="1:5" x14ac:dyDescent="0.2">
      <c r="A6284">
        <v>6223</v>
      </c>
      <c r="B6284" s="138">
        <f>'Acct Summary 7-8'!K83</f>
        <v>-11.344703700087864</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149004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149004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2506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2506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14279</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151510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4286</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177478</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10807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350</v>
      </c>
      <c r="D6981" s="2" t="str">
        <f t="shared" si="108"/>
        <v>Error?</v>
      </c>
    </row>
    <row r="6982" spans="1:4" x14ac:dyDescent="0.2">
      <c r="A6982">
        <v>6921</v>
      </c>
      <c r="B6982" s="138">
        <f>'Expenditures 15-22'!K85</f>
        <v>350</v>
      </c>
      <c r="D6982" s="2" t="str">
        <f t="shared" si="108"/>
        <v>Error?</v>
      </c>
    </row>
    <row r="6983" spans="1:4" x14ac:dyDescent="0.2">
      <c r="A6983">
        <v>6922</v>
      </c>
      <c r="B6983" s="138">
        <f>'Expenditures 15-22'!H86</f>
        <v>44906</v>
      </c>
      <c r="D6983" s="2" t="str">
        <f t="shared" si="108"/>
        <v>Error?</v>
      </c>
    </row>
    <row r="6984" spans="1:4" x14ac:dyDescent="0.2">
      <c r="A6984">
        <v>6923</v>
      </c>
      <c r="B6984" s="138">
        <f>'Expenditures 15-22'!K86</f>
        <v>44906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42818</v>
      </c>
      <c r="D6987" s="2" t="str">
        <f t="shared" si="108"/>
        <v>Error?</v>
      </c>
    </row>
    <row r="6988" spans="1:4" x14ac:dyDescent="0.2">
      <c r="A6988">
        <v>6927</v>
      </c>
      <c r="B6988" s="138">
        <f>'Expenditures 15-22'!K88</f>
        <v>42818</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88074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200642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151510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3022</v>
      </c>
      <c r="D7075" s="2" t="str">
        <f t="shared" si="109"/>
        <v>Error?</v>
      </c>
    </row>
    <row r="7076" spans="1:4" x14ac:dyDescent="0.2">
      <c r="A7076">
        <v>7015</v>
      </c>
      <c r="B7076" s="138">
        <f>'Expenditures 15-22'!K218</f>
        <v>3022</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118</v>
      </c>
      <c r="D7079" s="2" t="str">
        <f t="shared" si="109"/>
        <v>Error?</v>
      </c>
    </row>
    <row r="7080" spans="1:4" x14ac:dyDescent="0.2">
      <c r="A7080">
        <v>7019</v>
      </c>
      <c r="B7080" s="138">
        <f>'Expenditures 15-22'!K226</f>
        <v>118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545</v>
      </c>
      <c r="D7091" s="2" t="str">
        <f t="shared" si="109"/>
        <v>Error?</v>
      </c>
    </row>
    <row r="7092" spans="1:4" x14ac:dyDescent="0.2">
      <c r="A7092">
        <v>7031</v>
      </c>
      <c r="B7092" s="138">
        <f>'Expenditures 15-22'!K253</f>
        <v>545</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20557</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20557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49685</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49685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41114</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41114</v>
      </c>
      <c r="D7171" s="2" t="str">
        <f t="shared" si="111"/>
        <v>Error?</v>
      </c>
    </row>
    <row r="7172" spans="1:4" x14ac:dyDescent="0.2">
      <c r="A7172">
        <v>7111</v>
      </c>
      <c r="B7172" s="138">
        <f>'Expenditures 15-22'!C325</f>
        <v>43177</v>
      </c>
      <c r="D7172" s="2" t="str">
        <f t="shared" si="111"/>
        <v>Error?</v>
      </c>
    </row>
    <row r="7173" spans="1:4" x14ac:dyDescent="0.2">
      <c r="A7173">
        <v>7112</v>
      </c>
      <c r="B7173" s="138">
        <f>'Expenditures 15-22'!D325</f>
        <v>6956</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50133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39153</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39153</v>
      </c>
      <c r="D7198" s="2" t="str">
        <f t="shared" si="111"/>
        <v>Error?</v>
      </c>
    </row>
    <row r="7199" spans="1:4" x14ac:dyDescent="0.2">
      <c r="A7199">
        <v>7138</v>
      </c>
      <c r="B7199" s="138">
        <f>'Expenditures 15-22'!C330</f>
        <v>43177</v>
      </c>
      <c r="D7199" s="2" t="str">
        <f t="shared" si="111"/>
        <v>Error?</v>
      </c>
    </row>
    <row r="7200" spans="1:4" x14ac:dyDescent="0.2">
      <c r="A7200">
        <v>7139</v>
      </c>
      <c r="B7200" s="138">
        <f>'Expenditures 15-22'!D330</f>
        <v>157465</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200642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43177</v>
      </c>
      <c r="D7216" s="2" t="str">
        <f t="shared" si="111"/>
        <v>Error?</v>
      </c>
    </row>
    <row r="7217" spans="1:4" x14ac:dyDescent="0.2">
      <c r="A7217">
        <v>7156</v>
      </c>
      <c r="B7217" s="138">
        <f>'Expenditures 15-22'!D342</f>
        <v>157465</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200642</v>
      </c>
      <c r="D7224" s="2" t="str">
        <f t="shared" si="111"/>
        <v>Error?</v>
      </c>
    </row>
    <row r="7225" spans="1:4" x14ac:dyDescent="0.2">
      <c r="A7225">
        <v>7164</v>
      </c>
      <c r="B7225" s="138">
        <f>'Expenditures 15-22'!K343</f>
        <v>-49132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125590</v>
      </c>
      <c r="D7251" s="2" t="str">
        <f t="shared" si="112"/>
        <v>Error?</v>
      </c>
    </row>
    <row r="7252" spans="1:4" x14ac:dyDescent="0.2">
      <c r="A7252">
        <f t="shared" si="113"/>
        <v>7191</v>
      </c>
      <c r="B7252" s="138">
        <f>'Expenditures 15-22'!D9</f>
        <v>43687</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8066</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135</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8131</v>
      </c>
      <c r="D7263" s="2" t="str">
        <f t="shared" si="112"/>
        <v>Error?</v>
      </c>
    </row>
    <row r="7264" spans="1:4" x14ac:dyDescent="0.2">
      <c r="A7264">
        <f t="shared" si="113"/>
        <v>7203</v>
      </c>
      <c r="B7264" s="138">
        <f>'Expenditures 15-22'!D17</f>
        <v>2666</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10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290497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6647</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6647</v>
      </c>
      <c r="D7719" s="2" t="str">
        <f t="shared" si="126"/>
        <v>Error?</v>
      </c>
      <c r="E7719" s="2" t="s">
        <v>881</v>
      </c>
    </row>
    <row r="7720" spans="1:6" x14ac:dyDescent="0.2">
      <c r="A7720">
        <v>7659</v>
      </c>
      <c r="B7720" s="138">
        <f>'Rest Tax Levies-Tort Im 25'!H14</f>
        <v>21335</v>
      </c>
      <c r="D7720" s="2" t="str">
        <f t="shared" si="126"/>
        <v>Error?</v>
      </c>
      <c r="E7720" s="2" t="s">
        <v>881</v>
      </c>
    </row>
    <row r="7721" spans="1:6" x14ac:dyDescent="0.2">
      <c r="A7721">
        <v>7660</v>
      </c>
      <c r="B7721" s="138">
        <f>'Rest Tax Levies-Tort Im 25'!K14</f>
        <v>6647</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123000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73193.919999999998</v>
      </c>
      <c r="D7797" s="2" t="str">
        <f t="shared" si="127"/>
        <v>Error?</v>
      </c>
      <c r="E7797" s="4" t="s">
        <v>2019</v>
      </c>
    </row>
    <row r="7798" spans="1:5" x14ac:dyDescent="0.2">
      <c r="A7798">
        <v>7737</v>
      </c>
      <c r="B7798" s="138">
        <f>'Contracts Paid in CY 29'!F141</f>
        <v>73193.919999999998</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0" t="s">
        <v>1253</v>
      </c>
      <c r="B2" s="2400"/>
      <c r="C2" s="2400"/>
      <c r="D2" s="2400"/>
      <c r="E2" s="2400"/>
      <c r="F2" s="2400"/>
      <c r="G2" s="2400"/>
      <c r="H2" s="2400"/>
      <c r="I2" s="2400"/>
      <c r="J2" s="2400"/>
      <c r="K2" s="2400"/>
      <c r="L2" s="2400"/>
    </row>
    <row r="3" spans="1:29" ht="13.5" customHeight="1" x14ac:dyDescent="0.2">
      <c r="A3" s="2431" t="s">
        <v>1252</v>
      </c>
      <c r="B3" s="2431"/>
      <c r="C3" s="2431"/>
      <c r="D3" s="2431"/>
      <c r="E3" s="2431"/>
      <c r="F3" s="2431"/>
      <c r="G3" s="2431"/>
      <c r="H3" s="2431"/>
      <c r="I3" s="2431"/>
      <c r="J3" s="2431"/>
      <c r="K3" s="2431"/>
      <c r="L3" s="2431"/>
    </row>
    <row r="4" spans="1:29" ht="13.5" customHeight="1" x14ac:dyDescent="0.2">
      <c r="A4" s="2400" t="s">
        <v>1799</v>
      </c>
      <c r="B4" s="2421"/>
      <c r="C4" s="2421"/>
      <c r="D4" s="2421"/>
      <c r="E4" s="2421"/>
      <c r="F4" s="2421"/>
      <c r="G4" s="2421"/>
      <c r="H4" s="2421"/>
      <c r="I4" s="2421"/>
      <c r="J4" s="2421"/>
      <c r="K4" s="2421"/>
      <c r="L4" s="242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2" t="str">
        <f>COVER!A17</f>
        <v>Earlville CUSD 9</v>
      </c>
      <c r="B7" s="2423"/>
      <c r="C7" s="2423"/>
      <c r="D7" s="2424"/>
      <c r="E7" s="2425">
        <f>COVER!A13</f>
        <v>35050009026</v>
      </c>
      <c r="F7" s="2426"/>
      <c r="G7" s="2432" t="str">
        <f>COVER!T23</f>
        <v>066-005100</v>
      </c>
      <c r="H7" s="2433"/>
      <c r="I7" s="2433"/>
      <c r="J7" s="2433"/>
      <c r="K7" s="2433"/>
      <c r="L7" s="2434"/>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5"/>
      <c r="B9" s="2436"/>
      <c r="C9" s="2436"/>
      <c r="D9" s="2436"/>
      <c r="E9" s="2436"/>
      <c r="F9" s="2437"/>
      <c r="G9" s="2406" t="str">
        <f>COVER!T13</f>
        <v>MACK &amp; ASSOCIATES, P.C.</v>
      </c>
      <c r="H9" s="2438"/>
      <c r="I9" s="2438"/>
      <c r="J9" s="2438"/>
      <c r="K9" s="2438"/>
      <c r="L9" s="2439"/>
    </row>
    <row r="10" spans="1:29" ht="13.5" customHeight="1" x14ac:dyDescent="0.2">
      <c r="A10" s="2412" t="str">
        <f>COVER!A38</f>
        <v>Rich Faivre</v>
      </c>
      <c r="B10" s="2413"/>
      <c r="C10" s="2413"/>
      <c r="D10" s="2413"/>
      <c r="E10" s="2413"/>
      <c r="F10" s="2414"/>
      <c r="G10" s="2406" t="str">
        <f>COVER!T17</f>
        <v>116 E WASHINGTON STREET, SUITE ONE</v>
      </c>
      <c r="H10" s="2407"/>
      <c r="I10" s="2407"/>
      <c r="J10" s="2407"/>
      <c r="K10" s="2407"/>
      <c r="L10" s="2408"/>
    </row>
    <row r="11" spans="1:29" ht="13.5" customHeight="1" x14ac:dyDescent="0.2">
      <c r="A11" s="1185" t="s">
        <v>1599</v>
      </c>
      <c r="B11" s="1186"/>
      <c r="C11" s="1187"/>
      <c r="D11" s="1192"/>
      <c r="E11" s="1187"/>
      <c r="F11" s="1191"/>
      <c r="G11" s="2406" t="str">
        <f>COVER!T19</f>
        <v>MORRIS</v>
      </c>
      <c r="H11" s="2407"/>
      <c r="I11" s="2407"/>
      <c r="J11" s="2407"/>
      <c r="K11" s="2407"/>
      <c r="L11" s="2408"/>
    </row>
    <row r="12" spans="1:29" ht="13.5" customHeight="1" x14ac:dyDescent="0.2">
      <c r="A12" s="2415" t="s">
        <v>1598</v>
      </c>
      <c r="B12" s="2416"/>
      <c r="C12" s="2416"/>
      <c r="D12" s="2416"/>
      <c r="E12" s="2416"/>
      <c r="F12" s="2417"/>
      <c r="G12" s="2409"/>
      <c r="H12" s="2410"/>
      <c r="I12" s="2410"/>
      <c r="J12" s="2410"/>
      <c r="K12" s="2410"/>
      <c r="L12" s="2411"/>
    </row>
    <row r="13" spans="1:29" ht="13.5" customHeight="1" x14ac:dyDescent="0.2">
      <c r="A13" s="2406"/>
      <c r="B13" s="2407"/>
      <c r="C13" s="2407"/>
      <c r="D13" s="2407"/>
      <c r="E13" s="2407"/>
      <c r="F13" s="2408"/>
      <c r="G13" s="2401" t="s">
        <v>1600</v>
      </c>
      <c r="H13" s="2402"/>
      <c r="I13" s="2418" t="str">
        <f>COVER!T25</f>
        <v>tmack@mackcpas.com</v>
      </c>
      <c r="J13" s="2419"/>
      <c r="K13" s="2419"/>
      <c r="L13" s="2420"/>
    </row>
    <row r="14" spans="1:29" ht="13.5" customHeight="1" x14ac:dyDescent="0.2">
      <c r="A14" s="2406" t="str">
        <f>COVER!A19</f>
        <v>415 W UNION STREET</v>
      </c>
      <c r="B14" s="2407"/>
      <c r="C14" s="2407"/>
      <c r="D14" s="2407"/>
      <c r="E14" s="2407"/>
      <c r="F14" s="2408"/>
      <c r="G14" s="1196" t="s">
        <v>1247</v>
      </c>
      <c r="H14" s="1194"/>
      <c r="I14" s="1194"/>
      <c r="J14" s="1194"/>
      <c r="K14" s="1194"/>
      <c r="L14" s="1195"/>
    </row>
    <row r="15" spans="1:29" ht="13.5" customHeight="1" x14ac:dyDescent="0.2">
      <c r="A15" s="2406" t="str">
        <f>COVER!A21</f>
        <v xml:space="preserve">EARLVILLE  </v>
      </c>
      <c r="B15" s="2407"/>
      <c r="C15" s="2407"/>
      <c r="D15" s="2407"/>
      <c r="E15" s="2407"/>
      <c r="F15" s="2408"/>
      <c r="G15" s="2403" t="str">
        <f>COVER!T15</f>
        <v>TAWNYA MACK, CPA</v>
      </c>
      <c r="H15" s="2404"/>
      <c r="I15" s="2404"/>
      <c r="J15" s="2404"/>
      <c r="K15" s="2404"/>
      <c r="L15" s="2405"/>
    </row>
    <row r="16" spans="1:29" ht="12.2" customHeight="1" x14ac:dyDescent="0.2">
      <c r="A16" s="2428">
        <f>COVER!A25</f>
        <v>60518</v>
      </c>
      <c r="B16" s="2429"/>
      <c r="C16" s="2429"/>
      <c r="D16" s="2429"/>
      <c r="E16" s="2429"/>
      <c r="F16" s="2430"/>
      <c r="G16" s="2440"/>
      <c r="H16" s="2441"/>
      <c r="I16" s="2441"/>
      <c r="J16" s="2441"/>
      <c r="K16" s="2441"/>
      <c r="L16" s="2442"/>
    </row>
    <row r="17" spans="1:13" ht="12.2" customHeight="1" x14ac:dyDescent="0.2">
      <c r="A17" s="2443"/>
      <c r="B17" s="2429"/>
      <c r="C17" s="2429"/>
      <c r="D17" s="2429"/>
      <c r="E17" s="2429"/>
      <c r="F17" s="2430"/>
      <c r="G17" s="1196" t="s">
        <v>1246</v>
      </c>
      <c r="H17" s="1194"/>
      <c r="I17" s="1194"/>
      <c r="J17" s="1194"/>
      <c r="K17" s="1198" t="s">
        <v>1245</v>
      </c>
      <c r="L17" s="1191"/>
      <c r="M17" s="1184"/>
    </row>
    <row r="18" spans="1:13" ht="12.2" customHeight="1" x14ac:dyDescent="0.2">
      <c r="A18" s="2412"/>
      <c r="B18" s="2413"/>
      <c r="C18" s="2413"/>
      <c r="D18" s="2413"/>
      <c r="E18" s="2413"/>
      <c r="F18" s="2414"/>
      <c r="G18" s="2422" t="str">
        <f>COVER!T21</f>
        <v>815-942-3306</v>
      </c>
      <c r="H18" s="2423"/>
      <c r="I18" s="2423"/>
      <c r="J18" s="2423"/>
      <c r="K18" s="2422" t="str">
        <f>COVER!X21</f>
        <v>815-942-9430</v>
      </c>
      <c r="L18" s="242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Earlville CUSD 9</v>
      </c>
      <c r="B1" s="2421"/>
      <c r="C1" s="2421"/>
      <c r="D1" s="2421"/>
    </row>
    <row r="2" spans="1:11" s="1215" customFormat="1" ht="12.75" x14ac:dyDescent="0.2">
      <c r="A2" s="2445">
        <f>'Single Audit Cover'!E7</f>
        <v>35050009026</v>
      </c>
      <c r="B2" s="2446"/>
      <c r="C2" s="2446"/>
      <c r="D2" s="2446"/>
    </row>
    <row r="3" spans="1:11" s="1215" customFormat="1" ht="12.75" x14ac:dyDescent="0.2">
      <c r="A3" s="2444" t="s">
        <v>1593</v>
      </c>
      <c r="B3" s="2421"/>
      <c r="C3" s="2421"/>
      <c r="D3" s="242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7"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Earlville CUSD 9</v>
      </c>
      <c r="B1" s="2448"/>
      <c r="C1" s="2448"/>
      <c r="D1" s="2448"/>
      <c r="E1" s="2448"/>
    </row>
    <row r="2" spans="1:5" x14ac:dyDescent="0.2">
      <c r="A2" s="2449">
        <f>'Single Audit Cover'!E7</f>
        <v>35050009026</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435397</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21740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-9698</v>
      </c>
    </row>
    <row r="19" spans="1:4" ht="13.5" thickBot="1" x14ac:dyDescent="0.25">
      <c r="A19" s="1265" t="s">
        <v>1297</v>
      </c>
      <c r="D19" s="1266">
        <f>SUM(D10:D17)</f>
        <v>447439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447439</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0</v>
      </c>
    </row>
    <row r="49" spans="2:4" x14ac:dyDescent="0.2">
      <c r="B49" s="1272" t="s">
        <v>1288</v>
      </c>
      <c r="C49" s="1272"/>
      <c r="D49" s="1273">
        <f>D32-D47</f>
        <v>447439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1" t="str">
        <f>'Single Audit Cover'!A7</f>
        <v>Earlville CUSD 9</v>
      </c>
      <c r="B1" s="2461"/>
      <c r="C1" s="2461"/>
      <c r="D1" s="2461"/>
      <c r="E1" s="2461"/>
      <c r="F1" s="2461"/>
    </row>
    <row r="2" spans="1:7" ht="13.5" customHeight="1" x14ac:dyDescent="0.2">
      <c r="A2" s="2462">
        <f>'Single Audit Cover'!E7</f>
        <v>35050009026</v>
      </c>
      <c r="B2" s="2462"/>
      <c r="C2" s="2462"/>
      <c r="D2" s="2462"/>
      <c r="E2" s="2462"/>
      <c r="F2" s="2462"/>
      <c r="G2" s="1275"/>
    </row>
    <row r="3" spans="1:7" ht="15.75" customHeight="1" x14ac:dyDescent="0.2">
      <c r="A3" s="2463" t="s">
        <v>1333</v>
      </c>
      <c r="B3" s="2463"/>
      <c r="C3" s="2463"/>
      <c r="D3" s="2463"/>
      <c r="E3" s="2463"/>
      <c r="F3" s="2463"/>
    </row>
    <row r="4" spans="1:7" ht="13.5" customHeight="1" x14ac:dyDescent="0.2">
      <c r="A4" s="2464" t="str">
        <f>'Single Audit Cover'!A4</f>
        <v>Year Ending June 30, 2018</v>
      </c>
      <c r="B4" s="2464"/>
      <c r="C4" s="2464"/>
      <c r="D4" s="2464"/>
      <c r="E4" s="2464"/>
      <c r="F4" s="2464"/>
    </row>
    <row r="5" spans="1:7" ht="8.25" customHeight="1" x14ac:dyDescent="0.2">
      <c r="C5" s="317"/>
      <c r="D5" s="317"/>
    </row>
    <row r="6" spans="1:7" ht="13.5" customHeight="1" x14ac:dyDescent="0.2">
      <c r="A6" s="1276" t="s">
        <v>1831</v>
      </c>
      <c r="C6" s="317"/>
      <c r="D6" s="317"/>
    </row>
    <row r="7" spans="1:7" ht="60.95" customHeight="1" x14ac:dyDescent="0.2">
      <c r="A7" s="2460" t="s">
        <v>1832</v>
      </c>
      <c r="B7" s="2460"/>
      <c r="C7" s="2460"/>
      <c r="D7" s="2460"/>
      <c r="E7" s="2460"/>
      <c r="F7" s="2460"/>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0" t="s">
        <v>1834</v>
      </c>
      <c r="B13" s="2460"/>
      <c r="C13" s="2460"/>
      <c r="D13" s="2460"/>
      <c r="E13" s="2460"/>
      <c r="F13" s="2460"/>
    </row>
    <row r="14" spans="1:7" ht="9.75" customHeight="1" x14ac:dyDescent="0.2">
      <c r="C14" s="1260"/>
      <c r="D14" s="1260"/>
    </row>
    <row r="15" spans="1:7" ht="13.5" customHeight="1" x14ac:dyDescent="0.2">
      <c r="C15" s="1871" t="s">
        <v>1332</v>
      </c>
      <c r="D15" s="2458" t="s">
        <v>1331</v>
      </c>
      <c r="E15" s="2458"/>
      <c r="F15" s="2458"/>
    </row>
    <row r="16" spans="1:7" ht="13.5" customHeight="1" x14ac:dyDescent="0.2">
      <c r="A16" s="1282"/>
      <c r="B16" s="1276" t="s">
        <v>1330</v>
      </c>
      <c r="C16" s="1871" t="s">
        <v>1329</v>
      </c>
      <c r="D16" s="2459" t="s">
        <v>1670</v>
      </c>
      <c r="E16" s="2459"/>
      <c r="F16" s="2459"/>
    </row>
    <row r="17" spans="1:6" ht="20.45" customHeight="1" x14ac:dyDescent="0.2">
      <c r="A17" s="1283"/>
      <c r="B17" s="1284"/>
      <c r="C17" s="1285"/>
      <c r="D17" s="2453"/>
      <c r="E17" s="2453"/>
      <c r="F17" s="2453"/>
    </row>
    <row r="18" spans="1:6" ht="20.65" customHeight="1" x14ac:dyDescent="0.2">
      <c r="A18" s="1283"/>
      <c r="B18" s="1284"/>
      <c r="C18" s="1285"/>
      <c r="D18" s="2453"/>
      <c r="E18" s="2453"/>
      <c r="F18" s="2453"/>
    </row>
    <row r="19" spans="1:6" ht="20.65" customHeight="1" x14ac:dyDescent="0.2">
      <c r="A19" s="1283"/>
      <c r="B19" s="1284"/>
      <c r="C19" s="1285"/>
      <c r="D19" s="2453"/>
      <c r="E19" s="2453"/>
      <c r="F19" s="2453"/>
    </row>
    <row r="20" spans="1:6" ht="20.65" customHeight="1" x14ac:dyDescent="0.2">
      <c r="A20" s="1283"/>
      <c r="B20" s="1284"/>
      <c r="C20" s="1285"/>
      <c r="D20" s="2453"/>
      <c r="E20" s="2453"/>
      <c r="F20" s="2453"/>
    </row>
    <row r="21" spans="1:6" ht="20.65" customHeight="1" x14ac:dyDescent="0.2">
      <c r="A21" s="1283"/>
      <c r="B21" s="1284"/>
      <c r="C21" s="1285"/>
      <c r="D21" s="2453"/>
      <c r="E21" s="2453"/>
      <c r="F21" s="2453"/>
    </row>
    <row r="22" spans="1:6" ht="20.65" customHeight="1" x14ac:dyDescent="0.2">
      <c r="A22" s="1283"/>
      <c r="B22" s="1284"/>
      <c r="C22" s="1285"/>
      <c r="D22" s="2453"/>
      <c r="E22" s="2453"/>
      <c r="F22" s="2453"/>
    </row>
    <row r="23" spans="1:6" ht="20.65" customHeight="1" x14ac:dyDescent="0.2">
      <c r="A23" s="1283"/>
      <c r="B23" s="1284"/>
      <c r="C23" s="1285"/>
      <c r="D23" s="2453"/>
      <c r="E23" s="2453"/>
      <c r="F23" s="2453"/>
    </row>
    <row r="24" spans="1:6" ht="20.65" customHeight="1" x14ac:dyDescent="0.2">
      <c r="A24" s="1283"/>
      <c r="B24" s="1284"/>
      <c r="C24" s="1285"/>
      <c r="D24" s="2453"/>
      <c r="E24" s="2453"/>
      <c r="F24" s="2453"/>
    </row>
    <row r="25" spans="1:6" ht="20.65" customHeight="1" x14ac:dyDescent="0.2">
      <c r="A25" s="1283"/>
      <c r="B25" s="1284"/>
      <c r="C25" s="1285"/>
      <c r="D25" s="2453"/>
      <c r="E25" s="2453"/>
      <c r="F25" s="2453"/>
    </row>
    <row r="26" spans="1:6" ht="20.65" customHeight="1" x14ac:dyDescent="0.2">
      <c r="A26" s="1283"/>
      <c r="B26" s="1284"/>
      <c r="C26" s="1285"/>
      <c r="D26" s="2453"/>
      <c r="E26" s="2453"/>
      <c r="F26" s="2453"/>
    </row>
    <row r="27" spans="1:6" ht="20.65" customHeight="1" x14ac:dyDescent="0.2">
      <c r="A27" s="1283"/>
      <c r="B27" s="1284"/>
      <c r="C27" s="1285"/>
      <c r="D27" s="2453"/>
      <c r="E27" s="2453"/>
      <c r="F27" s="2453"/>
    </row>
    <row r="28" spans="1:6" ht="20.65" customHeight="1" x14ac:dyDescent="0.2">
      <c r="A28" s="1283"/>
      <c r="B28" s="1284"/>
      <c r="C28" s="1285"/>
      <c r="D28" s="2453"/>
      <c r="E28" s="2453"/>
      <c r="F28" s="2453"/>
    </row>
    <row r="29" spans="1:6" ht="20.65" customHeight="1" x14ac:dyDescent="0.2">
      <c r="A29" s="1283"/>
      <c r="B29" s="1284"/>
      <c r="C29" s="1285"/>
      <c r="D29" s="2453"/>
      <c r="E29" s="2453"/>
      <c r="F29" s="2453"/>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4" t="s">
        <v>1835</v>
      </c>
      <c r="B32" s="2454"/>
      <c r="C32" s="2454"/>
      <c r="D32" s="2454"/>
      <c r="E32" s="2454"/>
      <c r="F32" s="2454"/>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55">
        <f>+C33+C34</f>
        <v>0</v>
      </c>
      <c r="F34" s="2456"/>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7" t="s">
        <v>1672</v>
      </c>
      <c r="C49" s="2457"/>
      <c r="D49" s="2457"/>
      <c r="E49" s="1399"/>
    </row>
    <row r="50" spans="1:5" s="1300" customFormat="1" ht="3.75" customHeight="1" x14ac:dyDescent="0.2">
      <c r="A50" s="1299"/>
      <c r="B50" s="1870"/>
      <c r="C50" s="1870"/>
      <c r="D50" s="1870"/>
      <c r="E50" s="1399"/>
    </row>
    <row r="51" spans="1:5" s="1300" customFormat="1" ht="20.25" customHeight="1" x14ac:dyDescent="0.2">
      <c r="A51" s="1301">
        <v>6</v>
      </c>
      <c r="B51" s="2452" t="s">
        <v>1632</v>
      </c>
      <c r="C51" s="2452"/>
      <c r="D51" s="2452"/>
    </row>
    <row r="52" spans="1:5" ht="14.25" customHeight="1" x14ac:dyDescent="0.2">
      <c r="A52" s="1301"/>
      <c r="B52" s="2452"/>
      <c r="C52" s="2452"/>
      <c r="D52" s="245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Earlville CUSD 9</v>
      </c>
      <c r="C1" s="2465"/>
      <c r="D1" s="2465"/>
      <c r="E1" s="2465"/>
      <c r="F1" s="2465"/>
      <c r="G1" s="2465"/>
      <c r="H1" s="2465"/>
      <c r="I1" s="2465"/>
      <c r="J1" s="2465"/>
      <c r="K1" s="2465"/>
      <c r="L1" s="2465"/>
      <c r="M1" s="2465"/>
    </row>
    <row r="2" spans="2:14" ht="15" x14ac:dyDescent="0.2">
      <c r="B2" s="2462">
        <f>'Single Audit Cover'!E7</f>
        <v>35050009026</v>
      </c>
      <c r="C2" s="2462"/>
      <c r="D2" s="2462"/>
      <c r="E2" s="2462"/>
      <c r="F2" s="2462"/>
      <c r="G2" s="2462"/>
      <c r="H2" s="2462"/>
      <c r="I2" s="2462"/>
      <c r="J2" s="2462"/>
      <c r="K2" s="2462"/>
      <c r="L2" s="2462"/>
      <c r="M2" s="2462"/>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t="s">
        <v>2095</v>
      </c>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2086</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t="s">
        <v>2096</v>
      </c>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horizontalDpi="4294967293"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9" t="str">
        <f>'Single Audit Cover'!A7</f>
        <v>Earlville CUSD 9</v>
      </c>
      <c r="C1" s="2480"/>
      <c r="D1" s="2480"/>
      <c r="E1" s="2480"/>
      <c r="F1" s="2480"/>
      <c r="G1" s="2480"/>
      <c r="H1" s="2480"/>
      <c r="I1" s="2480"/>
      <c r="J1" s="1422"/>
    </row>
    <row r="2" spans="2:10" s="317" customFormat="1" ht="12.75" customHeight="1" x14ac:dyDescent="0.2">
      <c r="B2" s="2481">
        <f>'Single Audit Cover'!E7</f>
        <v>35050009026</v>
      </c>
      <c r="C2" s="2482"/>
      <c r="D2" s="2482"/>
      <c r="E2" s="2482"/>
      <c r="F2" s="2482"/>
      <c r="G2" s="2482"/>
      <c r="H2" s="2482"/>
      <c r="I2" s="2482"/>
      <c r="J2" s="1422"/>
    </row>
    <row r="3" spans="2:10" s="317" customFormat="1" ht="12.75" customHeight="1" x14ac:dyDescent="0.2">
      <c r="B3" s="2483" t="s">
        <v>1347</v>
      </c>
      <c r="C3" s="2484"/>
      <c r="D3" s="2484"/>
      <c r="E3" s="2484"/>
      <c r="F3" s="2484"/>
      <c r="G3" s="2484"/>
      <c r="H3" s="2484"/>
      <c r="I3" s="2484"/>
      <c r="J3" s="1423"/>
    </row>
    <row r="4" spans="2:10" s="317" customFormat="1" ht="12.75" customHeight="1" x14ac:dyDescent="0.2">
      <c r="B4" s="2483" t="str">
        <f>'Single Audit Cover'!A4</f>
        <v>Year Ending June 30, 2018</v>
      </c>
      <c r="C4" s="2484"/>
      <c r="D4" s="2484"/>
      <c r="E4" s="2484"/>
      <c r="F4" s="2484"/>
      <c r="G4" s="2484"/>
      <c r="H4" s="2484"/>
      <c r="I4" s="2484"/>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3" t="s">
        <v>1346</v>
      </c>
      <c r="C7" s="2484"/>
      <c r="D7" s="2484"/>
      <c r="E7" s="2484"/>
      <c r="F7" s="2484"/>
      <c r="G7" s="2484"/>
      <c r="H7" s="2484"/>
      <c r="I7" s="2484"/>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5"/>
      <c r="D11" s="2485"/>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6"/>
      <c r="E29" s="2486"/>
      <c r="F29" s="2486"/>
      <c r="G29" s="2486"/>
      <c r="H29" s="2486"/>
      <c r="I29" s="2486"/>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7" t="s">
        <v>1854</v>
      </c>
      <c r="D37" s="2488"/>
      <c r="E37" s="2488"/>
      <c r="F37" s="2489"/>
      <c r="G37" s="2487" t="s">
        <v>1674</v>
      </c>
      <c r="H37" s="2488"/>
      <c r="I37" s="2489"/>
    </row>
    <row r="38" spans="2:9" ht="16.5" customHeight="1" x14ac:dyDescent="0.2">
      <c r="B38" s="1444"/>
      <c r="C38" s="2475"/>
      <c r="D38" s="2476"/>
      <c r="E38" s="2476"/>
      <c r="F38" s="2477"/>
      <c r="G38" s="2490"/>
      <c r="H38" s="2491"/>
      <c r="I38" s="2492"/>
    </row>
    <row r="39" spans="2:9" ht="16.5" customHeight="1" x14ac:dyDescent="0.2">
      <c r="B39" s="1444"/>
      <c r="C39" s="2475"/>
      <c r="D39" s="2476"/>
      <c r="E39" s="2476"/>
      <c r="F39" s="2477"/>
      <c r="G39" s="2478"/>
      <c r="H39" s="2478"/>
      <c r="I39" s="2478"/>
    </row>
    <row r="40" spans="2:9" ht="16.5" customHeight="1" x14ac:dyDescent="0.2">
      <c r="B40" s="1444"/>
      <c r="C40" s="2475"/>
      <c r="D40" s="2476"/>
      <c r="E40" s="2476"/>
      <c r="F40" s="2477"/>
      <c r="G40" s="2478"/>
      <c r="H40" s="2478"/>
      <c r="I40" s="2478"/>
    </row>
    <row r="41" spans="2:9" ht="16.5" customHeight="1" x14ac:dyDescent="0.2">
      <c r="B41" s="1444"/>
      <c r="C41" s="2475"/>
      <c r="D41" s="2476"/>
      <c r="E41" s="2476"/>
      <c r="F41" s="2477"/>
      <c r="G41" s="2478"/>
      <c r="H41" s="2478"/>
      <c r="I41" s="2478"/>
    </row>
    <row r="42" spans="2:9" ht="16.5" customHeight="1" x14ac:dyDescent="0.2">
      <c r="B42" s="1444"/>
      <c r="C42" s="2475"/>
      <c r="D42" s="2476"/>
      <c r="E42" s="2476"/>
      <c r="F42" s="2477"/>
      <c r="G42" s="2478"/>
      <c r="H42" s="2478"/>
      <c r="I42" s="2478"/>
    </row>
    <row r="43" spans="2:9" ht="16.5" customHeight="1" x14ac:dyDescent="0.2">
      <c r="B43" s="1444"/>
      <c r="C43" s="2468" t="s">
        <v>1675</v>
      </c>
      <c r="D43" s="2469"/>
      <c r="E43" s="2469"/>
      <c r="F43" s="2470"/>
      <c r="G43" s="2471">
        <f>SUM(G38:I42)</f>
        <v>0</v>
      </c>
      <c r="H43" s="2471"/>
      <c r="I43" s="2471"/>
    </row>
    <row r="44" spans="2:9" ht="12.75" customHeight="1" x14ac:dyDescent="0.2"/>
    <row r="45" spans="2:9" ht="12.75" customHeight="1" x14ac:dyDescent="0.2">
      <c r="B45" s="1435" t="s">
        <v>1951</v>
      </c>
      <c r="D45" s="2472">
        <v>0</v>
      </c>
      <c r="E45" s="2473"/>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4"/>
      <c r="F49" s="2474"/>
      <c r="G49" s="2474"/>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Earlville CUSD 9</v>
      </c>
      <c r="C1" s="2479"/>
      <c r="D1" s="2479"/>
      <c r="E1" s="2479"/>
      <c r="F1" s="2479"/>
      <c r="G1" s="2479"/>
      <c r="H1" s="2479"/>
      <c r="I1" s="2479"/>
      <c r="J1" s="2479"/>
      <c r="K1" s="2479"/>
      <c r="L1" s="1374"/>
      <c r="M1" s="1374"/>
    </row>
    <row r="2" spans="1:13" ht="12" customHeight="1" x14ac:dyDescent="0.2">
      <c r="B2" s="2481">
        <f>'Single Audit Cover'!E7</f>
        <v>35050009026</v>
      </c>
      <c r="C2" s="2481"/>
      <c r="D2" s="2481"/>
      <c r="E2" s="2481"/>
      <c r="F2" s="2481"/>
      <c r="G2" s="2481"/>
      <c r="H2" s="2481"/>
      <c r="I2" s="2481"/>
      <c r="J2" s="2481"/>
      <c r="K2" s="2481"/>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3"/>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Earlville CUSD 9</v>
      </c>
      <c r="C1" s="2502"/>
      <c r="D1" s="2502"/>
      <c r="E1" s="2502"/>
      <c r="F1" s="2502"/>
      <c r="G1" s="2502"/>
      <c r="H1" s="2502"/>
      <c r="I1" s="2502"/>
      <c r="J1" s="2502"/>
      <c r="K1" s="2502"/>
      <c r="L1" s="1465"/>
    </row>
    <row r="2" spans="1:12" ht="12.75" customHeight="1" x14ac:dyDescent="0.2">
      <c r="B2" s="2503">
        <f>'Single Audit Cover'!E7</f>
        <v>35050009026</v>
      </c>
      <c r="C2" s="2503"/>
      <c r="D2" s="2503"/>
      <c r="E2" s="2503"/>
      <c r="F2" s="2503"/>
      <c r="G2" s="2503"/>
      <c r="H2" s="2503"/>
      <c r="I2" s="2503"/>
      <c r="J2" s="2503"/>
      <c r="K2" s="2503"/>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4" t="s">
        <v>1375</v>
      </c>
      <c r="C6" s="2504"/>
      <c r="D6" s="2504"/>
      <c r="E6" s="2504"/>
      <c r="F6" s="2504"/>
      <c r="G6" s="2504"/>
      <c r="H6" s="2504"/>
      <c r="I6" s="2504"/>
      <c r="J6" s="2504"/>
      <c r="K6" s="2504"/>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6"/>
      <c r="G12" s="2486"/>
      <c r="H12" s="2486"/>
      <c r="I12" s="2486"/>
      <c r="J12" s="2486"/>
      <c r="K12" s="248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9"/>
      <c r="E14" s="2499"/>
      <c r="F14" s="2499"/>
      <c r="H14" s="1475" t="s">
        <v>1370</v>
      </c>
      <c r="I14" s="2500"/>
      <c r="J14" s="2500"/>
      <c r="K14" s="2500"/>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0"/>
      <c r="E16" s="2500"/>
      <c r="F16" s="2500"/>
      <c r="G16" s="2500"/>
      <c r="H16" s="2500"/>
      <c r="I16" s="2500"/>
      <c r="J16" s="2500"/>
      <c r="K16" s="2500"/>
      <c r="L16" s="322"/>
    </row>
    <row r="17" spans="2:12" ht="13.5" customHeight="1" x14ac:dyDescent="0.2">
      <c r="B17" s="1387" t="s">
        <v>1368</v>
      </c>
      <c r="C17" s="1387"/>
      <c r="D17" s="2501"/>
      <c r="E17" s="2501"/>
      <c r="F17" s="2501"/>
      <c r="G17" s="2501"/>
      <c r="H17" s="2501"/>
      <c r="I17" s="2501"/>
      <c r="J17" s="2501"/>
      <c r="K17" s="2501"/>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9" t="str">
        <f>'Single Audit Cover'!A7</f>
        <v>Earlville CUSD 9</v>
      </c>
      <c r="C1" s="2479"/>
      <c r="D1" s="2479"/>
      <c r="E1" s="1491"/>
    </row>
    <row r="2" spans="2:5" s="1282" customFormat="1" ht="12.75" customHeight="1" x14ac:dyDescent="0.2">
      <c r="B2" s="2481">
        <f>'Single Audit Cover'!E7</f>
        <v>35050009026</v>
      </c>
      <c r="C2" s="2481"/>
      <c r="D2" s="2481"/>
      <c r="E2" s="1492"/>
    </row>
    <row r="3" spans="2:5" ht="12.75" customHeight="1" x14ac:dyDescent="0.2">
      <c r="B3" s="2495" t="s">
        <v>1869</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57111585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3.9725999999999997E-2</v>
      </c>
      <c r="E10" s="356" t="s">
        <v>1062</v>
      </c>
      <c r="F10" s="355">
        <v>7.0499999999999998E-3</v>
      </c>
      <c r="G10" s="356" t="s">
        <v>1062</v>
      </c>
      <c r="H10" s="355">
        <v>2E-3</v>
      </c>
      <c r="I10" s="356" t="s">
        <v>1063</v>
      </c>
      <c r="J10" s="1754">
        <f>ROUND(D10+F10+H10,5)</f>
        <v>4.8779999999999997E-2</v>
      </c>
      <c r="K10" s="222"/>
      <c r="L10" s="355">
        <v>5.0000000000000001E-4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5120616</v>
      </c>
      <c r="E16" s="356"/>
      <c r="F16" s="1755">
        <f>SUM('Acct Summary 7-8'!C17,'Acct Summary 7-8'!D17,'Acct Summary 7-8'!F17)</f>
        <v>4598701</v>
      </c>
      <c r="G16" s="356"/>
      <c r="H16" s="1755">
        <f>SUM(D16-F16)</f>
        <v>521915</v>
      </c>
      <c r="I16" s="222"/>
      <c r="J16" s="1755">
        <f>SUM('Acct Summary 7-8'!C81,'Acct Summary 7-8'!D81,'Acct Summary 7-8'!F81,'Acct Summary 7-8'!I81)</f>
        <v>4143094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7881398.7300000004</v>
      </c>
      <c r="I31" s="368"/>
      <c r="J31" s="222"/>
      <c r="K31" s="222"/>
      <c r="L31" s="222"/>
      <c r="M31" s="222"/>
    </row>
    <row r="32" spans="1:13" ht="13.35" customHeight="1" x14ac:dyDescent="0.2">
      <c r="B32" s="369" t="s">
        <v>2097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3545000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1" sqref="D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Earlville CUSD 9</v>
      </c>
      <c r="E7" s="391"/>
      <c r="G7" s="252"/>
      <c r="H7" s="387"/>
      <c r="I7" s="387"/>
      <c r="J7" s="387"/>
      <c r="K7" s="387"/>
      <c r="L7" s="329"/>
      <c r="M7" s="329"/>
      <c r="N7" s="329"/>
      <c r="O7" s="329"/>
      <c r="P7" s="329"/>
    </row>
    <row r="8" spans="1:18" ht="12.75" x14ac:dyDescent="0.2">
      <c r="A8" s="329"/>
      <c r="B8" s="329"/>
      <c r="C8" s="389" t="s">
        <v>1187</v>
      </c>
      <c r="D8" s="392">
        <f>COVER!A13</f>
        <v>35050009026</v>
      </c>
      <c r="E8" s="393"/>
      <c r="G8" s="329"/>
      <c r="H8" s="329"/>
      <c r="I8" s="329"/>
      <c r="J8" s="329"/>
      <c r="K8" s="329"/>
      <c r="L8" s="329"/>
      <c r="M8" s="329"/>
      <c r="N8" s="329"/>
      <c r="O8" s="329"/>
      <c r="P8" s="329"/>
    </row>
    <row r="9" spans="1:18" ht="12.75" x14ac:dyDescent="0.2">
      <c r="A9" s="329"/>
      <c r="B9" s="329"/>
      <c r="C9" s="389" t="s">
        <v>737</v>
      </c>
      <c r="D9" s="394" t="str">
        <f>COVER!A15</f>
        <v>LASALLE, DEKALB, AND LEE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4143094</v>
      </c>
      <c r="I12" s="404"/>
      <c r="J12" s="404"/>
      <c r="K12" s="405">
        <f>TRUNC((H12/H13*100000),5)/100000</f>
        <v>0.80910070189999994</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5120616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4598701</v>
      </c>
      <c r="I17" s="404"/>
      <c r="J17" s="416"/>
      <c r="K17" s="405">
        <f>TRUNC((H17/H18*100000),5)/100000</f>
        <v>0.89807573929999995</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5120616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4179837</v>
      </c>
      <c r="I24" s="422"/>
      <c r="J24" s="422"/>
      <c r="K24" s="423">
        <f>TRUNC(((H24/H25*100000)/100000),2)</f>
        <v>327.20999999999998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12774.16944</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2368017.6488600001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3545000</v>
      </c>
      <c r="I32" s="420"/>
      <c r="J32" s="420"/>
      <c r="K32" s="423">
        <f>TRUNC(100-((((H32/H33*100))*100)/100),2)</f>
        <v>55.02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7881398.7300000004</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I1" sqref="I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81"/>
      <c r="D3" s="1582"/>
      <c r="E3" s="1582"/>
      <c r="F3" s="1582"/>
      <c r="G3" s="1582"/>
      <c r="H3" s="1582"/>
      <c r="I3" s="1582"/>
      <c r="J3" s="1582"/>
      <c r="K3" s="1582"/>
      <c r="L3" s="1582"/>
      <c r="M3" s="1583"/>
      <c r="N3" s="1584"/>
    </row>
    <row r="4" spans="1:14" ht="13.5" customHeight="1" x14ac:dyDescent="0.2">
      <c r="A4" s="463" t="s">
        <v>1750</v>
      </c>
      <c r="B4" s="464"/>
      <c r="C4" s="465">
        <v>1659772</v>
      </c>
      <c r="D4" s="466">
        <v>49096</v>
      </c>
      <c r="E4" s="466">
        <v>41306</v>
      </c>
      <c r="F4" s="466">
        <v>185494</v>
      </c>
      <c r="G4" s="466">
        <v>121664</v>
      </c>
      <c r="H4" s="466"/>
      <c r="I4" s="466">
        <v>684</v>
      </c>
      <c r="J4" s="467">
        <v>56007</v>
      </c>
      <c r="K4" s="466">
        <v>24741</v>
      </c>
      <c r="L4" s="466">
        <v>50805</v>
      </c>
      <c r="M4" s="468"/>
      <c r="N4" s="469"/>
    </row>
    <row r="5" spans="1:14" x14ac:dyDescent="0.2">
      <c r="A5" s="463" t="s">
        <v>1049</v>
      </c>
      <c r="B5" s="470">
        <v>120</v>
      </c>
      <c r="C5" s="465">
        <v>1264137</v>
      </c>
      <c r="D5" s="466">
        <v>628311</v>
      </c>
      <c r="E5" s="466">
        <v>30271</v>
      </c>
      <c r="F5" s="466">
        <v>322373</v>
      </c>
      <c r="G5" s="466">
        <v>87084</v>
      </c>
      <c r="H5" s="466"/>
      <c r="I5" s="466">
        <v>69970</v>
      </c>
      <c r="J5" s="467">
        <v>108831</v>
      </c>
      <c r="K5" s="471">
        <v>26474</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2923909</v>
      </c>
      <c r="D13" s="1759">
        <f t="shared" ref="D13:L13" si="0">SUM(D4:D12)</f>
        <v>677407</v>
      </c>
      <c r="E13" s="1759">
        <f t="shared" si="0"/>
        <v>71577</v>
      </c>
      <c r="F13" s="1759">
        <f t="shared" si="0"/>
        <v>507867</v>
      </c>
      <c r="G13" s="1759">
        <f t="shared" si="0"/>
        <v>208748</v>
      </c>
      <c r="H13" s="1759">
        <f t="shared" si="0"/>
        <v>0</v>
      </c>
      <c r="I13" s="1759">
        <f t="shared" si="0"/>
        <v>70654</v>
      </c>
      <c r="J13" s="1759">
        <f t="shared" si="0"/>
        <v>164838</v>
      </c>
      <c r="K13" s="1759">
        <f t="shared" si="0"/>
        <v>51215</v>
      </c>
      <c r="L13" s="1759">
        <f t="shared" si="0"/>
        <v>50805</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160300</v>
      </c>
      <c r="N16" s="484"/>
    </row>
    <row r="17" spans="1:14" s="485" customFormat="1" ht="12.75" customHeight="1" x14ac:dyDescent="0.2">
      <c r="A17" s="482" t="s">
        <v>1470</v>
      </c>
      <c r="B17" s="483">
        <v>230</v>
      </c>
      <c r="C17" s="477"/>
      <c r="D17" s="477"/>
      <c r="E17" s="477"/>
      <c r="F17" s="477"/>
      <c r="G17" s="477"/>
      <c r="H17" s="477"/>
      <c r="I17" s="477"/>
      <c r="J17" s="477"/>
      <c r="K17" s="477"/>
      <c r="L17" s="477"/>
      <c r="M17" s="467">
        <v>4576649</v>
      </c>
      <c r="N17" s="484"/>
    </row>
    <row r="18" spans="1:14" s="485" customFormat="1" ht="12.75" customHeight="1" x14ac:dyDescent="0.2">
      <c r="A18" s="482" t="s">
        <v>1471</v>
      </c>
      <c r="B18" s="483">
        <v>240</v>
      </c>
      <c r="C18" s="477"/>
      <c r="D18" s="477"/>
      <c r="E18" s="477"/>
      <c r="F18" s="477"/>
      <c r="G18" s="477"/>
      <c r="H18" s="477"/>
      <c r="I18" s="477"/>
      <c r="J18" s="477"/>
      <c r="K18" s="477"/>
      <c r="L18" s="477"/>
      <c r="M18" s="467">
        <v>8128</v>
      </c>
      <c r="N18" s="484"/>
    </row>
    <row r="19" spans="1:14" s="485" customFormat="1" ht="12.75" customHeight="1" x14ac:dyDescent="0.2">
      <c r="A19" s="482" t="s">
        <v>1472</v>
      </c>
      <c r="B19" s="483">
        <v>250</v>
      </c>
      <c r="C19" s="477"/>
      <c r="D19" s="477"/>
      <c r="E19" s="477"/>
      <c r="F19" s="477"/>
      <c r="G19" s="477"/>
      <c r="H19" s="477"/>
      <c r="I19" s="477"/>
      <c r="J19" s="477"/>
      <c r="K19" s="477"/>
      <c r="L19" s="477"/>
      <c r="M19" s="467">
        <v>279724</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71577</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3473423</v>
      </c>
    </row>
    <row r="23" spans="1:14" ht="13.5" customHeight="1" thickBot="1" x14ac:dyDescent="0.25">
      <c r="A23" s="1758" t="s">
        <v>664</v>
      </c>
      <c r="B23" s="1763"/>
      <c r="C23" s="468"/>
      <c r="D23" s="468"/>
      <c r="E23" s="468"/>
      <c r="F23" s="468"/>
      <c r="G23" s="468"/>
      <c r="H23" s="468"/>
      <c r="I23" s="468"/>
      <c r="J23" s="468"/>
      <c r="K23" s="468"/>
      <c r="L23" s="468"/>
      <c r="M23" s="1710">
        <f>SUM(M15:M22)</f>
        <v>5024801</v>
      </c>
      <c r="N23" s="1710">
        <f>SUM(N21:N22)</f>
        <v>3545000</v>
      </c>
    </row>
    <row r="24" spans="1:14" ht="18" customHeight="1" thickTop="1" x14ac:dyDescent="0.2">
      <c r="A24" s="2131" t="s">
        <v>619</v>
      </c>
      <c r="B24" s="2132"/>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v>36743</v>
      </c>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v>490</v>
      </c>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50805</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490</v>
      </c>
      <c r="H34" s="1762">
        <f t="shared" si="1"/>
        <v>0</v>
      </c>
      <c r="I34" s="1762">
        <f t="shared" si="1"/>
        <v>36743</v>
      </c>
      <c r="J34" s="1762">
        <f t="shared" si="1"/>
        <v>0</v>
      </c>
      <c r="K34" s="1762">
        <f t="shared" si="1"/>
        <v>0</v>
      </c>
      <c r="L34" s="1743">
        <f>SUM(L33)</f>
        <v>50805</v>
      </c>
      <c r="M34" s="468"/>
      <c r="N34" s="480"/>
    </row>
    <row r="35" spans="1:14" ht="18" customHeight="1" thickTop="1" x14ac:dyDescent="0.2">
      <c r="A35" s="2133" t="s">
        <v>550</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3545000</v>
      </c>
    </row>
    <row r="37" spans="1:14" ht="13.5" thickBot="1" x14ac:dyDescent="0.25">
      <c r="A37" s="1758" t="s">
        <v>674</v>
      </c>
      <c r="B37" s="1763"/>
      <c r="C37" s="477"/>
      <c r="D37" s="477"/>
      <c r="E37" s="477"/>
      <c r="F37" s="477"/>
      <c r="G37" s="477"/>
      <c r="H37" s="477"/>
      <c r="I37" s="477"/>
      <c r="J37" s="477"/>
      <c r="K37" s="477"/>
      <c r="L37" s="480"/>
      <c r="M37" s="468"/>
      <c r="N37" s="1710">
        <f>SUM(N36:N36)</f>
        <v>3545000</v>
      </c>
    </row>
    <row r="38" spans="1:14" s="329" customFormat="1" ht="13.5" customHeight="1" thickTop="1" x14ac:dyDescent="0.2">
      <c r="A38" s="496" t="s">
        <v>440</v>
      </c>
      <c r="B38" s="483">
        <v>714</v>
      </c>
      <c r="C38" s="466">
        <v>268136</v>
      </c>
      <c r="D38" s="466"/>
      <c r="E38" s="466"/>
      <c r="F38" s="466"/>
      <c r="G38" s="466">
        <v>63547</v>
      </c>
      <c r="H38" s="466"/>
      <c r="I38" s="466"/>
      <c r="J38" s="467"/>
      <c r="K38" s="466"/>
      <c r="L38" s="481"/>
      <c r="M38" s="497"/>
      <c r="N38" s="497"/>
    </row>
    <row r="39" spans="1:14" s="329" customFormat="1" ht="13.5" customHeight="1" x14ac:dyDescent="0.2">
      <c r="A39" s="496" t="s">
        <v>360</v>
      </c>
      <c r="B39" s="483">
        <v>730</v>
      </c>
      <c r="C39" s="466">
        <v>2655773</v>
      </c>
      <c r="D39" s="466">
        <v>677407</v>
      </c>
      <c r="E39" s="466">
        <v>71577</v>
      </c>
      <c r="F39" s="466">
        <v>507867</v>
      </c>
      <c r="G39" s="466">
        <v>144711</v>
      </c>
      <c r="H39" s="466"/>
      <c r="I39" s="466">
        <v>33911</v>
      </c>
      <c r="J39" s="467">
        <v>164838</v>
      </c>
      <c r="K39" s="466">
        <v>51215</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5024801</v>
      </c>
      <c r="N40" s="497"/>
    </row>
    <row r="41" spans="1:14" ht="13.5" customHeight="1" thickBot="1" x14ac:dyDescent="0.25">
      <c r="A41" s="1758" t="s">
        <v>676</v>
      </c>
      <c r="B41" s="1728"/>
      <c r="C41" s="1710">
        <f>(SUM(C34,C37,C38,C39))</f>
        <v>2923909</v>
      </c>
      <c r="D41" s="1710">
        <f t="shared" ref="D41:L41" si="2">SUM(D34,D37,D38:D39)</f>
        <v>677407</v>
      </c>
      <c r="E41" s="1710">
        <f t="shared" si="2"/>
        <v>71577</v>
      </c>
      <c r="F41" s="1710">
        <f t="shared" si="2"/>
        <v>507867</v>
      </c>
      <c r="G41" s="1710">
        <f t="shared" si="2"/>
        <v>208748</v>
      </c>
      <c r="H41" s="1710">
        <f t="shared" si="2"/>
        <v>0</v>
      </c>
      <c r="I41" s="1710">
        <f t="shared" si="2"/>
        <v>70654</v>
      </c>
      <c r="J41" s="1710">
        <f t="shared" si="2"/>
        <v>164838</v>
      </c>
      <c r="K41" s="1710">
        <f t="shared" si="2"/>
        <v>51215</v>
      </c>
      <c r="L41" s="1710">
        <f t="shared" si="2"/>
        <v>50805</v>
      </c>
      <c r="M41" s="1710">
        <f>SUM(M40)</f>
        <v>5024801</v>
      </c>
      <c r="N41" s="1710">
        <f>SUM(N37)</f>
        <v>3545000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E2" sqref="E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5" t="s">
        <v>1237</v>
      </c>
      <c r="B3" s="2156"/>
      <c r="C3" s="1595"/>
      <c r="D3" s="1596"/>
      <c r="E3" s="1596"/>
      <c r="F3" s="1596"/>
      <c r="G3" s="1596"/>
      <c r="H3" s="1596"/>
      <c r="I3" s="1596"/>
      <c r="J3" s="1596"/>
      <c r="K3" s="1597"/>
      <c r="L3" s="506"/>
    </row>
    <row r="4" spans="1:13" ht="15.75" customHeight="1" x14ac:dyDescent="0.2">
      <c r="A4" s="1954" t="s">
        <v>1579</v>
      </c>
      <c r="B4" s="1955">
        <v>1000</v>
      </c>
      <c r="C4" s="1764">
        <f>'Revenues 9-14'!C109</f>
        <v>2513574</v>
      </c>
      <c r="D4" s="1764">
        <f>'Revenues 9-14'!D109</f>
        <v>398153</v>
      </c>
      <c r="E4" s="1764">
        <f>'Revenues 9-14'!E109</f>
        <v>372377</v>
      </c>
      <c r="F4" s="1764">
        <f>'Revenues 9-14'!F109</f>
        <v>110244</v>
      </c>
      <c r="G4" s="1764">
        <f>'Revenues 9-14'!G109</f>
        <v>141883</v>
      </c>
      <c r="H4" s="1764">
        <f>'Revenues 9-14'!H109</f>
        <v>0</v>
      </c>
      <c r="I4" s="1764">
        <f>'Revenues 9-14'!I109</f>
        <v>27870</v>
      </c>
      <c r="J4" s="1764">
        <f>'Revenues 9-14'!J109</f>
        <v>151510</v>
      </c>
      <c r="K4" s="1764">
        <f>'Revenues 9-14'!K109</f>
        <v>27484</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1502239</v>
      </c>
      <c r="D6" s="1765">
        <f>'Revenues 9-14'!D173</f>
        <v>0</v>
      </c>
      <c r="E6" s="1765">
        <f>'Revenues 9-14'!E173</f>
        <v>0</v>
      </c>
      <c r="F6" s="1765">
        <f>'Revenues 9-14'!F173</f>
        <v>133139</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435397</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4451210</v>
      </c>
      <c r="D8" s="1710">
        <f t="shared" ref="D8:K8" si="0">SUM(D4:D7)</f>
        <v>398153</v>
      </c>
      <c r="E8" s="1710">
        <f t="shared" si="0"/>
        <v>372377</v>
      </c>
      <c r="F8" s="1710">
        <f t="shared" si="0"/>
        <v>243383</v>
      </c>
      <c r="G8" s="1710">
        <f t="shared" si="0"/>
        <v>141883</v>
      </c>
      <c r="H8" s="1710">
        <f t="shared" si="0"/>
        <v>0</v>
      </c>
      <c r="I8" s="1710">
        <f t="shared" si="0"/>
        <v>27870</v>
      </c>
      <c r="J8" s="1710">
        <f t="shared" si="0"/>
        <v>151510</v>
      </c>
      <c r="K8" s="1710">
        <f t="shared" si="0"/>
        <v>27484</v>
      </c>
      <c r="L8" s="347"/>
    </row>
    <row r="9" spans="1:13" ht="15.75" thickTop="1" x14ac:dyDescent="0.2">
      <c r="A9" s="514" t="s">
        <v>1752</v>
      </c>
      <c r="B9" s="515">
        <v>3998</v>
      </c>
      <c r="C9" s="481">
        <v>249527</v>
      </c>
      <c r="D9" s="516"/>
      <c r="E9" s="481"/>
      <c r="F9" s="481"/>
      <c r="G9" s="517"/>
      <c r="H9" s="481"/>
      <c r="I9" s="509" t="s">
        <v>1231</v>
      </c>
      <c r="J9" s="478"/>
      <c r="K9" s="481"/>
      <c r="L9" s="347"/>
    </row>
    <row r="10" spans="1:13" s="519" customFormat="1" ht="13.5" thickBot="1" x14ac:dyDescent="0.25">
      <c r="A10" s="1758" t="s">
        <v>1235</v>
      </c>
      <c r="B10" s="1731"/>
      <c r="C10" s="1710">
        <f>SUM(C8:C9)</f>
        <v>4700737</v>
      </c>
      <c r="D10" s="1710">
        <f t="shared" ref="D10:K10" si="1">SUM(D8:D9)</f>
        <v>398153</v>
      </c>
      <c r="E10" s="1710">
        <f t="shared" si="1"/>
        <v>372377</v>
      </c>
      <c r="F10" s="1710">
        <f t="shared" si="1"/>
        <v>243383</v>
      </c>
      <c r="G10" s="1710">
        <f t="shared" si="1"/>
        <v>141883</v>
      </c>
      <c r="H10" s="1710">
        <f t="shared" si="1"/>
        <v>0</v>
      </c>
      <c r="I10" s="1710">
        <f t="shared" si="1"/>
        <v>27870</v>
      </c>
      <c r="J10" s="1710">
        <f t="shared" si="1"/>
        <v>151510</v>
      </c>
      <c r="K10" s="1710">
        <f t="shared" si="1"/>
        <v>27484</v>
      </c>
      <c r="L10" s="518"/>
    </row>
    <row r="11" spans="1:13" s="519" customFormat="1" ht="16.7" customHeight="1" thickTop="1" x14ac:dyDescent="0.2">
      <c r="A11" s="2129" t="s">
        <v>1238</v>
      </c>
      <c r="B11" s="2130"/>
      <c r="C11" s="1592"/>
      <c r="D11" s="1593"/>
      <c r="E11" s="1593"/>
      <c r="F11" s="1593"/>
      <c r="G11" s="1593"/>
      <c r="H11" s="1593"/>
      <c r="I11" s="1593"/>
      <c r="J11" s="1593"/>
      <c r="K11" s="1594"/>
      <c r="L11" s="518"/>
    </row>
    <row r="12" spans="1:13" ht="15.75" customHeight="1" x14ac:dyDescent="0.2">
      <c r="A12" s="1598" t="s">
        <v>476</v>
      </c>
      <c r="B12" s="1600">
        <v>1000</v>
      </c>
      <c r="C12" s="1764">
        <f>'Expenditures 15-22'!K33</f>
        <v>2513897</v>
      </c>
      <c r="D12" s="520" t="s">
        <v>1231</v>
      </c>
      <c r="E12" s="468" t="s">
        <v>1231</v>
      </c>
      <c r="F12" s="468" t="s">
        <v>1231</v>
      </c>
      <c r="G12" s="1764">
        <f>'Expenditures 15-22'!K229</f>
        <v>48209</v>
      </c>
      <c r="H12" s="521"/>
      <c r="I12" s="468" t="s">
        <v>1231</v>
      </c>
      <c r="J12" s="468" t="s">
        <v>1231</v>
      </c>
      <c r="K12" s="521" t="s">
        <v>1231</v>
      </c>
      <c r="L12" s="347"/>
    </row>
    <row r="13" spans="1:13" ht="15.75" customHeight="1" x14ac:dyDescent="0.2">
      <c r="A13" s="1598" t="s">
        <v>477</v>
      </c>
      <c r="B13" s="1600">
        <v>2000</v>
      </c>
      <c r="C13" s="1765">
        <f>'Expenditures 15-22'!K74</f>
        <v>1118803</v>
      </c>
      <c r="D13" s="1765">
        <f>'Expenditures 15-22'!K129</f>
        <v>575570</v>
      </c>
      <c r="E13" s="469" t="s">
        <v>1231</v>
      </c>
      <c r="F13" s="1765">
        <f>'Expenditures 15-22'!K184</f>
        <v>187100</v>
      </c>
      <c r="G13" s="1765">
        <f>'Expenditures 15-22'!K279</f>
        <v>55896</v>
      </c>
      <c r="H13" s="1765">
        <f>'Expenditures 15-22'!K303</f>
        <v>0</v>
      </c>
      <c r="I13" s="468" t="s">
        <v>1231</v>
      </c>
      <c r="J13" s="1765">
        <f>'Expenditures 15-22'!K330</f>
        <v>200642</v>
      </c>
      <c r="K13" s="1769">
        <f>'Expenditures 15-22'!K352</f>
        <v>608503</v>
      </c>
      <c r="L13" s="347"/>
    </row>
    <row r="14" spans="1:13" ht="15.75" customHeight="1" x14ac:dyDescent="0.2">
      <c r="A14" s="1598" t="s">
        <v>469</v>
      </c>
      <c r="B14" s="1600">
        <v>3000</v>
      </c>
      <c r="C14" s="1765">
        <f>'Expenditures 15-22'!K75</f>
        <v>7582</v>
      </c>
      <c r="D14" s="1765">
        <f>'Expenditures 15-22'!K130</f>
        <v>0</v>
      </c>
      <c r="E14" s="520" t="s">
        <v>1231</v>
      </c>
      <c r="F14" s="1765">
        <f>'Expenditures 15-22'!K185</f>
        <v>0</v>
      </c>
      <c r="G14" s="1765">
        <f>'Expenditures 15-22'!K280</f>
        <v>698</v>
      </c>
      <c r="H14" s="512"/>
      <c r="I14" s="468" t="s">
        <v>1231</v>
      </c>
      <c r="J14" s="468" t="s">
        <v>1231</v>
      </c>
      <c r="K14" s="512" t="s">
        <v>1231</v>
      </c>
      <c r="L14" s="347"/>
    </row>
    <row r="15" spans="1:13" ht="15.75" customHeight="1" x14ac:dyDescent="0.2">
      <c r="A15" s="1598" t="s">
        <v>109</v>
      </c>
      <c r="B15" s="1600">
        <v>4000</v>
      </c>
      <c r="C15" s="1765">
        <f>'Expenditures 15-22'!K102</f>
        <v>195749</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389602</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3836031</v>
      </c>
      <c r="D17" s="1710">
        <f t="shared" si="2"/>
        <v>575570</v>
      </c>
      <c r="E17" s="1710">
        <f t="shared" si="2"/>
        <v>389602</v>
      </c>
      <c r="F17" s="1710">
        <f t="shared" si="2"/>
        <v>187100</v>
      </c>
      <c r="G17" s="1710">
        <f t="shared" si="2"/>
        <v>104803</v>
      </c>
      <c r="H17" s="1710">
        <f t="shared" si="2"/>
        <v>0</v>
      </c>
      <c r="I17" s="468"/>
      <c r="J17" s="1710">
        <f>SUM(J12:J16)</f>
        <v>200642</v>
      </c>
      <c r="K17" s="1710">
        <f>SUM(K12:K16)</f>
        <v>608503</v>
      </c>
      <c r="L17" s="347"/>
    </row>
    <row r="18" spans="1:12" ht="15" customHeight="1" thickTop="1" x14ac:dyDescent="0.2">
      <c r="A18" s="1766" t="s">
        <v>1753</v>
      </c>
      <c r="B18" s="1767">
        <v>4180</v>
      </c>
      <c r="C18" s="1764">
        <f t="shared" ref="C18:H18" si="3">C9</f>
        <v>249527</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4085558</v>
      </c>
      <c r="D19" s="1710">
        <f t="shared" si="4"/>
        <v>575570</v>
      </c>
      <c r="E19" s="1710">
        <f t="shared" si="4"/>
        <v>389602</v>
      </c>
      <c r="F19" s="1710">
        <f t="shared" si="4"/>
        <v>187100</v>
      </c>
      <c r="G19" s="1710">
        <f t="shared" si="4"/>
        <v>104803</v>
      </c>
      <c r="H19" s="1710">
        <f t="shared" si="4"/>
        <v>0</v>
      </c>
      <c r="I19" s="468"/>
      <c r="J19" s="1710">
        <f>SUM(J17:J18)</f>
        <v>200642</v>
      </c>
      <c r="K19" s="1710">
        <f>SUM(K17:K18)</f>
        <v>608503</v>
      </c>
      <c r="L19" s="347"/>
    </row>
    <row r="20" spans="1:12" ht="16.5" thickTop="1" thickBot="1" x14ac:dyDescent="0.25">
      <c r="A20" s="2145" t="s">
        <v>1754</v>
      </c>
      <c r="B20" s="2146"/>
      <c r="C20" s="1768">
        <f>C8-C17</f>
        <v>615179</v>
      </c>
      <c r="D20" s="1768">
        <f t="shared" ref="D20:K20" si="5">D8-D17</f>
        <v>-177417</v>
      </c>
      <c r="E20" s="1768">
        <f t="shared" si="5"/>
        <v>-17225</v>
      </c>
      <c r="F20" s="1768">
        <f t="shared" si="5"/>
        <v>56283</v>
      </c>
      <c r="G20" s="1768">
        <f t="shared" si="5"/>
        <v>37080</v>
      </c>
      <c r="H20" s="1768">
        <f t="shared" si="5"/>
        <v>0</v>
      </c>
      <c r="I20" s="1768">
        <f t="shared" si="5"/>
        <v>27870</v>
      </c>
      <c r="J20" s="1768">
        <f t="shared" si="5"/>
        <v>-49132</v>
      </c>
      <c r="K20" s="1768">
        <f t="shared" si="5"/>
        <v>-581019</v>
      </c>
      <c r="L20" s="347"/>
    </row>
    <row r="21" spans="1:12" ht="16.7" customHeight="1" thickTop="1" x14ac:dyDescent="0.2">
      <c r="A21" s="2157" t="s">
        <v>616</v>
      </c>
      <c r="B21" s="2158"/>
      <c r="C21" s="1592"/>
      <c r="D21" s="1593"/>
      <c r="E21" s="1593"/>
      <c r="F21" s="1593"/>
      <c r="G21" s="1593"/>
      <c r="H21" s="1593"/>
      <c r="I21" s="1593"/>
      <c r="J21" s="1593"/>
      <c r="K21" s="1594"/>
      <c r="L21" s="524"/>
    </row>
    <row r="22" spans="1:12" ht="15.75" customHeight="1" collapsed="1" x14ac:dyDescent="0.2">
      <c r="A22" s="2153" t="s">
        <v>617</v>
      </c>
      <c r="B22" s="2154"/>
      <c r="C22" s="477"/>
      <c r="D22" s="477"/>
      <c r="E22" s="477"/>
      <c r="F22" s="477"/>
      <c r="G22" s="477"/>
      <c r="H22" s="477"/>
      <c r="I22" s="477"/>
      <c r="J22" s="477"/>
      <c r="K22" s="477"/>
      <c r="L22" s="347"/>
    </row>
    <row r="23" spans="1:12" s="485" customFormat="1" ht="15.75" customHeight="1" x14ac:dyDescent="0.2">
      <c r="A23" s="2149" t="s">
        <v>311</v>
      </c>
      <c r="B23" s="215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v>123000</v>
      </c>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1" t="s">
        <v>1038</v>
      </c>
      <c r="B32" s="2152"/>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9" t="s">
        <v>392</v>
      </c>
      <c r="B44" s="2160"/>
      <c r="C44" s="1725">
        <f>SUM(C24:C43)</f>
        <v>0</v>
      </c>
      <c r="D44" s="1725">
        <f t="shared" ref="D44:K44" si="6">SUM(D24:D43)</f>
        <v>123000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123000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5" t="s">
        <v>460</v>
      </c>
      <c r="B76" s="2136"/>
      <c r="C76" s="1725">
        <f t="shared" ref="C76:K76" si="7">SUM(C47:C75)</f>
        <v>0</v>
      </c>
      <c r="D76" s="1725">
        <f t="shared" si="7"/>
        <v>0</v>
      </c>
      <c r="E76" s="1725">
        <f t="shared" si="7"/>
        <v>0</v>
      </c>
      <c r="F76" s="1725">
        <f t="shared" si="7"/>
        <v>0</v>
      </c>
      <c r="G76" s="1725">
        <f t="shared" si="7"/>
        <v>0</v>
      </c>
      <c r="H76" s="1725">
        <f t="shared" si="7"/>
        <v>0</v>
      </c>
      <c r="I76" s="1725">
        <f t="shared" si="7"/>
        <v>123000</v>
      </c>
      <c r="J76" s="1725">
        <f t="shared" si="7"/>
        <v>0</v>
      </c>
      <c r="K76" s="1725">
        <f t="shared" si="7"/>
        <v>0</v>
      </c>
      <c r="L76" s="524"/>
    </row>
    <row r="77" spans="1:12" ht="14.25" thickTop="1" thickBot="1" x14ac:dyDescent="0.25">
      <c r="A77" s="2137" t="s">
        <v>1239</v>
      </c>
      <c r="B77" s="2138"/>
      <c r="C77" s="1725">
        <f t="shared" ref="C77:K77" si="8">C44-C76</f>
        <v>0</v>
      </c>
      <c r="D77" s="1725">
        <f t="shared" si="8"/>
        <v>123000</v>
      </c>
      <c r="E77" s="1725">
        <f t="shared" si="8"/>
        <v>0</v>
      </c>
      <c r="F77" s="1725">
        <f t="shared" si="8"/>
        <v>0</v>
      </c>
      <c r="G77" s="1725">
        <f t="shared" si="8"/>
        <v>0</v>
      </c>
      <c r="H77" s="1725">
        <f t="shared" si="8"/>
        <v>0</v>
      </c>
      <c r="I77" s="1725">
        <f t="shared" si="8"/>
        <v>-123000</v>
      </c>
      <c r="J77" s="1725">
        <f t="shared" si="8"/>
        <v>0</v>
      </c>
      <c r="K77" s="1725">
        <f t="shared" si="8"/>
        <v>0</v>
      </c>
      <c r="L77" s="347"/>
    </row>
    <row r="78" spans="1:12" ht="21.75" customHeight="1" thickTop="1" thickBot="1" x14ac:dyDescent="0.25">
      <c r="A78" s="2141" t="s">
        <v>618</v>
      </c>
      <c r="B78" s="2142"/>
      <c r="C78" s="1724">
        <f t="shared" ref="C78:K78" si="9">C20+C77</f>
        <v>615179</v>
      </c>
      <c r="D78" s="1724">
        <f t="shared" si="9"/>
        <v>-54417</v>
      </c>
      <c r="E78" s="1724">
        <f t="shared" si="9"/>
        <v>-17225</v>
      </c>
      <c r="F78" s="1724">
        <f t="shared" si="9"/>
        <v>56283</v>
      </c>
      <c r="G78" s="1724">
        <f t="shared" si="9"/>
        <v>37080</v>
      </c>
      <c r="H78" s="1724">
        <f t="shared" si="9"/>
        <v>0</v>
      </c>
      <c r="I78" s="1724">
        <f t="shared" si="9"/>
        <v>-95130</v>
      </c>
      <c r="J78" s="1724">
        <f t="shared" si="9"/>
        <v>-49132</v>
      </c>
      <c r="K78" s="1724">
        <f t="shared" si="9"/>
        <v>-581019</v>
      </c>
      <c r="L78" s="533"/>
    </row>
    <row r="79" spans="1:12" ht="13.5" thickTop="1" x14ac:dyDescent="0.2">
      <c r="A79" s="1516" t="s">
        <v>2071</v>
      </c>
      <c r="B79" s="534"/>
      <c r="C79" s="478">
        <v>2349016</v>
      </c>
      <c r="D79" s="535">
        <v>736190</v>
      </c>
      <c r="E79" s="535">
        <v>88802</v>
      </c>
      <c r="F79" s="535">
        <v>454808</v>
      </c>
      <c r="G79" s="535">
        <v>171178</v>
      </c>
      <c r="H79" s="535"/>
      <c r="I79" s="535">
        <v>129041</v>
      </c>
      <c r="J79" s="535">
        <v>215410</v>
      </c>
      <c r="K79" s="535">
        <v>632234</v>
      </c>
      <c r="L79" s="347"/>
    </row>
    <row r="80" spans="1:12" x14ac:dyDescent="0.2">
      <c r="A80" s="2147" t="s">
        <v>1898</v>
      </c>
      <c r="B80" s="2148"/>
      <c r="C80" s="467">
        <v>-40286</v>
      </c>
      <c r="D80" s="467">
        <v>-4366</v>
      </c>
      <c r="E80" s="467"/>
      <c r="F80" s="467">
        <v>-3224</v>
      </c>
      <c r="G80" s="467"/>
      <c r="H80" s="467"/>
      <c r="I80" s="467"/>
      <c r="J80" s="467">
        <v>-1440</v>
      </c>
      <c r="K80" s="467"/>
      <c r="L80" s="347"/>
    </row>
    <row r="81" spans="1:12" ht="13.5" thickBot="1" x14ac:dyDescent="0.25">
      <c r="A81" s="2139" t="s">
        <v>2072</v>
      </c>
      <c r="B81" s="2140"/>
      <c r="C81" s="1710">
        <f>(SUM(C78:C80))</f>
        <v>2923909</v>
      </c>
      <c r="D81" s="1710">
        <f>SUM(D78:D80)</f>
        <v>677407</v>
      </c>
      <c r="E81" s="1710">
        <f t="shared" ref="E81:K81" si="10">SUM(E78:E80)</f>
        <v>71577</v>
      </c>
      <c r="F81" s="1710">
        <f t="shared" si="10"/>
        <v>507867</v>
      </c>
      <c r="G81" s="1710">
        <f t="shared" si="10"/>
        <v>208258</v>
      </c>
      <c r="H81" s="1710">
        <f t="shared" si="10"/>
        <v>0</v>
      </c>
      <c r="I81" s="1710">
        <f t="shared" si="10"/>
        <v>33911</v>
      </c>
      <c r="J81" s="1710">
        <f t="shared" si="10"/>
        <v>164838</v>
      </c>
      <c r="K81" s="1710">
        <f t="shared" si="10"/>
        <v>51215</v>
      </c>
      <c r="L81" s="347"/>
    </row>
    <row r="82" spans="1:12" ht="0.75" customHeight="1" thickTop="1" thickBot="1" x14ac:dyDescent="0.25">
      <c r="A82" s="536" t="s">
        <v>361</v>
      </c>
      <c r="B82" s="537"/>
      <c r="C82" s="538">
        <f>(C81-C79)</f>
        <v>574893</v>
      </c>
      <c r="D82" s="538">
        <f t="shared" ref="D82:K82" si="11">(D81-D79)</f>
        <v>-58783</v>
      </c>
      <c r="E82" s="538">
        <f t="shared" si="11"/>
        <v>-17225</v>
      </c>
      <c r="F82" s="538">
        <f t="shared" si="11"/>
        <v>53059</v>
      </c>
      <c r="G82" s="538">
        <f t="shared" si="11"/>
        <v>37080</v>
      </c>
      <c r="H82" s="538">
        <f t="shared" si="11"/>
        <v>0</v>
      </c>
      <c r="I82" s="538">
        <f t="shared" si="11"/>
        <v>-95130</v>
      </c>
      <c r="J82" s="538">
        <f t="shared" si="11"/>
        <v>-50572</v>
      </c>
      <c r="K82" s="538">
        <f t="shared" si="11"/>
        <v>-581019</v>
      </c>
    </row>
    <row r="83" spans="1:12" ht="14.25" hidden="1" thickTop="1" thickBot="1" x14ac:dyDescent="0.25">
      <c r="A83" s="539" t="s">
        <v>362</v>
      </c>
      <c r="B83" s="464"/>
      <c r="C83" s="540">
        <f>C82/C81</f>
        <v>0.19661795220029077</v>
      </c>
      <c r="D83" s="540">
        <f t="shared" ref="D83:K83" si="12">D82/D81</f>
        <v>-8.6776487399746388E-2</v>
      </c>
      <c r="E83" s="540">
        <f t="shared" si="12"/>
        <v>-0.24064992944660996</v>
      </c>
      <c r="F83" s="540">
        <f t="shared" si="12"/>
        <v>0.10447420289170196</v>
      </c>
      <c r="G83" s="540">
        <f t="shared" si="12"/>
        <v>0.17804838229503789</v>
      </c>
      <c r="H83" s="540" t="e">
        <f t="shared" si="12"/>
        <v>#DIV/0!</v>
      </c>
      <c r="I83" s="540">
        <f t="shared" si="12"/>
        <v>-2.8052844209843415</v>
      </c>
      <c r="J83" s="540">
        <f t="shared" si="12"/>
        <v>-0.30679818973780315</v>
      </c>
      <c r="K83" s="540">
        <f t="shared" si="12"/>
        <v>-11.344703700087864</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178" activePane="bottomLeft" state="frozen"/>
      <selection activeCell="A47" sqref="A47"/>
      <selection pane="bottomLeft" activeCell="D203" sqref="D20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1905</v>
      </c>
      <c r="B1" s="452"/>
      <c r="C1" s="453" t="s">
        <v>445</v>
      </c>
      <c r="D1" s="453" t="s">
        <v>446</v>
      </c>
      <c r="E1" s="453" t="s">
        <v>447</v>
      </c>
      <c r="F1" s="453" t="s">
        <v>448</v>
      </c>
      <c r="G1" s="453" t="s">
        <v>449</v>
      </c>
      <c r="H1" s="453" t="s">
        <v>450</v>
      </c>
      <c r="I1" s="453" t="s">
        <v>451</v>
      </c>
      <c r="J1" s="453" t="s">
        <v>452</v>
      </c>
      <c r="K1" s="453" t="s">
        <v>780</v>
      </c>
    </row>
    <row r="2" spans="1:12" ht="36" x14ac:dyDescent="0.2">
      <c r="A2" s="214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2132451</v>
      </c>
      <c r="D5" s="481">
        <v>376022</v>
      </c>
      <c r="E5" s="466">
        <v>371535</v>
      </c>
      <c r="F5" s="548">
        <v>106673</v>
      </c>
      <c r="G5" s="466">
        <v>54978</v>
      </c>
      <c r="H5" s="466"/>
      <c r="I5" s="466">
        <v>26668</v>
      </c>
      <c r="J5" s="467">
        <v>149004</v>
      </c>
      <c r="K5" s="466">
        <v>26668</v>
      </c>
    </row>
    <row r="6" spans="1:12" ht="15" x14ac:dyDescent="0.2">
      <c r="A6" s="463" t="s">
        <v>1761</v>
      </c>
      <c r="B6" s="470">
        <v>1130</v>
      </c>
      <c r="C6" s="466">
        <v>27391</v>
      </c>
      <c r="D6" s="466"/>
      <c r="E6" s="475"/>
      <c r="F6" s="475"/>
      <c r="G6" s="468"/>
      <c r="H6" s="468"/>
      <c r="I6" s="468"/>
      <c r="J6" s="468"/>
      <c r="K6" s="468"/>
    </row>
    <row r="7" spans="1:12" x14ac:dyDescent="0.2">
      <c r="A7" s="463" t="s">
        <v>112</v>
      </c>
      <c r="B7" s="549">
        <v>1140</v>
      </c>
      <c r="C7" s="466">
        <v>21335</v>
      </c>
      <c r="D7" s="466"/>
      <c r="E7" s="468"/>
      <c r="F7" s="467"/>
      <c r="G7" s="467"/>
      <c r="H7" s="467"/>
      <c r="I7" s="468"/>
      <c r="J7" s="468"/>
      <c r="K7" s="468"/>
    </row>
    <row r="8" spans="1:12" x14ac:dyDescent="0.2">
      <c r="A8" s="463" t="s">
        <v>433</v>
      </c>
      <c r="B8" s="470">
        <v>1150</v>
      </c>
      <c r="C8" s="475"/>
      <c r="D8" s="475"/>
      <c r="E8" s="477"/>
      <c r="F8" s="477"/>
      <c r="G8" s="481">
        <v>84904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2181177</v>
      </c>
      <c r="D12" s="1729">
        <f t="shared" si="0"/>
        <v>376022</v>
      </c>
      <c r="E12" s="1729">
        <f t="shared" si="0"/>
        <v>371535</v>
      </c>
      <c r="F12" s="1729">
        <f t="shared" si="0"/>
        <v>106673</v>
      </c>
      <c r="G12" s="1729">
        <f t="shared" si="0"/>
        <v>139882</v>
      </c>
      <c r="H12" s="1729">
        <f t="shared" si="0"/>
        <v>0</v>
      </c>
      <c r="I12" s="1729">
        <f t="shared" si="0"/>
        <v>26668</v>
      </c>
      <c r="J12" s="1729">
        <f t="shared" si="0"/>
        <v>149004</v>
      </c>
      <c r="K12" s="1710">
        <f t="shared" si="0"/>
        <v>26668</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138393</v>
      </c>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138393</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71023</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71023</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22050</v>
      </c>
      <c r="D65" s="466">
        <v>7852</v>
      </c>
      <c r="E65" s="466">
        <v>842</v>
      </c>
      <c r="F65" s="467">
        <v>3571</v>
      </c>
      <c r="G65" s="466">
        <v>2001</v>
      </c>
      <c r="H65" s="466"/>
      <c r="I65" s="466">
        <v>1202</v>
      </c>
      <c r="J65" s="467">
        <v>2506</v>
      </c>
      <c r="K65" s="466">
        <v>816</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22050</v>
      </c>
      <c r="D67" s="1710">
        <f t="shared" ref="D67:K67" si="2">SUM(D65:D66)</f>
        <v>7852</v>
      </c>
      <c r="E67" s="1710">
        <f t="shared" si="2"/>
        <v>842</v>
      </c>
      <c r="F67" s="1710">
        <f t="shared" si="2"/>
        <v>3571</v>
      </c>
      <c r="G67" s="1710">
        <f t="shared" si="2"/>
        <v>2001</v>
      </c>
      <c r="H67" s="1710">
        <f t="shared" si="2"/>
        <v>0</v>
      </c>
      <c r="I67" s="1710">
        <f t="shared" si="2"/>
        <v>1202</v>
      </c>
      <c r="J67" s="1710">
        <f t="shared" si="2"/>
        <v>2506</v>
      </c>
      <c r="K67" s="1710">
        <f t="shared" si="2"/>
        <v>816</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11200</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7112</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18312</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9486</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9486</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59035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59035</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6500</v>
      </c>
      <c r="D95" s="551"/>
      <c r="E95" s="521"/>
      <c r="F95" s="521"/>
      <c r="G95" s="521"/>
      <c r="H95" s="521"/>
      <c r="I95" s="521"/>
      <c r="J95" s="521"/>
      <c r="K95" s="521"/>
    </row>
    <row r="96" spans="1:11" ht="12.75" customHeight="1" x14ac:dyDescent="0.2">
      <c r="A96" s="463" t="s">
        <v>409</v>
      </c>
      <c r="B96" s="470">
        <v>1920</v>
      </c>
      <c r="C96" s="551">
        <v>500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1328</v>
      </c>
      <c r="D99" s="466"/>
      <c r="E99" s="466"/>
      <c r="F99" s="466"/>
      <c r="G99" s="466"/>
      <c r="H99" s="466"/>
      <c r="I99" s="468"/>
      <c r="J99" s="467"/>
      <c r="K99" s="466"/>
    </row>
    <row r="100" spans="1:12" ht="12.75" customHeight="1" x14ac:dyDescent="0.2">
      <c r="A100" s="463" t="s">
        <v>263</v>
      </c>
      <c r="B100" s="470">
        <v>1960</v>
      </c>
      <c r="C100" s="489"/>
      <c r="D100" s="489">
        <v>14279</v>
      </c>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5770</v>
      </c>
      <c r="D107" s="466"/>
      <c r="E107" s="466"/>
      <c r="F107" s="466"/>
      <c r="G107" s="466"/>
      <c r="H107" s="466"/>
      <c r="I107" s="466"/>
      <c r="J107" s="467"/>
      <c r="K107" s="466"/>
    </row>
    <row r="108" spans="1:12" ht="12.75" customHeight="1" thickBot="1" x14ac:dyDescent="0.25">
      <c r="A108" s="1730" t="s">
        <v>508</v>
      </c>
      <c r="B108" s="1734"/>
      <c r="C108" s="1729">
        <f>SUM(C95:C107)</f>
        <v>14098</v>
      </c>
      <c r="D108" s="1729">
        <f t="shared" ref="D108:K108" si="3">SUM(D95:D107)</f>
        <v>14279</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2513574</v>
      </c>
      <c r="D109" s="1737">
        <f t="shared" si="4"/>
        <v>398153</v>
      </c>
      <c r="E109" s="1737">
        <f t="shared" si="4"/>
        <v>372377</v>
      </c>
      <c r="F109" s="1737">
        <f t="shared" si="4"/>
        <v>110244</v>
      </c>
      <c r="G109" s="1737">
        <f t="shared" si="4"/>
        <v>141883</v>
      </c>
      <c r="H109" s="1737">
        <f t="shared" si="4"/>
        <v>0</v>
      </c>
      <c r="I109" s="1737">
        <f t="shared" si="4"/>
        <v>27870</v>
      </c>
      <c r="J109" s="1737">
        <f t="shared" si="4"/>
        <v>151510</v>
      </c>
      <c r="K109" s="1724">
        <f t="shared" si="4"/>
        <v>27484</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1348028</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1348028</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45547</v>
      </c>
      <c r="D124" s="561"/>
      <c r="E124" s="468"/>
      <c r="F124" s="548"/>
      <c r="G124" s="468"/>
      <c r="H124" s="468"/>
      <c r="I124" s="468"/>
      <c r="J124" s="468"/>
      <c r="K124" s="468"/>
    </row>
    <row r="125" spans="1:11" ht="12.75" customHeight="1" x14ac:dyDescent="0.2">
      <c r="A125" s="463" t="s">
        <v>1521</v>
      </c>
      <c r="B125" s="562">
        <v>3105</v>
      </c>
      <c r="C125" s="466">
        <v>30514</v>
      </c>
      <c r="D125" s="561"/>
      <c r="E125" s="468"/>
      <c r="F125" s="466"/>
      <c r="G125" s="468"/>
      <c r="H125" s="468"/>
      <c r="I125" s="468"/>
      <c r="J125" s="468"/>
      <c r="K125" s="468"/>
    </row>
    <row r="126" spans="1:11" ht="12.75" customHeight="1" x14ac:dyDescent="0.2">
      <c r="A126" s="463" t="s">
        <v>922</v>
      </c>
      <c r="B126" s="562">
        <v>3110</v>
      </c>
      <c r="C126" s="551">
        <v>47228</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2205</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125494</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4251</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4286</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8537</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3364</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6647</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v>10169</v>
      </c>
      <c r="D151" s="466"/>
      <c r="E151" s="561"/>
      <c r="F151" s="466">
        <v>36302</v>
      </c>
      <c r="G151" s="467"/>
      <c r="H151" s="468"/>
      <c r="I151" s="468"/>
      <c r="J151" s="468"/>
      <c r="K151" s="468"/>
    </row>
    <row r="152" spans="1:11" ht="12.75" customHeight="1" x14ac:dyDescent="0.2">
      <c r="A152" s="463" t="s">
        <v>1117</v>
      </c>
      <c r="B152" s="562">
        <v>3510</v>
      </c>
      <c r="C152" s="551"/>
      <c r="D152" s="466"/>
      <c r="E152" s="561"/>
      <c r="F152" s="466">
        <v>96837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10169</v>
      </c>
      <c r="D154" s="1729">
        <f>SUM(D151:D153)</f>
        <v>0</v>
      </c>
      <c r="E154" s="561"/>
      <c r="F154" s="1729">
        <f>SUM(F151:F153)</f>
        <v>133139</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3" t="s">
        <v>418</v>
      </c>
      <c r="B172" s="2164"/>
      <c r="C172" s="1744">
        <f t="shared" ref="C172:K172" si="6">SUM(C131,C140,C144,C145:C149,C154,C155:C170,C171)</f>
        <v>154211</v>
      </c>
      <c r="D172" s="1744">
        <f t="shared" si="6"/>
        <v>0</v>
      </c>
      <c r="E172" s="1744">
        <f t="shared" si="6"/>
        <v>0</v>
      </c>
      <c r="F172" s="1744">
        <f t="shared" si="6"/>
        <v>133139</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1502239</v>
      </c>
      <c r="D173" s="1737">
        <f>SUM(D121,D172)</f>
        <v>0</v>
      </c>
      <c r="E173" s="1737">
        <f>SUM(E121,E172)</f>
        <v>0</v>
      </c>
      <c r="F173" s="1737">
        <f t="shared" ref="F173:K173" si="7">SUM(F121,F172)</f>
        <v>133139</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v>15942</v>
      </c>
      <c r="D177" s="466"/>
      <c r="E177" s="467"/>
      <c r="F177" s="466"/>
      <c r="G177" s="466"/>
      <c r="H177" s="467"/>
      <c r="I177" s="467"/>
      <c r="J177" s="467"/>
      <c r="K177" s="467"/>
    </row>
    <row r="178" spans="1:11" ht="13.5" thickBot="1" x14ac:dyDescent="0.25">
      <c r="A178" s="2169" t="s">
        <v>1764</v>
      </c>
      <c r="B178" s="2170"/>
      <c r="C178" s="1729">
        <f>SUM(C176:C177)</f>
        <v>15942</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1" t="s">
        <v>818</v>
      </c>
      <c r="B184" s="217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1906</v>
      </c>
      <c r="B185" s="216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6946</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6946</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150393</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46763</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197156</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77188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77188</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113051</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113051</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15416</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9698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419455</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435397</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4451210</v>
      </c>
      <c r="D275" s="1737">
        <f t="shared" si="12"/>
        <v>398153</v>
      </c>
      <c r="E275" s="1737">
        <f t="shared" si="12"/>
        <v>372377</v>
      </c>
      <c r="F275" s="1737">
        <f t="shared" si="12"/>
        <v>243383</v>
      </c>
      <c r="G275" s="1737">
        <f t="shared" si="12"/>
        <v>141883</v>
      </c>
      <c r="H275" s="1737">
        <f t="shared" si="12"/>
        <v>0</v>
      </c>
      <c r="I275" s="1737">
        <f t="shared" si="12"/>
        <v>27870</v>
      </c>
      <c r="J275" s="1737">
        <f t="shared" si="12"/>
        <v>151510</v>
      </c>
      <c r="K275" s="1724">
        <f t="shared" si="12"/>
        <v>27484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L1" sqref="L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1358469</v>
      </c>
      <c r="D5" s="466">
        <v>327487</v>
      </c>
      <c r="E5" s="466">
        <v>9039</v>
      </c>
      <c r="F5" s="466">
        <v>30070</v>
      </c>
      <c r="G5" s="466"/>
      <c r="H5" s="466">
        <v>5100</v>
      </c>
      <c r="I5" s="467"/>
      <c r="J5" s="467"/>
      <c r="K5" s="1693">
        <f>SUM(C5:J5)</f>
        <v>1730165</v>
      </c>
      <c r="L5" s="466">
        <v>1695669</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305682</v>
      </c>
      <c r="D8" s="466">
        <v>89987</v>
      </c>
      <c r="E8" s="466">
        <v>12491</v>
      </c>
      <c r="F8" s="466">
        <v>2802</v>
      </c>
      <c r="G8" s="466"/>
      <c r="H8" s="466">
        <v>285</v>
      </c>
      <c r="I8" s="467"/>
      <c r="J8" s="467"/>
      <c r="K8" s="1693">
        <f t="shared" si="0"/>
        <v>411247</v>
      </c>
      <c r="L8" s="466">
        <v>507069</v>
      </c>
    </row>
    <row r="9" spans="1:14" x14ac:dyDescent="0.2">
      <c r="A9" s="1526" t="s">
        <v>745</v>
      </c>
      <c r="B9" s="615" t="s">
        <v>1025</v>
      </c>
      <c r="C9" s="467">
        <v>125590</v>
      </c>
      <c r="D9" s="467">
        <v>43687</v>
      </c>
      <c r="E9" s="467"/>
      <c r="F9" s="467">
        <v>8066</v>
      </c>
      <c r="G9" s="467"/>
      <c r="H9" s="467">
        <v>135</v>
      </c>
      <c r="I9" s="467"/>
      <c r="J9" s="467"/>
      <c r="K9" s="1693">
        <f t="shared" si="0"/>
        <v>177478</v>
      </c>
      <c r="L9" s="466">
        <v>76374</v>
      </c>
    </row>
    <row r="10" spans="1:14" x14ac:dyDescent="0.2">
      <c r="A10" s="1526" t="s">
        <v>746</v>
      </c>
      <c r="B10" s="615">
        <v>1250</v>
      </c>
      <c r="C10" s="466">
        <v>28304</v>
      </c>
      <c r="D10" s="466">
        <v>8442</v>
      </c>
      <c r="E10" s="466">
        <v>12106</v>
      </c>
      <c r="F10" s="466">
        <v>43707</v>
      </c>
      <c r="G10" s="466"/>
      <c r="H10" s="466">
        <v>403</v>
      </c>
      <c r="I10" s="467"/>
      <c r="J10" s="467"/>
      <c r="K10" s="1693">
        <f t="shared" si="0"/>
        <v>92962</v>
      </c>
      <c r="L10" s="466">
        <v>126219</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56279</v>
      </c>
      <c r="D14" s="466">
        <v>3074</v>
      </c>
      <c r="E14" s="466">
        <v>15990</v>
      </c>
      <c r="F14" s="466">
        <v>13033</v>
      </c>
      <c r="G14" s="466"/>
      <c r="H14" s="466">
        <v>2862</v>
      </c>
      <c r="I14" s="467"/>
      <c r="J14" s="467"/>
      <c r="K14" s="1693">
        <f t="shared" si="0"/>
        <v>91238</v>
      </c>
      <c r="L14" s="466">
        <v>87366</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8131</v>
      </c>
      <c r="D17" s="467">
        <v>2666</v>
      </c>
      <c r="E17" s="467"/>
      <c r="F17" s="467"/>
      <c r="G17" s="467"/>
      <c r="H17" s="467">
        <v>10</v>
      </c>
      <c r="I17" s="467"/>
      <c r="J17" s="467"/>
      <c r="K17" s="1693">
        <f t="shared" si="0"/>
        <v>10807</v>
      </c>
      <c r="L17" s="466">
        <v>10959</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1882455</v>
      </c>
      <c r="D33" s="1692">
        <f t="shared" ref="D33:L33" si="1">SUM(D5:D32)</f>
        <v>475343</v>
      </c>
      <c r="E33" s="1692">
        <f t="shared" si="1"/>
        <v>49626</v>
      </c>
      <c r="F33" s="1692">
        <f t="shared" si="1"/>
        <v>97678</v>
      </c>
      <c r="G33" s="1692">
        <f t="shared" si="1"/>
        <v>0</v>
      </c>
      <c r="H33" s="1692">
        <f t="shared" si="1"/>
        <v>8795</v>
      </c>
      <c r="I33" s="1692">
        <f t="shared" si="1"/>
        <v>0</v>
      </c>
      <c r="J33" s="1692">
        <f t="shared" si="1"/>
        <v>0</v>
      </c>
      <c r="K33" s="1692">
        <f t="shared" si="1"/>
        <v>2513897</v>
      </c>
      <c r="L33" s="1692">
        <f t="shared" si="1"/>
        <v>2503656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48057</v>
      </c>
      <c r="D36" s="481">
        <v>12175</v>
      </c>
      <c r="E36" s="481">
        <v>329</v>
      </c>
      <c r="F36" s="481">
        <v>215</v>
      </c>
      <c r="G36" s="481"/>
      <c r="H36" s="481">
        <v>530</v>
      </c>
      <c r="I36" s="467"/>
      <c r="J36" s="467"/>
      <c r="K36" s="1693">
        <f t="shared" ref="K36:K41" si="2">SUM(C36:J36)</f>
        <v>61306</v>
      </c>
      <c r="L36" s="466">
        <v>60749</v>
      </c>
    </row>
    <row r="37" spans="1:14" x14ac:dyDescent="0.2">
      <c r="A37" s="1526" t="s">
        <v>1151</v>
      </c>
      <c r="B37" s="615">
        <v>2120</v>
      </c>
      <c r="C37" s="466">
        <v>48845</v>
      </c>
      <c r="D37" s="466">
        <v>5430</v>
      </c>
      <c r="E37" s="466"/>
      <c r="F37" s="466">
        <v>3636</v>
      </c>
      <c r="G37" s="466"/>
      <c r="H37" s="466">
        <v>344</v>
      </c>
      <c r="I37" s="467"/>
      <c r="J37" s="467"/>
      <c r="K37" s="1693">
        <f t="shared" si="2"/>
        <v>58255</v>
      </c>
      <c r="L37" s="466">
        <v>58831</v>
      </c>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v>48746</v>
      </c>
      <c r="F39" s="466"/>
      <c r="G39" s="466"/>
      <c r="H39" s="466"/>
      <c r="I39" s="467"/>
      <c r="J39" s="467"/>
      <c r="K39" s="1693">
        <f t="shared" si="2"/>
        <v>48746</v>
      </c>
      <c r="L39" s="466">
        <v>46000</v>
      </c>
    </row>
    <row r="40" spans="1:14" x14ac:dyDescent="0.2">
      <c r="A40" s="1526" t="s">
        <v>209</v>
      </c>
      <c r="B40" s="615">
        <v>2150</v>
      </c>
      <c r="C40" s="466"/>
      <c r="D40" s="466"/>
      <c r="E40" s="466">
        <v>65132</v>
      </c>
      <c r="F40" s="466">
        <v>48</v>
      </c>
      <c r="G40" s="466"/>
      <c r="H40" s="466"/>
      <c r="I40" s="467"/>
      <c r="J40" s="467"/>
      <c r="K40" s="1693">
        <f t="shared" si="2"/>
        <v>65180</v>
      </c>
      <c r="L40" s="466">
        <v>60695</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96902</v>
      </c>
      <c r="D42" s="1692">
        <f t="shared" ref="D42:L42" si="3">SUM(D36:D41)</f>
        <v>17605</v>
      </c>
      <c r="E42" s="1692">
        <f t="shared" si="3"/>
        <v>114207</v>
      </c>
      <c r="F42" s="1692">
        <f t="shared" si="3"/>
        <v>3899</v>
      </c>
      <c r="G42" s="1692">
        <f t="shared" si="3"/>
        <v>0</v>
      </c>
      <c r="H42" s="1692">
        <f t="shared" si="3"/>
        <v>874</v>
      </c>
      <c r="I42" s="1692">
        <f t="shared" si="3"/>
        <v>0</v>
      </c>
      <c r="J42" s="1692">
        <f t="shared" si="3"/>
        <v>0</v>
      </c>
      <c r="K42" s="1692">
        <f t="shared" si="3"/>
        <v>233487</v>
      </c>
      <c r="L42" s="1692">
        <f t="shared" si="3"/>
        <v>226275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8756</v>
      </c>
      <c r="D44" s="481">
        <v>8781</v>
      </c>
      <c r="E44" s="481">
        <v>1238</v>
      </c>
      <c r="F44" s="481">
        <v>124</v>
      </c>
      <c r="G44" s="481"/>
      <c r="H44" s="481">
        <v>3531</v>
      </c>
      <c r="I44" s="467"/>
      <c r="J44" s="467"/>
      <c r="K44" s="1694">
        <f>SUM(C44:J44)</f>
        <v>22430</v>
      </c>
      <c r="L44" s="481">
        <v>22122</v>
      </c>
    </row>
    <row r="45" spans="1:14" x14ac:dyDescent="0.2">
      <c r="A45" s="1526" t="s">
        <v>869</v>
      </c>
      <c r="B45" s="615">
        <v>2220</v>
      </c>
      <c r="C45" s="466">
        <v>15889</v>
      </c>
      <c r="D45" s="466"/>
      <c r="E45" s="466">
        <v>100</v>
      </c>
      <c r="F45" s="466">
        <v>2630</v>
      </c>
      <c r="G45" s="466"/>
      <c r="H45" s="466"/>
      <c r="I45" s="467"/>
      <c r="J45" s="467"/>
      <c r="K45" s="1694">
        <f>SUM(C45:J45)</f>
        <v>18619</v>
      </c>
      <c r="L45" s="466">
        <v>17787</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24645</v>
      </c>
      <c r="D47" s="1692">
        <f t="shared" ref="D47:K47" si="4">SUM(D44:D46)</f>
        <v>8781</v>
      </c>
      <c r="E47" s="1692">
        <f t="shared" si="4"/>
        <v>1338</v>
      </c>
      <c r="F47" s="1692">
        <f t="shared" si="4"/>
        <v>2754</v>
      </c>
      <c r="G47" s="1692">
        <f t="shared" si="4"/>
        <v>0</v>
      </c>
      <c r="H47" s="1692">
        <f t="shared" si="4"/>
        <v>3531</v>
      </c>
      <c r="I47" s="1692">
        <f t="shared" si="4"/>
        <v>0</v>
      </c>
      <c r="J47" s="1692">
        <f t="shared" si="4"/>
        <v>0</v>
      </c>
      <c r="K47" s="1692">
        <f t="shared" si="4"/>
        <v>41049</v>
      </c>
      <c r="L47" s="1692">
        <f>SUM(L44:L46)</f>
        <v>39909</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9522</v>
      </c>
      <c r="D49" s="481">
        <v>379</v>
      </c>
      <c r="E49" s="481">
        <v>23386</v>
      </c>
      <c r="F49" s="481">
        <v>2290</v>
      </c>
      <c r="G49" s="481"/>
      <c r="H49" s="481">
        <v>12094</v>
      </c>
      <c r="I49" s="467"/>
      <c r="J49" s="467"/>
      <c r="K49" s="1694">
        <f>SUM(C49:J49)</f>
        <v>47671</v>
      </c>
      <c r="L49" s="481">
        <v>53552</v>
      </c>
    </row>
    <row r="50" spans="1:14" x14ac:dyDescent="0.2">
      <c r="A50" s="1526" t="s">
        <v>872</v>
      </c>
      <c r="B50" s="615">
        <v>2320</v>
      </c>
      <c r="C50" s="466">
        <v>105000</v>
      </c>
      <c r="D50" s="466">
        <v>27708</v>
      </c>
      <c r="E50" s="466">
        <v>1831</v>
      </c>
      <c r="F50" s="466">
        <v>1429</v>
      </c>
      <c r="G50" s="466"/>
      <c r="H50" s="466">
        <v>4532</v>
      </c>
      <c r="I50" s="467"/>
      <c r="J50" s="467"/>
      <c r="K50" s="1694">
        <f>SUM(C50:J50)</f>
        <v>140500</v>
      </c>
      <c r="L50" s="466">
        <v>139361</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114522</v>
      </c>
      <c r="D53" s="1692">
        <f t="shared" ref="D53:L53" si="5">SUM(D49:D52)</f>
        <v>28087</v>
      </c>
      <c r="E53" s="1692">
        <f t="shared" si="5"/>
        <v>25217</v>
      </c>
      <c r="F53" s="1692">
        <f t="shared" si="5"/>
        <v>3719</v>
      </c>
      <c r="G53" s="1692">
        <f t="shared" si="5"/>
        <v>0</v>
      </c>
      <c r="H53" s="1692">
        <f t="shared" si="5"/>
        <v>16626</v>
      </c>
      <c r="I53" s="1692">
        <f t="shared" si="5"/>
        <v>0</v>
      </c>
      <c r="J53" s="1692">
        <f t="shared" si="5"/>
        <v>0</v>
      </c>
      <c r="K53" s="1692">
        <f t="shared" si="5"/>
        <v>188171</v>
      </c>
      <c r="L53" s="1692">
        <f t="shared" si="5"/>
        <v>192913</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110359</v>
      </c>
      <c r="D55" s="481">
        <v>30875</v>
      </c>
      <c r="E55" s="481">
        <v>461</v>
      </c>
      <c r="F55" s="481">
        <v>11861</v>
      </c>
      <c r="G55" s="481"/>
      <c r="H55" s="481">
        <v>745</v>
      </c>
      <c r="I55" s="467"/>
      <c r="J55" s="467"/>
      <c r="K55" s="1694">
        <f>SUM(C55:J55)</f>
        <v>154301</v>
      </c>
      <c r="L55" s="481">
        <v>156091</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110359</v>
      </c>
      <c r="D57" s="1696">
        <f t="shared" ref="D57:K57" si="6">SUM(D55:D56)</f>
        <v>30875</v>
      </c>
      <c r="E57" s="1696">
        <f t="shared" si="6"/>
        <v>461</v>
      </c>
      <c r="F57" s="1696">
        <f t="shared" si="6"/>
        <v>11861</v>
      </c>
      <c r="G57" s="1696">
        <f t="shared" si="6"/>
        <v>0</v>
      </c>
      <c r="H57" s="1696">
        <f t="shared" si="6"/>
        <v>745</v>
      </c>
      <c r="I57" s="1696">
        <f t="shared" si="6"/>
        <v>0</v>
      </c>
      <c r="J57" s="1696">
        <f t="shared" si="6"/>
        <v>0</v>
      </c>
      <c r="K57" s="1696">
        <f t="shared" si="6"/>
        <v>154301</v>
      </c>
      <c r="L57" s="1692">
        <f>SUM(L55:L56)</f>
        <v>156091</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67531</v>
      </c>
      <c r="D60" s="466">
        <v>13083</v>
      </c>
      <c r="E60" s="466">
        <v>3723</v>
      </c>
      <c r="F60" s="466">
        <v>728</v>
      </c>
      <c r="G60" s="466"/>
      <c r="H60" s="466">
        <v>57</v>
      </c>
      <c r="I60" s="467"/>
      <c r="J60" s="467"/>
      <c r="K60" s="1694">
        <f t="shared" si="7"/>
        <v>85122</v>
      </c>
      <c r="L60" s="466">
        <v>85602</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v>173</v>
      </c>
      <c r="D62" s="466"/>
      <c r="E62" s="466"/>
      <c r="F62" s="466"/>
      <c r="G62" s="466"/>
      <c r="H62" s="466"/>
      <c r="I62" s="467"/>
      <c r="J62" s="467"/>
      <c r="K62" s="1694">
        <f t="shared" si="7"/>
        <v>173</v>
      </c>
      <c r="L62" s="466">
        <v>0</v>
      </c>
      <c r="M62" s="610"/>
      <c r="N62" s="610"/>
    </row>
    <row r="63" spans="1:14" s="610" customFormat="1" x14ac:dyDescent="0.2">
      <c r="A63" s="1526" t="s">
        <v>102</v>
      </c>
      <c r="B63" s="615">
        <v>2560</v>
      </c>
      <c r="C63" s="466">
        <v>68908</v>
      </c>
      <c r="D63" s="466">
        <v>30355</v>
      </c>
      <c r="E63" s="466">
        <v>2480</v>
      </c>
      <c r="F63" s="466">
        <f>104581-21740</f>
        <v>82841</v>
      </c>
      <c r="G63" s="466">
        <v>7785</v>
      </c>
      <c r="H63" s="466">
        <v>681</v>
      </c>
      <c r="I63" s="467"/>
      <c r="J63" s="467"/>
      <c r="K63" s="1694">
        <f t="shared" si="7"/>
        <v>193050</v>
      </c>
      <c r="L63" s="466">
        <v>199094</v>
      </c>
    </row>
    <row r="64" spans="1:14" s="610" customFormat="1" x14ac:dyDescent="0.2">
      <c r="A64" s="1531" t="s">
        <v>103</v>
      </c>
      <c r="B64" s="631">
        <v>2570</v>
      </c>
      <c r="C64" s="481"/>
      <c r="D64" s="481"/>
      <c r="E64" s="481">
        <v>17794</v>
      </c>
      <c r="F64" s="481"/>
      <c r="G64" s="481"/>
      <c r="H64" s="481"/>
      <c r="I64" s="467"/>
      <c r="J64" s="467"/>
      <c r="K64" s="1694">
        <f t="shared" si="7"/>
        <v>17794</v>
      </c>
      <c r="L64" s="481">
        <v>0</v>
      </c>
    </row>
    <row r="65" spans="1:14" s="343" customFormat="1" ht="12.75" customHeight="1" thickBot="1" x14ac:dyDescent="0.25">
      <c r="A65" s="1690" t="s">
        <v>743</v>
      </c>
      <c r="B65" s="1691" t="s">
        <v>35</v>
      </c>
      <c r="C65" s="1692">
        <f>SUM(C59:C64)</f>
        <v>136612</v>
      </c>
      <c r="D65" s="1692">
        <f t="shared" ref="D65:L65" si="8">SUM(D59:D64)</f>
        <v>43438</v>
      </c>
      <c r="E65" s="1692">
        <f t="shared" si="8"/>
        <v>23997</v>
      </c>
      <c r="F65" s="1692">
        <f t="shared" si="8"/>
        <v>83569</v>
      </c>
      <c r="G65" s="1692">
        <f t="shared" si="8"/>
        <v>7785</v>
      </c>
      <c r="H65" s="1692">
        <f t="shared" si="8"/>
        <v>738</v>
      </c>
      <c r="I65" s="1692">
        <f t="shared" si="8"/>
        <v>0</v>
      </c>
      <c r="J65" s="1692">
        <f t="shared" si="8"/>
        <v>0</v>
      </c>
      <c r="K65" s="1692">
        <f t="shared" si="8"/>
        <v>296139</v>
      </c>
      <c r="L65" s="1692">
        <f t="shared" si="8"/>
        <v>284696</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v>84597</v>
      </c>
      <c r="D71" s="466">
        <v>15980</v>
      </c>
      <c r="E71" s="466">
        <v>33805</v>
      </c>
      <c r="F71" s="466">
        <v>69184</v>
      </c>
      <c r="G71" s="466"/>
      <c r="H71" s="466">
        <v>2090</v>
      </c>
      <c r="I71" s="467"/>
      <c r="J71" s="467"/>
      <c r="K71" s="1694">
        <f>SUM(C71:J71)</f>
        <v>205656</v>
      </c>
      <c r="L71" s="466">
        <v>189772</v>
      </c>
      <c r="M71" s="610"/>
      <c r="N71" s="610"/>
    </row>
    <row r="72" spans="1:14" s="343" customFormat="1" ht="12.75" customHeight="1" thickBot="1" x14ac:dyDescent="0.25">
      <c r="A72" s="1690" t="s">
        <v>37</v>
      </c>
      <c r="B72" s="1697" t="s">
        <v>36</v>
      </c>
      <c r="C72" s="1692">
        <f>SUM(C67:C71)</f>
        <v>84597</v>
      </c>
      <c r="D72" s="1692">
        <f t="shared" ref="D72:K72" si="9">SUM(D67:D71)</f>
        <v>15980</v>
      </c>
      <c r="E72" s="1692">
        <f t="shared" si="9"/>
        <v>33805</v>
      </c>
      <c r="F72" s="1692">
        <f t="shared" si="9"/>
        <v>69184</v>
      </c>
      <c r="G72" s="1692">
        <f t="shared" si="9"/>
        <v>0</v>
      </c>
      <c r="H72" s="1692">
        <f t="shared" si="9"/>
        <v>2090</v>
      </c>
      <c r="I72" s="1692">
        <f t="shared" si="9"/>
        <v>0</v>
      </c>
      <c r="J72" s="1692">
        <f t="shared" si="9"/>
        <v>0</v>
      </c>
      <c r="K72" s="1692">
        <f t="shared" si="9"/>
        <v>205656</v>
      </c>
      <c r="L72" s="1692">
        <f>SUM(L67:L71)</f>
        <v>189772</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567637</v>
      </c>
      <c r="D74" s="1699">
        <f t="shared" ref="D74:K74" si="10">SUM(D42,D47,D53,D57,D65,D72,D73)</f>
        <v>144766</v>
      </c>
      <c r="E74" s="1699">
        <f t="shared" si="10"/>
        <v>199025</v>
      </c>
      <c r="F74" s="1699">
        <f t="shared" si="10"/>
        <v>174986</v>
      </c>
      <c r="G74" s="1699">
        <f t="shared" si="10"/>
        <v>7785</v>
      </c>
      <c r="H74" s="1699">
        <f t="shared" si="10"/>
        <v>24604</v>
      </c>
      <c r="I74" s="1699">
        <f t="shared" si="10"/>
        <v>0</v>
      </c>
      <c r="J74" s="1699">
        <f t="shared" si="10"/>
        <v>0</v>
      </c>
      <c r="K74" s="1699">
        <f t="shared" si="10"/>
        <v>1118803</v>
      </c>
      <c r="L74" s="1699">
        <f>SUM(L42,L47,L53,L57,L65,L72,L73)</f>
        <v>1089656</v>
      </c>
    </row>
    <row r="75" spans="1:14" s="259" customFormat="1" ht="15.75" customHeight="1" thickTop="1" thickBot="1" x14ac:dyDescent="0.25">
      <c r="A75" s="1632" t="s">
        <v>49</v>
      </c>
      <c r="B75" s="1633" t="s">
        <v>596</v>
      </c>
      <c r="C75" s="573">
        <v>6380</v>
      </c>
      <c r="D75" s="573">
        <v>1202</v>
      </c>
      <c r="E75" s="573"/>
      <c r="F75" s="573"/>
      <c r="G75" s="573"/>
      <c r="H75" s="573"/>
      <c r="I75" s="531"/>
      <c r="J75" s="531"/>
      <c r="K75" s="1692">
        <f>SUM(C75:J75)</f>
        <v>7582</v>
      </c>
      <c r="L75" s="576">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28770</v>
      </c>
      <c r="F79" s="617"/>
      <c r="G79" s="617"/>
      <c r="H79" s="466">
        <v>53012</v>
      </c>
      <c r="I79" s="477"/>
      <c r="J79" s="477"/>
      <c r="K79" s="1693">
        <f t="shared" si="11"/>
        <v>81782</v>
      </c>
      <c r="L79" s="466">
        <v>94411</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v>25893</v>
      </c>
      <c r="F81" s="617"/>
      <c r="G81" s="617"/>
      <c r="H81" s="466"/>
      <c r="I81" s="477"/>
      <c r="J81" s="477"/>
      <c r="K81" s="1693">
        <f t="shared" si="11"/>
        <v>25893</v>
      </c>
      <c r="L81" s="466">
        <v>15268</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54663</v>
      </c>
      <c r="F84" s="617"/>
      <c r="G84" s="617"/>
      <c r="H84" s="1692">
        <f>SUM(H78:H83)</f>
        <v>53012</v>
      </c>
      <c r="I84" s="477"/>
      <c r="J84" s="477"/>
      <c r="K84" s="1692">
        <f>SUM(K78:K83)</f>
        <v>107675</v>
      </c>
      <c r="L84" s="1692">
        <f>SUM(L78:L83)</f>
        <v>109679</v>
      </c>
    </row>
    <row r="85" spans="1:12" ht="12.75" customHeight="1" thickTop="1" thickBot="1" x14ac:dyDescent="0.25">
      <c r="A85" s="1533" t="s">
        <v>273</v>
      </c>
      <c r="B85" s="636">
        <v>4210</v>
      </c>
      <c r="C85" s="617"/>
      <c r="D85" s="617"/>
      <c r="E85" s="637"/>
      <c r="F85" s="617"/>
      <c r="G85" s="617"/>
      <c r="H85" s="535">
        <v>350</v>
      </c>
      <c r="I85" s="477"/>
      <c r="J85" s="477"/>
      <c r="K85" s="1699">
        <f>H85</f>
        <v>350</v>
      </c>
      <c r="L85" s="530">
        <v>0</v>
      </c>
    </row>
    <row r="86" spans="1:12" ht="12.75" customHeight="1" thickTop="1" thickBot="1" x14ac:dyDescent="0.25">
      <c r="A86" s="1534" t="s">
        <v>723</v>
      </c>
      <c r="B86" s="638">
        <v>4220</v>
      </c>
      <c r="C86" s="617"/>
      <c r="D86" s="617"/>
      <c r="E86" s="639"/>
      <c r="F86" s="617"/>
      <c r="G86" s="617"/>
      <c r="H86" s="467">
        <v>44906</v>
      </c>
      <c r="I86" s="477"/>
      <c r="J86" s="477"/>
      <c r="K86" s="1699">
        <f t="shared" ref="K86:K98" si="12">H86</f>
        <v>44906</v>
      </c>
      <c r="L86" s="530">
        <v>44627</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v>42818</v>
      </c>
      <c r="I88" s="477"/>
      <c r="J88" s="477"/>
      <c r="K88" s="1699">
        <f t="shared" si="12"/>
        <v>42818</v>
      </c>
      <c r="L88" s="530">
        <v>42713</v>
      </c>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88074</v>
      </c>
      <c r="I92" s="477"/>
      <c r="J92" s="477"/>
      <c r="K92" s="1699">
        <f t="shared" si="12"/>
        <v>88074</v>
      </c>
      <c r="L92" s="1692">
        <f>SUM(L85:L91)</f>
        <v>87340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54663</v>
      </c>
      <c r="F102" s="617"/>
      <c r="G102" s="617"/>
      <c r="H102" s="1699">
        <f>SUM(H84,H92,H100,H101)</f>
        <v>141086</v>
      </c>
      <c r="I102" s="477"/>
      <c r="J102" s="477"/>
      <c r="K102" s="1699">
        <f>SUM(K84,K92,K100,K101)</f>
        <v>195749</v>
      </c>
      <c r="L102" s="1699">
        <f>SUM(L84,L92,L100,L101)</f>
        <v>197019</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2456472</v>
      </c>
      <c r="D114" s="1692">
        <f t="shared" ref="D114:K114" si="13">SUM(D33,D74,D75,D102,D112,D113)</f>
        <v>621311</v>
      </c>
      <c r="E114" s="1692">
        <f t="shared" si="13"/>
        <v>303314</v>
      </c>
      <c r="F114" s="1692">
        <f t="shared" si="13"/>
        <v>272664</v>
      </c>
      <c r="G114" s="1692">
        <f t="shared" si="13"/>
        <v>7785</v>
      </c>
      <c r="H114" s="1692">
        <f>SUM(H33,H74,H75,H102,H112,H113)</f>
        <v>174485</v>
      </c>
      <c r="I114" s="1692">
        <f t="shared" si="13"/>
        <v>0</v>
      </c>
      <c r="J114" s="1692">
        <f t="shared" si="13"/>
        <v>0</v>
      </c>
      <c r="K114" s="1692">
        <f t="shared" si="13"/>
        <v>3836031</v>
      </c>
      <c r="L114" s="1692">
        <f>SUM(L33,L74,L75,L102,L112,L113)</f>
        <v>3790331</v>
      </c>
    </row>
    <row r="115" spans="1:14" ht="13.5" thickTop="1" x14ac:dyDescent="0.2">
      <c r="A115" s="2200" t="s">
        <v>1053</v>
      </c>
      <c r="B115" s="2201"/>
      <c r="C115" s="619"/>
      <c r="D115" s="619"/>
      <c r="E115" s="619"/>
      <c r="F115" s="619"/>
      <c r="G115" s="619"/>
      <c r="H115" s="619"/>
      <c r="I115" s="619"/>
      <c r="J115" s="619"/>
      <c r="K115" s="1706">
        <f>'Revenues 9-14'!C275-'Expenditures 15-22'!K114</f>
        <v>615179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v>135000</v>
      </c>
      <c r="H123" s="466"/>
      <c r="I123" s="467"/>
      <c r="J123" s="467"/>
      <c r="K123" s="1692">
        <f>SUM(C123:J123)</f>
        <v>135000</v>
      </c>
      <c r="L123" s="466">
        <v>245389</v>
      </c>
    </row>
    <row r="124" spans="1:14" ht="14.25" thickTop="1" thickBot="1" x14ac:dyDescent="0.25">
      <c r="A124" s="1526" t="s">
        <v>206</v>
      </c>
      <c r="B124" s="615">
        <v>2540</v>
      </c>
      <c r="C124" s="466">
        <v>120599</v>
      </c>
      <c r="D124" s="466">
        <v>26454</v>
      </c>
      <c r="E124" s="466">
        <v>55618</v>
      </c>
      <c r="F124" s="466">
        <v>127295</v>
      </c>
      <c r="G124" s="466">
        <v>110389</v>
      </c>
      <c r="H124" s="466">
        <v>215</v>
      </c>
      <c r="I124" s="467"/>
      <c r="J124" s="467"/>
      <c r="K124" s="1692">
        <f>SUM(C124:J124)</f>
        <v>440570</v>
      </c>
      <c r="L124" s="466">
        <v>330482</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120599</v>
      </c>
      <c r="D127" s="1692">
        <f t="shared" ref="D127:L127" si="14">SUM(D122:D126)</f>
        <v>26454</v>
      </c>
      <c r="E127" s="1692">
        <f t="shared" si="14"/>
        <v>55618</v>
      </c>
      <c r="F127" s="1692">
        <f t="shared" si="14"/>
        <v>127295</v>
      </c>
      <c r="G127" s="1692">
        <f t="shared" si="14"/>
        <v>245389</v>
      </c>
      <c r="H127" s="1692">
        <f t="shared" si="14"/>
        <v>215</v>
      </c>
      <c r="I127" s="1692">
        <f t="shared" si="14"/>
        <v>0</v>
      </c>
      <c r="J127" s="1692">
        <f t="shared" si="14"/>
        <v>0</v>
      </c>
      <c r="K127" s="1692">
        <f t="shared" si="14"/>
        <v>575570</v>
      </c>
      <c r="L127" s="1692">
        <f t="shared" si="14"/>
        <v>575871</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120599</v>
      </c>
      <c r="D129" s="1699">
        <f t="shared" ref="D129:L129" si="15">SUM(D120,D127,D128)</f>
        <v>26454</v>
      </c>
      <c r="E129" s="1699">
        <f t="shared" si="15"/>
        <v>55618</v>
      </c>
      <c r="F129" s="1699">
        <f t="shared" si="15"/>
        <v>127295</v>
      </c>
      <c r="G129" s="1699">
        <f t="shared" si="15"/>
        <v>245389</v>
      </c>
      <c r="H129" s="1699">
        <f t="shared" si="15"/>
        <v>215</v>
      </c>
      <c r="I129" s="1699">
        <f t="shared" si="15"/>
        <v>0</v>
      </c>
      <c r="J129" s="1699">
        <f t="shared" si="15"/>
        <v>0</v>
      </c>
      <c r="K129" s="1699">
        <f t="shared" si="15"/>
        <v>575570</v>
      </c>
      <c r="L129" s="1699">
        <f t="shared" si="15"/>
        <v>575871</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0" t="s">
        <v>641</v>
      </c>
      <c r="B151" s="2172"/>
      <c r="C151" s="1692">
        <f>SUM(C129,C130,C139,C149,C150)</f>
        <v>120599</v>
      </c>
      <c r="D151" s="1692">
        <f t="shared" ref="D151:K151" si="16">SUM(D129,D130,D139,D149,D150)</f>
        <v>26454</v>
      </c>
      <c r="E151" s="1692">
        <f t="shared" si="16"/>
        <v>55618</v>
      </c>
      <c r="F151" s="1692">
        <f t="shared" si="16"/>
        <v>127295</v>
      </c>
      <c r="G151" s="1692">
        <f t="shared" si="16"/>
        <v>245389</v>
      </c>
      <c r="H151" s="1692">
        <f t="shared" si="16"/>
        <v>215</v>
      </c>
      <c r="I151" s="1692">
        <f t="shared" si="16"/>
        <v>0</v>
      </c>
      <c r="J151" s="1692">
        <f t="shared" si="16"/>
        <v>0</v>
      </c>
      <c r="K151" s="1692">
        <f t="shared" si="16"/>
        <v>575570</v>
      </c>
      <c r="L151" s="1692">
        <f>SUM(L129,L130,L139,L149,L150)</f>
        <v>575871</v>
      </c>
    </row>
    <row r="152" spans="1:14" ht="12.75" customHeight="1" thickTop="1" x14ac:dyDescent="0.2">
      <c r="A152" s="2193" t="s">
        <v>1240</v>
      </c>
      <c r="B152" s="2194"/>
      <c r="C152" s="619"/>
      <c r="D152" s="619"/>
      <c r="E152" s="619"/>
      <c r="F152" s="619"/>
      <c r="G152" s="619"/>
      <c r="H152" s="619"/>
      <c r="I152" s="619"/>
      <c r="J152" s="617"/>
      <c r="K152" s="1706">
        <f>'Revenues 9-14'!D275-'Expenditures 15-22'!K151</f>
        <v>-177417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88177</v>
      </c>
      <c r="I169" s="617"/>
      <c r="J169" s="617"/>
      <c r="K169" s="1693">
        <f>SUM(C169:H169)</f>
        <v>88177</v>
      </c>
      <c r="L169" s="657">
        <v>71414</v>
      </c>
    </row>
    <row r="170" spans="1:14" ht="33.75" customHeight="1" x14ac:dyDescent="0.2">
      <c r="A170" s="670" t="s">
        <v>1769</v>
      </c>
      <c r="B170" s="672" t="s">
        <v>31</v>
      </c>
      <c r="C170" s="617"/>
      <c r="D170" s="617"/>
      <c r="E170" s="617"/>
      <c r="F170" s="617"/>
      <c r="G170" s="617"/>
      <c r="H170" s="569">
        <v>300000</v>
      </c>
      <c r="I170" s="617"/>
      <c r="J170" s="617"/>
      <c r="K170" s="1693">
        <f>SUM(C170:J170)</f>
        <v>300000</v>
      </c>
      <c r="L170" s="569">
        <v>300000</v>
      </c>
    </row>
    <row r="171" spans="1:14" ht="15.75" customHeight="1" x14ac:dyDescent="0.2">
      <c r="A171" s="622" t="s">
        <v>790</v>
      </c>
      <c r="B171" s="673" t="s">
        <v>86</v>
      </c>
      <c r="C171" s="617"/>
      <c r="D171" s="617"/>
      <c r="E171" s="466"/>
      <c r="F171" s="617"/>
      <c r="G171" s="617"/>
      <c r="H171" s="569">
        <v>1425</v>
      </c>
      <c r="I171" s="477"/>
      <c r="J171" s="617"/>
      <c r="K171" s="1693">
        <f>SUM(C171:J171)</f>
        <v>1425</v>
      </c>
      <c r="L171" s="569">
        <v>0</v>
      </c>
    </row>
    <row r="172" spans="1:14" ht="12.75" customHeight="1" thickBot="1" x14ac:dyDescent="0.25">
      <c r="A172" s="1690" t="s">
        <v>659</v>
      </c>
      <c r="B172" s="1691" t="s">
        <v>513</v>
      </c>
      <c r="C172" s="617"/>
      <c r="D172" s="617"/>
      <c r="E172" s="1699">
        <f>SUM(E168,E169,E170,E171)</f>
        <v>0</v>
      </c>
      <c r="F172" s="617"/>
      <c r="G172" s="617"/>
      <c r="H172" s="1699">
        <f>SUM(H168,H169,H170,H171)</f>
        <v>389602</v>
      </c>
      <c r="I172" s="639"/>
      <c r="J172" s="617"/>
      <c r="K172" s="1699">
        <f>SUM(K168,K169,K170,K171)</f>
        <v>389602</v>
      </c>
      <c r="L172" s="1699">
        <f>SUM(L168,L169,L170,L171)</f>
        <v>371414</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389602</v>
      </c>
      <c r="I174" s="639"/>
      <c r="J174" s="617"/>
      <c r="K174" s="1699">
        <f>SUM(K160,K172,K173)</f>
        <v>389602</v>
      </c>
      <c r="L174" s="1699">
        <f>SUM(L160,L172,L173)</f>
        <v>371414</v>
      </c>
    </row>
    <row r="175" spans="1:14" ht="13.5" thickTop="1" x14ac:dyDescent="0.2">
      <c r="A175" s="2200" t="s">
        <v>1053</v>
      </c>
      <c r="B175" s="2201"/>
      <c r="C175" s="617"/>
      <c r="D175" s="617"/>
      <c r="E175" s="617"/>
      <c r="F175" s="617"/>
      <c r="G175" s="617"/>
      <c r="H175" s="619"/>
      <c r="I175" s="617"/>
      <c r="J175" s="617"/>
      <c r="K175" s="1706">
        <f>'Revenues 9-14'!E275-'Expenditures 15-22'!K174</f>
        <v>-17225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80000</v>
      </c>
      <c r="D182" s="466">
        <v>201</v>
      </c>
      <c r="E182" s="466">
        <v>24205</v>
      </c>
      <c r="F182" s="466">
        <v>24320</v>
      </c>
      <c r="G182" s="466">
        <v>57684</v>
      </c>
      <c r="H182" s="466">
        <v>690</v>
      </c>
      <c r="I182" s="467"/>
      <c r="J182" s="467"/>
      <c r="K182" s="1693">
        <f>SUM(C182:J182)</f>
        <v>187100</v>
      </c>
      <c r="L182" s="466">
        <v>183548</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80000</v>
      </c>
      <c r="D184" s="1699">
        <f t="shared" ref="D184:J184" si="17">SUM(D180,D182,D183)</f>
        <v>201</v>
      </c>
      <c r="E184" s="1699">
        <f t="shared" si="17"/>
        <v>24205</v>
      </c>
      <c r="F184" s="1699">
        <f t="shared" si="17"/>
        <v>24320</v>
      </c>
      <c r="G184" s="1699">
        <f t="shared" si="17"/>
        <v>57684</v>
      </c>
      <c r="H184" s="1699">
        <f t="shared" si="17"/>
        <v>690</v>
      </c>
      <c r="I184" s="1699">
        <f t="shared" si="17"/>
        <v>0</v>
      </c>
      <c r="J184" s="1699">
        <f t="shared" si="17"/>
        <v>0</v>
      </c>
      <c r="K184" s="1699">
        <f>SUM(K180,K182,K183)</f>
        <v>187100</v>
      </c>
      <c r="L184" s="1699">
        <f>SUM(L180, L182:L183)</f>
        <v>183548</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80000</v>
      </c>
      <c r="D210" s="1692">
        <f>SUM(D184,D185)</f>
        <v>201</v>
      </c>
      <c r="E210" s="1692">
        <f>SUM(E184,E185,E196)</f>
        <v>24205</v>
      </c>
      <c r="F210" s="1692">
        <f>SUM(F184,F185)</f>
        <v>24320</v>
      </c>
      <c r="G210" s="1692">
        <f>SUM(G184,G185)</f>
        <v>57684</v>
      </c>
      <c r="H210" s="1692">
        <f>SUM(H184,H185,H196,H208,H209)</f>
        <v>690</v>
      </c>
      <c r="I210" s="1692">
        <f>SUM(I184,I185)</f>
        <v>0</v>
      </c>
      <c r="J210" s="1692">
        <f>SUM(J184,J185)</f>
        <v>0</v>
      </c>
      <c r="K210" s="1693">
        <f>SUM(K184,K185,K196,K208,K209)</f>
        <v>187100</v>
      </c>
      <c r="L210" s="1692">
        <f>SUM(L184,L185,L196,L208,L209)</f>
        <v>183548</v>
      </c>
    </row>
    <row r="211" spans="1:14" ht="13.5" thickTop="1" x14ac:dyDescent="0.2">
      <c r="A211" s="2200" t="s">
        <v>1053</v>
      </c>
      <c r="B211" s="2201"/>
      <c r="C211" s="619"/>
      <c r="D211" s="619"/>
      <c r="E211" s="619"/>
      <c r="F211" s="619"/>
      <c r="G211" s="619"/>
      <c r="H211" s="619"/>
      <c r="I211" s="617"/>
      <c r="J211" s="617"/>
      <c r="K211" s="1706">
        <f>'Revenues 9-14'!F275-'Expenditures 15-22'!K210</f>
        <v>56283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19468</v>
      </c>
      <c r="E215" s="617"/>
      <c r="F215" s="617"/>
      <c r="G215" s="617"/>
      <c r="H215" s="617"/>
      <c r="I215" s="617"/>
      <c r="J215" s="617"/>
      <c r="K215" s="1693">
        <f>D215</f>
        <v>19468</v>
      </c>
      <c r="L215" s="466">
        <v>20937</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19958</v>
      </c>
      <c r="E217" s="617"/>
      <c r="F217" s="617"/>
      <c r="G217" s="617"/>
      <c r="H217" s="617"/>
      <c r="I217" s="617"/>
      <c r="J217" s="617"/>
      <c r="K217" s="1693">
        <f t="shared" si="19"/>
        <v>19958</v>
      </c>
      <c r="L217" s="466">
        <v>20810</v>
      </c>
    </row>
    <row r="218" spans="1:14" x14ac:dyDescent="0.2">
      <c r="A218" s="1526" t="s">
        <v>296</v>
      </c>
      <c r="B218" s="615" t="s">
        <v>1025</v>
      </c>
      <c r="C218" s="617"/>
      <c r="D218" s="467">
        <v>3022</v>
      </c>
      <c r="E218" s="617"/>
      <c r="F218" s="617"/>
      <c r="G218" s="617"/>
      <c r="H218" s="617"/>
      <c r="I218" s="617"/>
      <c r="J218" s="617"/>
      <c r="K218" s="1693">
        <f t="shared" si="19"/>
        <v>3022</v>
      </c>
      <c r="L218" s="466">
        <v>3101</v>
      </c>
    </row>
    <row r="219" spans="1:14" x14ac:dyDescent="0.2">
      <c r="A219" s="1526" t="s">
        <v>297</v>
      </c>
      <c r="B219" s="615">
        <v>1250</v>
      </c>
      <c r="C219" s="617"/>
      <c r="D219" s="466">
        <v>2913</v>
      </c>
      <c r="E219" s="617"/>
      <c r="F219" s="617"/>
      <c r="G219" s="617"/>
      <c r="H219" s="617"/>
      <c r="I219" s="617"/>
      <c r="J219" s="617"/>
      <c r="K219" s="1693">
        <f t="shared" si="19"/>
        <v>2913</v>
      </c>
      <c r="L219" s="466">
        <v>2830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2730</v>
      </c>
      <c r="E223" s="617"/>
      <c r="F223" s="617"/>
      <c r="G223" s="617"/>
      <c r="H223" s="617"/>
      <c r="I223" s="617"/>
      <c r="J223" s="617"/>
      <c r="K223" s="1693">
        <f t="shared" si="19"/>
        <v>2730</v>
      </c>
      <c r="L223" s="466">
        <v>2954</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118</v>
      </c>
      <c r="E226" s="617"/>
      <c r="F226" s="617"/>
      <c r="G226" s="617"/>
      <c r="H226" s="617"/>
      <c r="I226" s="617"/>
      <c r="J226" s="617"/>
      <c r="K226" s="1693">
        <f t="shared" si="19"/>
        <v>118</v>
      </c>
      <c r="L226" s="466">
        <v>119</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48209</v>
      </c>
      <c r="E229" s="617"/>
      <c r="F229" s="617"/>
      <c r="G229" s="617"/>
      <c r="H229" s="617"/>
      <c r="I229" s="617"/>
      <c r="J229" s="617"/>
      <c r="K229" s="1692">
        <f>SUM(K215:K228)</f>
        <v>48209</v>
      </c>
      <c r="L229" s="1692">
        <f>SUM(L215:L228)</f>
        <v>50751</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643</v>
      </c>
      <c r="E232" s="617"/>
      <c r="F232" s="617"/>
      <c r="G232" s="617"/>
      <c r="H232" s="617"/>
      <c r="I232" s="617"/>
      <c r="J232" s="617"/>
      <c r="K232" s="1693">
        <f t="shared" ref="K232:K237" si="20">D232</f>
        <v>643</v>
      </c>
      <c r="L232" s="466">
        <v>642</v>
      </c>
    </row>
    <row r="233" spans="1:12" x14ac:dyDescent="0.2">
      <c r="A233" s="1526" t="s">
        <v>1151</v>
      </c>
      <c r="B233" s="615">
        <v>2120</v>
      </c>
      <c r="C233" s="617"/>
      <c r="D233" s="466">
        <v>677</v>
      </c>
      <c r="E233" s="617"/>
      <c r="F233" s="617"/>
      <c r="G233" s="617"/>
      <c r="H233" s="617"/>
      <c r="I233" s="617"/>
      <c r="J233" s="617"/>
      <c r="K233" s="1693">
        <f t="shared" si="20"/>
        <v>677</v>
      </c>
      <c r="L233" s="466">
        <v>678</v>
      </c>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1320</v>
      </c>
      <c r="E238" s="617"/>
      <c r="F238" s="617"/>
      <c r="G238" s="617"/>
      <c r="H238" s="617"/>
      <c r="I238" s="617"/>
      <c r="J238" s="617"/>
      <c r="K238" s="1692">
        <f>SUM(K232:K237)</f>
        <v>1320</v>
      </c>
      <c r="L238" s="1692">
        <f>SUM(L232:L237)</f>
        <v>1320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523</v>
      </c>
      <c r="E240" s="617"/>
      <c r="F240" s="617"/>
      <c r="G240" s="617"/>
      <c r="H240" s="617"/>
      <c r="I240" s="617"/>
      <c r="J240" s="617"/>
      <c r="K240" s="1694">
        <f>D240</f>
        <v>523</v>
      </c>
      <c r="L240" s="481">
        <v>616</v>
      </c>
    </row>
    <row r="241" spans="1:12" x14ac:dyDescent="0.2">
      <c r="A241" s="1526" t="s">
        <v>869</v>
      </c>
      <c r="B241" s="615">
        <v>2220</v>
      </c>
      <c r="C241" s="617"/>
      <c r="D241" s="466">
        <v>230</v>
      </c>
      <c r="E241" s="617"/>
      <c r="F241" s="617"/>
      <c r="G241" s="617"/>
      <c r="H241" s="617"/>
      <c r="I241" s="617"/>
      <c r="J241" s="617"/>
      <c r="K241" s="1694">
        <f>D241</f>
        <v>230</v>
      </c>
      <c r="L241" s="466">
        <v>230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753</v>
      </c>
      <c r="E243" s="617"/>
      <c r="F243" s="617"/>
      <c r="G243" s="617"/>
      <c r="H243" s="617"/>
      <c r="I243" s="617"/>
      <c r="J243" s="617"/>
      <c r="K243" s="1692">
        <f>SUM(K240:K242)</f>
        <v>753</v>
      </c>
      <c r="L243" s="1692">
        <f>SUM(L240:L242)</f>
        <v>846</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566</v>
      </c>
      <c r="E245" s="617"/>
      <c r="F245" s="617"/>
      <c r="G245" s="617"/>
      <c r="H245" s="617"/>
      <c r="I245" s="617"/>
      <c r="J245" s="617"/>
      <c r="K245" s="1694">
        <f>D245</f>
        <v>566</v>
      </c>
      <c r="L245" s="481">
        <v>566</v>
      </c>
    </row>
    <row r="246" spans="1:12" x14ac:dyDescent="0.2">
      <c r="A246" s="1526" t="s">
        <v>872</v>
      </c>
      <c r="B246" s="615">
        <v>2320</v>
      </c>
      <c r="C246" s="617"/>
      <c r="D246" s="466">
        <v>1519</v>
      </c>
      <c r="E246" s="617"/>
      <c r="F246" s="617"/>
      <c r="G246" s="617"/>
      <c r="H246" s="617"/>
      <c r="I246" s="617"/>
      <c r="J246" s="617"/>
      <c r="K246" s="1694">
        <f t="shared" ref="K246:K256" si="21">D246</f>
        <v>1519</v>
      </c>
      <c r="L246" s="466">
        <v>1519</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v>545</v>
      </c>
      <c r="E253" s="617"/>
      <c r="F253" s="617"/>
      <c r="G253" s="617"/>
      <c r="H253" s="617"/>
      <c r="I253" s="617"/>
      <c r="J253" s="617"/>
      <c r="K253" s="1694">
        <f t="shared" si="21"/>
        <v>545</v>
      </c>
      <c r="L253" s="466">
        <v>654</v>
      </c>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2630</v>
      </c>
      <c r="E257" s="617"/>
      <c r="F257" s="617"/>
      <c r="G257" s="617"/>
      <c r="H257" s="617"/>
      <c r="I257" s="617"/>
      <c r="J257" s="617"/>
      <c r="K257" s="1692">
        <f>SUM(K245:K256)</f>
        <v>2630</v>
      </c>
      <c r="L257" s="1692">
        <f>SUM(L245:L256)</f>
        <v>2739</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8224</v>
      </c>
      <c r="E259" s="617"/>
      <c r="F259" s="617"/>
      <c r="G259" s="617"/>
      <c r="H259" s="617"/>
      <c r="I259" s="617"/>
      <c r="J259" s="617"/>
      <c r="K259" s="1694">
        <f>D259</f>
        <v>8224</v>
      </c>
      <c r="L259" s="481">
        <v>8312</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8224</v>
      </c>
      <c r="E261" s="617"/>
      <c r="F261" s="617"/>
      <c r="G261" s="617"/>
      <c r="H261" s="617"/>
      <c r="I261" s="617"/>
      <c r="J261" s="617"/>
      <c r="K261" s="1692">
        <f>SUM(K259:K260)</f>
        <v>8224</v>
      </c>
      <c r="L261" s="1692">
        <f>SUM(L259:L260)</f>
        <v>8312</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7387</v>
      </c>
      <c r="E264" s="617"/>
      <c r="F264" s="617"/>
      <c r="G264" s="617"/>
      <c r="H264" s="617"/>
      <c r="I264" s="617"/>
      <c r="J264" s="617"/>
      <c r="K264" s="1694">
        <f t="shared" ref="K264:K269" si="22">D264</f>
        <v>7387</v>
      </c>
      <c r="L264" s="466">
        <v>7378</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17786</v>
      </c>
      <c r="E266" s="617"/>
      <c r="F266" s="617"/>
      <c r="G266" s="617"/>
      <c r="H266" s="617"/>
      <c r="I266" s="617"/>
      <c r="J266" s="617"/>
      <c r="K266" s="1694">
        <f t="shared" si="22"/>
        <v>17786</v>
      </c>
      <c r="L266" s="466">
        <v>17584</v>
      </c>
    </row>
    <row r="267" spans="1:14" x14ac:dyDescent="0.2">
      <c r="A267" s="1526" t="s">
        <v>1010</v>
      </c>
      <c r="B267" s="615">
        <v>2550</v>
      </c>
      <c r="C267" s="617"/>
      <c r="D267" s="466">
        <v>7996</v>
      </c>
      <c r="E267" s="617"/>
      <c r="F267" s="617"/>
      <c r="G267" s="617"/>
      <c r="H267" s="617"/>
      <c r="I267" s="617"/>
      <c r="J267" s="617"/>
      <c r="K267" s="1694">
        <f t="shared" si="22"/>
        <v>7996</v>
      </c>
      <c r="L267" s="466">
        <v>7713</v>
      </c>
    </row>
    <row r="268" spans="1:14" x14ac:dyDescent="0.2">
      <c r="A268" s="1526" t="s">
        <v>102</v>
      </c>
      <c r="B268" s="615">
        <v>2560</v>
      </c>
      <c r="C268" s="617"/>
      <c r="D268" s="466">
        <v>8642</v>
      </c>
      <c r="E268" s="617"/>
      <c r="F268" s="617"/>
      <c r="G268" s="617"/>
      <c r="H268" s="617"/>
      <c r="I268" s="617"/>
      <c r="J268" s="617"/>
      <c r="K268" s="1694">
        <f t="shared" si="22"/>
        <v>8642</v>
      </c>
      <c r="L268" s="466">
        <v>8853</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41811</v>
      </c>
      <c r="E270" s="617"/>
      <c r="F270" s="617"/>
      <c r="G270" s="617"/>
      <c r="H270" s="617"/>
      <c r="I270" s="617"/>
      <c r="J270" s="617"/>
      <c r="K270" s="1692">
        <f>SUM(K263:K269)</f>
        <v>41811</v>
      </c>
      <c r="L270" s="1692">
        <f>SUM(L263:L269)</f>
        <v>41528</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v>1158</v>
      </c>
      <c r="E276" s="617"/>
      <c r="F276" s="617"/>
      <c r="G276" s="617"/>
      <c r="H276" s="617"/>
      <c r="I276" s="617"/>
      <c r="J276" s="617"/>
      <c r="K276" s="1694">
        <f>D276</f>
        <v>1158</v>
      </c>
      <c r="L276" s="466">
        <v>1158</v>
      </c>
    </row>
    <row r="277" spans="1:12" ht="12.75" customHeight="1" thickBot="1" x14ac:dyDescent="0.25">
      <c r="A277" s="1713" t="s">
        <v>37</v>
      </c>
      <c r="B277" s="1691" t="s">
        <v>36</v>
      </c>
      <c r="C277" s="617"/>
      <c r="D277" s="1692">
        <f>SUM(D272:D276)</f>
        <v>1158</v>
      </c>
      <c r="E277" s="617"/>
      <c r="F277" s="617"/>
      <c r="G277" s="617"/>
      <c r="H277" s="617"/>
      <c r="I277" s="617"/>
      <c r="J277" s="617"/>
      <c r="K277" s="1692">
        <f>SUM(K272:K276)</f>
        <v>1158</v>
      </c>
      <c r="L277" s="1692">
        <f>SUM(L272:L276)</f>
        <v>1158</v>
      </c>
    </row>
    <row r="278" spans="1:12" ht="13.5" customHeight="1" thickTop="1" x14ac:dyDescent="0.2">
      <c r="A278" s="1532" t="s">
        <v>1037</v>
      </c>
      <c r="B278" s="656" t="s">
        <v>595</v>
      </c>
      <c r="C278" s="617"/>
      <c r="D278" s="657"/>
      <c r="E278" s="617"/>
      <c r="F278" s="617"/>
      <c r="G278" s="617"/>
      <c r="H278" s="617"/>
      <c r="I278" s="617"/>
      <c r="J278" s="617"/>
      <c r="K278" s="1707">
        <f>D278</f>
        <v>0</v>
      </c>
      <c r="L278" s="657">
        <v>86</v>
      </c>
    </row>
    <row r="279" spans="1:12" ht="12.75" customHeight="1" thickBot="1" x14ac:dyDescent="0.25">
      <c r="A279" s="1720" t="s">
        <v>865</v>
      </c>
      <c r="B279" s="1703">
        <v>2000</v>
      </c>
      <c r="C279" s="617"/>
      <c r="D279" s="1699">
        <f>SUM(D238,D243,D257,D261,D270,D277,D278)</f>
        <v>55896</v>
      </c>
      <c r="E279" s="617"/>
      <c r="F279" s="617"/>
      <c r="G279" s="617"/>
      <c r="H279" s="617"/>
      <c r="I279" s="617"/>
      <c r="J279" s="617"/>
      <c r="K279" s="1699">
        <f>SUM(K238,K243,K257,K261,K270,K277,K278)</f>
        <v>55896</v>
      </c>
      <c r="L279" s="1699">
        <f>SUM(L238,L243,L257,L261,L270,L277,L278)</f>
        <v>55989</v>
      </c>
    </row>
    <row r="280" spans="1:12" ht="15.75" customHeight="1" thickTop="1" thickBot="1" x14ac:dyDescent="0.25">
      <c r="A280" s="1646" t="s">
        <v>930</v>
      </c>
      <c r="B280" s="1635">
        <v>3000</v>
      </c>
      <c r="C280" s="617"/>
      <c r="D280" s="576">
        <v>698</v>
      </c>
      <c r="E280" s="617"/>
      <c r="F280" s="617"/>
      <c r="G280" s="617"/>
      <c r="H280" s="617"/>
      <c r="I280" s="617"/>
      <c r="J280" s="617"/>
      <c r="K280" s="1701">
        <f>D280</f>
        <v>698</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1" t="s">
        <v>526</v>
      </c>
      <c r="B295" s="2192"/>
      <c r="C295" s="617"/>
      <c r="D295" s="1692">
        <f>SUM(D229,D279,D280,D285)</f>
        <v>104803</v>
      </c>
      <c r="E295" s="617"/>
      <c r="F295" s="617"/>
      <c r="G295" s="617"/>
      <c r="H295" s="1692">
        <f>H293</f>
        <v>0</v>
      </c>
      <c r="I295" s="617"/>
      <c r="J295" s="617"/>
      <c r="K295" s="1692">
        <f>SUM(K229,K279,K280,K285,K293,K294)</f>
        <v>104803</v>
      </c>
      <c r="L295" s="1692">
        <f>SUM(L229,L279,L280,L285,L293,L294)</f>
        <v>106740</v>
      </c>
    </row>
    <row r="296" spans="1:14" ht="13.5" thickTop="1" x14ac:dyDescent="0.2">
      <c r="A296" s="2200" t="s">
        <v>1053</v>
      </c>
      <c r="B296" s="2201"/>
      <c r="C296" s="617"/>
      <c r="D296" s="619"/>
      <c r="E296" s="617"/>
      <c r="F296" s="617"/>
      <c r="G296" s="617"/>
      <c r="H296" s="688"/>
      <c r="I296" s="617"/>
      <c r="J296" s="617"/>
      <c r="K296" s="1706">
        <f>'Revenues 9-14'!G275-'Expenditures 15-22'!K295</f>
        <v>37080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8" t="s">
        <v>295</v>
      </c>
      <c r="B312" s="2189"/>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4" t="s">
        <v>1053</v>
      </c>
      <c r="B313" s="2185"/>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v>20557</v>
      </c>
      <c r="E320" s="467"/>
      <c r="F320" s="467"/>
      <c r="G320" s="467"/>
      <c r="H320" s="467"/>
      <c r="I320" s="467"/>
      <c r="J320" s="467"/>
      <c r="K320" s="1693">
        <f t="shared" ref="K320:K327" si="24">SUM(C320:J320)</f>
        <v>20557</v>
      </c>
      <c r="L320" s="467">
        <v>24668</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3220</v>
      </c>
      <c r="M321" s="666"/>
      <c r="N321" s="666"/>
    </row>
    <row r="322" spans="1:14" s="675" customFormat="1" x14ac:dyDescent="0.2">
      <c r="A322" s="1541" t="s">
        <v>256</v>
      </c>
      <c r="B322" s="698" t="s">
        <v>302</v>
      </c>
      <c r="C322" s="467"/>
      <c r="D322" s="467">
        <v>49685</v>
      </c>
      <c r="E322" s="467"/>
      <c r="F322" s="467"/>
      <c r="G322" s="467"/>
      <c r="H322" s="467"/>
      <c r="I322" s="467"/>
      <c r="J322" s="467"/>
      <c r="K322" s="1693">
        <f t="shared" si="24"/>
        <v>49685</v>
      </c>
      <c r="L322" s="467">
        <v>47115</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v>41114</v>
      </c>
      <c r="E324" s="467"/>
      <c r="F324" s="467"/>
      <c r="G324" s="467"/>
      <c r="H324" s="467"/>
      <c r="I324" s="467"/>
      <c r="J324" s="467"/>
      <c r="K324" s="1693">
        <f t="shared" si="24"/>
        <v>41114</v>
      </c>
      <c r="L324" s="467">
        <v>37581</v>
      </c>
      <c r="M324" s="666"/>
      <c r="N324" s="666"/>
    </row>
    <row r="325" spans="1:14" s="675" customFormat="1" ht="22.5" x14ac:dyDescent="0.2">
      <c r="A325" s="1541" t="s">
        <v>1087</v>
      </c>
      <c r="B325" s="699" t="s">
        <v>305</v>
      </c>
      <c r="C325" s="467">
        <v>43177</v>
      </c>
      <c r="D325" s="467">
        <v>6956</v>
      </c>
      <c r="E325" s="467"/>
      <c r="F325" s="467"/>
      <c r="G325" s="467"/>
      <c r="H325" s="467"/>
      <c r="I325" s="467"/>
      <c r="J325" s="467"/>
      <c r="K325" s="1693">
        <f t="shared" si="24"/>
        <v>50133</v>
      </c>
      <c r="L325" s="467">
        <v>56000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v>39153</v>
      </c>
      <c r="E327" s="467"/>
      <c r="F327" s="467"/>
      <c r="G327" s="467"/>
      <c r="H327" s="467"/>
      <c r="I327" s="467"/>
      <c r="J327" s="467"/>
      <c r="K327" s="1693">
        <f t="shared" si="24"/>
        <v>39153</v>
      </c>
      <c r="L327" s="467">
        <v>33732</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43177</v>
      </c>
      <c r="D330" s="1692">
        <f t="shared" ref="D330:J330" si="25">SUM(D319:D329)</f>
        <v>157465</v>
      </c>
      <c r="E330" s="1692">
        <f t="shared" si="25"/>
        <v>0</v>
      </c>
      <c r="F330" s="1692">
        <f t="shared" si="25"/>
        <v>0</v>
      </c>
      <c r="G330" s="1692">
        <f t="shared" si="25"/>
        <v>0</v>
      </c>
      <c r="H330" s="1692">
        <f t="shared" si="25"/>
        <v>0</v>
      </c>
      <c r="I330" s="1692">
        <f t="shared" si="25"/>
        <v>0</v>
      </c>
      <c r="J330" s="1692">
        <f t="shared" si="25"/>
        <v>0</v>
      </c>
      <c r="K330" s="1692">
        <f>SUM(K319:K329)</f>
        <v>200642</v>
      </c>
      <c r="L330" s="1692">
        <f>SUM(L319:L329)</f>
        <v>202316</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43177</v>
      </c>
      <c r="D342" s="1692">
        <f>SUM(D330)</f>
        <v>157465</v>
      </c>
      <c r="E342" s="1692">
        <f>SUM(E330)</f>
        <v>0</v>
      </c>
      <c r="F342" s="1692">
        <f>SUM(F330)</f>
        <v>0</v>
      </c>
      <c r="G342" s="1692">
        <f>SUM(G330)</f>
        <v>0</v>
      </c>
      <c r="H342" s="1692">
        <f>SUM(H330,H334,H340)</f>
        <v>0</v>
      </c>
      <c r="I342" s="1692">
        <f>SUM(I330)</f>
        <v>0</v>
      </c>
      <c r="J342" s="1692">
        <f>SUM(J330)</f>
        <v>0</v>
      </c>
      <c r="K342" s="1692">
        <f>SUM(K330,K334,K340)</f>
        <v>200642</v>
      </c>
      <c r="L342" s="1699">
        <f>SUM(L330,L340,L341)</f>
        <v>202316</v>
      </c>
    </row>
    <row r="343" spans="1:14" ht="12.75" customHeight="1" thickTop="1" x14ac:dyDescent="0.2">
      <c r="A343" s="2186" t="s">
        <v>1053</v>
      </c>
      <c r="B343" s="2187"/>
      <c r="C343" s="617"/>
      <c r="D343" s="617"/>
      <c r="E343" s="617"/>
      <c r="F343" s="617"/>
      <c r="G343" s="617"/>
      <c r="H343" s="617"/>
      <c r="I343" s="617"/>
      <c r="J343" s="617"/>
      <c r="K343" s="1706">
        <f>'Revenues 9-14'!J275-'Expenditures 15-22'!K342</f>
        <v>-49132</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608503</v>
      </c>
      <c r="F349" s="466"/>
      <c r="G349" s="466"/>
      <c r="H349" s="466"/>
      <c r="I349" s="467"/>
      <c r="J349" s="467"/>
      <c r="K349" s="1693">
        <f>SUM(C349:J349)</f>
        <v>608503</v>
      </c>
      <c r="L349" s="466">
        <v>624000</v>
      </c>
    </row>
    <row r="350" spans="1:14" ht="12.75" customHeight="1" thickBot="1" x14ac:dyDescent="0.25">
      <c r="A350" s="1690" t="s">
        <v>743</v>
      </c>
      <c r="B350" s="1691" t="s">
        <v>35</v>
      </c>
      <c r="C350" s="1692">
        <f>SUM(C348:C349)</f>
        <v>0</v>
      </c>
      <c r="D350" s="1692">
        <f t="shared" ref="D350:L350" si="26">SUM(D348:D349)</f>
        <v>0</v>
      </c>
      <c r="E350" s="1692">
        <f t="shared" si="26"/>
        <v>608503</v>
      </c>
      <c r="F350" s="1692">
        <f t="shared" si="26"/>
        <v>0</v>
      </c>
      <c r="G350" s="1692">
        <f t="shared" si="26"/>
        <v>0</v>
      </c>
      <c r="H350" s="1692">
        <f t="shared" si="26"/>
        <v>0</v>
      </c>
      <c r="I350" s="1692">
        <f t="shared" si="26"/>
        <v>0</v>
      </c>
      <c r="J350" s="1692">
        <f t="shared" si="26"/>
        <v>0</v>
      </c>
      <c r="K350" s="1692">
        <f t="shared" si="26"/>
        <v>608503</v>
      </c>
      <c r="L350" s="1692">
        <f t="shared" si="26"/>
        <v>624000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608503</v>
      </c>
      <c r="F352" s="1692">
        <f t="shared" si="27"/>
        <v>0</v>
      </c>
      <c r="G352" s="1692">
        <f t="shared" si="27"/>
        <v>0</v>
      </c>
      <c r="H352" s="1692">
        <f t="shared" si="27"/>
        <v>0</v>
      </c>
      <c r="I352" s="1692">
        <f t="shared" si="27"/>
        <v>0</v>
      </c>
      <c r="J352" s="1692">
        <f t="shared" si="27"/>
        <v>0</v>
      </c>
      <c r="K352" s="1692">
        <f t="shared" si="27"/>
        <v>608503</v>
      </c>
      <c r="L352" s="1692">
        <f t="shared" si="27"/>
        <v>624000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608503</v>
      </c>
      <c r="F367" s="1692">
        <f t="shared" si="28"/>
        <v>0</v>
      </c>
      <c r="G367" s="1692">
        <f t="shared" si="28"/>
        <v>0</v>
      </c>
      <c r="H367" s="1692">
        <f t="shared" si="28"/>
        <v>0</v>
      </c>
      <c r="I367" s="1692">
        <f t="shared" si="28"/>
        <v>0</v>
      </c>
      <c r="J367" s="1692">
        <f t="shared" si="28"/>
        <v>0</v>
      </c>
      <c r="K367" s="1692">
        <f t="shared" si="28"/>
        <v>608503</v>
      </c>
      <c r="L367" s="1692">
        <f t="shared" si="28"/>
        <v>624000</v>
      </c>
    </row>
    <row r="368" spans="1:14" ht="13.5" thickTop="1" x14ac:dyDescent="0.2">
      <c r="A368" s="2200" t="s">
        <v>1053</v>
      </c>
      <c r="B368" s="2201"/>
      <c r="C368" s="655"/>
      <c r="D368" s="655"/>
      <c r="E368" s="627"/>
      <c r="F368" s="627"/>
      <c r="G368" s="627"/>
      <c r="H368" s="627"/>
      <c r="I368" s="627"/>
      <c r="J368" s="624"/>
      <c r="K368" s="1693">
        <f>'Revenues 9-14'!K275-'Expenditures 15-22'!K367</f>
        <v>-581019</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schemas.microsoft.com/office/infopath/2007/PartnerControls"/>
    <ds:schemaRef ds:uri="http://schemas.microsoft.com/sharepoint/v3"/>
    <ds:schemaRef ds:uri="http://schemas.microsoft.com/office/2006/documentManagement/types"/>
    <ds:schemaRef ds:uri="http://purl.org/dc/elements/1.1/"/>
    <ds:schemaRef ds:uri="6ce3111e-7420-4802-b50a-75d4e9a0b980"/>
    <ds:schemaRef ds:uri="http://purl.org/dc/terms/"/>
    <ds:schemaRef ds:uri="http://schemas.openxmlformats.org/package/2006/metadata/core-properties"/>
    <ds:schemaRef ds:uri="4d435f69-8686-490b-bd6d-b153bf22ab50"/>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2018-10-10T16:25:43Z</cp:lastPrinted>
  <dcterms:created xsi:type="dcterms:W3CDTF">2003-10-29T19:06:34Z</dcterms:created>
  <dcterms:modified xsi:type="dcterms:W3CDTF">2018-10-16T13:29:38Z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