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8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83" r:id="rId31"/>
    <sheet name="SF&amp;QC Sec-2" sheetId="175"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3" i="127"/>
  <c r="B64"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H29" i="118"/>
  <c r="H33" i="118"/>
  <c r="D22" i="37"/>
  <c r="J22" i="37"/>
  <c r="L5" i="11"/>
  <c r="B2056" i="106" s="1"/>
  <c r="D2056" i="106" s="1"/>
  <c r="B1126" i="106" l="1"/>
  <c r="D1126" i="106" s="1"/>
  <c r="D24" i="37"/>
  <c r="B4270" i="106" s="1"/>
  <c r="D4270" i="106" s="1"/>
  <c r="N22" i="3"/>
  <c r="B283" i="106" s="1"/>
  <c r="D283" i="106" s="1"/>
  <c r="F50" i="34"/>
  <c r="B1746" i="106"/>
  <c r="D1746" i="106" s="1"/>
  <c r="F131" i="34"/>
  <c r="G33" i="108"/>
  <c r="D13" i="7"/>
  <c r="B3726" i="106" s="1"/>
  <c r="D3726" i="106" s="1"/>
  <c r="F38" i="34"/>
  <c r="B7047" i="106"/>
  <c r="D7047" i="106" s="1"/>
  <c r="K24" i="12"/>
  <c r="B7733" i="106" s="1"/>
  <c r="D7733" i="106" s="1"/>
  <c r="J210" i="29"/>
  <c r="B7072" i="106" s="1"/>
  <c r="D7072" i="106" s="1"/>
  <c r="B4411" i="106"/>
  <c r="D4411" i="106" s="1"/>
  <c r="F46" i="34"/>
  <c r="E35" i="108"/>
  <c r="F70" i="34"/>
  <c r="F42" i="34"/>
  <c r="I210" i="29"/>
  <c r="B7071" i="106" s="1"/>
  <c r="D7071" i="106" s="1"/>
  <c r="F45" i="34"/>
  <c r="F37" i="34"/>
  <c r="F36" i="108"/>
  <c r="F26" i="108"/>
  <c r="B7074" i="106"/>
  <c r="D7074" i="106" s="1"/>
  <c r="F64" i="34"/>
  <c r="F35" i="34"/>
  <c r="D26" i="108"/>
  <c r="B7078" i="106"/>
  <c r="D7078" i="106" s="1"/>
  <c r="F49" i="34"/>
  <c r="F41" i="34"/>
  <c r="D36" i="108"/>
  <c r="D5" i="4"/>
  <c r="B3406" i="106" s="1"/>
  <c r="D3406" i="106" s="1"/>
  <c r="G172" i="5"/>
  <c r="G173" i="5" s="1"/>
  <c r="B5778" i="106" s="1"/>
  <c r="D5778" i="106" s="1"/>
  <c r="F31" i="108"/>
  <c r="B7076" i="106"/>
  <c r="D7076" i="106" s="1"/>
  <c r="F21" i="8"/>
  <c r="B1879" i="106" s="1"/>
  <c r="D1879" i="106" s="1"/>
  <c r="D11" i="37"/>
  <c r="D6103" i="106"/>
  <c r="I24" i="12"/>
  <c r="I26" i="12" s="1"/>
  <c r="B7741" i="106" s="1"/>
  <c r="D7741" i="106" s="1"/>
  <c r="H28" i="118"/>
  <c r="K28" i="118" s="1"/>
  <c r="O27" i="118" s="1"/>
  <c r="O29" i="118" s="1"/>
  <c r="C129" i="29"/>
  <c r="B1225" i="106" s="1"/>
  <c r="D1225" i="106" s="1"/>
  <c r="G35" i="108"/>
  <c r="D31" i="36"/>
  <c r="L15" i="11"/>
  <c r="B3459" i="106" s="1"/>
  <c r="D3459"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5770" i="106" l="1"/>
  <c r="D5770" i="106" s="1"/>
  <c r="D7256" i="106"/>
  <c r="C151" i="29"/>
  <c r="B1226" i="106" s="1"/>
  <c r="D1226" i="106" s="1"/>
  <c r="J24" i="12"/>
  <c r="J151" i="29"/>
  <c r="B7052" i="106" s="1"/>
  <c r="D7052" i="106" s="1"/>
  <c r="D7253" i="106"/>
  <c r="D7250" i="106"/>
  <c r="B4435" i="106"/>
  <c r="D4435" i="106" s="1"/>
  <c r="K26" i="12"/>
  <c r="B7743" i="106" s="1"/>
  <c r="D7743" i="106" s="1"/>
  <c r="I6" i="4"/>
  <c r="B5011" i="106" s="1"/>
  <c r="D5011" i="106" s="1"/>
  <c r="F66" i="34"/>
  <c r="H77" i="4"/>
  <c r="B3299" i="106" s="1"/>
  <c r="D3299" i="106" s="1"/>
  <c r="D41" i="108"/>
  <c r="E43" i="108"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15" i="106"/>
  <c r="D6215" i="106" s="1"/>
  <c r="J41" i="3"/>
  <c r="B140" i="106"/>
  <c r="D140" i="106" s="1"/>
  <c r="E41" i="3"/>
  <c r="D59" i="36"/>
  <c r="B2912" i="106"/>
  <c r="D2912" i="106" s="1"/>
  <c r="I41" i="3"/>
  <c r="D63" i="36"/>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<sst xmlns="http://schemas.openxmlformats.org/spreadsheetml/2006/main" count="5084" uniqueCount="2128">
  <si>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</si>
  <si>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</si>
  <si>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</si>
  <si>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</si>
  <si>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</si>
  <si>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</si>
  <si>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</si>
  <si>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</si>
  <si>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</si>
  <si>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</si>
  <si>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</si>
  <si>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</si>
  <si>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</si>
  <si>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</si>
  <si>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</si>
  <si>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</si>
  <si>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</si>
  <si>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</si>
  <si>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</si>
  <si>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</si>
  <si>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</si>
  <si>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</si>
  <si>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</si>
  <si>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</si>
  <si>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</si>
  <si>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</si>
  <si>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</si>
  <si>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</si>
  <si>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</si>
  <si>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</si>
  <si>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</si>
  <si>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</si>
  <si>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</si>
  <si>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</si>
  <si>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</si>
  <si>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</si>
  <si>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</si>
  <si>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</si>
  <si>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</si>
  <si>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</si>
  <si>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</si>
  <si>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</si>
  <si>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</si>
  <si>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</si>
  <si>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</si>
  <si>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</si>
  <si>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</si>
  <si>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</si>
  <si>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</si>
  <si>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</si>
  <si>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</si>
  <si>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</si>
  <si>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</si>
  <si>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</si>
  <si>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</si>
  <si>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</si>
  <si>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</si>
  <si>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</si>
  <si>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</si>
  <si>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</si>
  <si>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</si>
  <si>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</si>
  <si>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</si>
  <si>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</si>
  <si>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</si>
  <si>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</si>
  <si>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</si>
  <si>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</si>
  <si>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</si>
  <si>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</si>
  <si>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</si>
  <si>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</si>
  <si>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</si>
  <si>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</si>
  <si>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</si>
  <si>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</si>
  <si>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</si>
  <si>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</si>
  <si>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</si>
  <si>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</si>
  <si>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</si>
  <si>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</si>
  <si>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</si>
  <si>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</si>
  <si>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</si>
  <si>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</si>
  <si>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</si>
  <si>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</si>
  <si>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</si>
  <si>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</si>
  <si>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</si>
  <si>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</si>
  <si>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</si>
  <si>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</si>
  <si>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</si>
  <si>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</si>
  <si>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</si>
  <si>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</si>
  <si>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</si>
  <si>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</si>
  <si>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</si>
  <si>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</si>
  <si>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</si>
  <si>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</si>
  <si>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</si>
  <si>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</si>
  <si>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</si>
  <si>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</si>
  <si>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</si>
  <si>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</si>
  <si>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</si>
  <si>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</si>
  <si>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</si>
  <si>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</si>
  <si>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</si>
  <si>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</si>
  <si>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</si>
  <si>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</si>
  <si>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</si>
  <si>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</si>
  <si>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</si>
  <si>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</si>
  <si>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</si>
  <si>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</si>
  <si>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</si>
  <si>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</si>
  <si>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</si>
  <si>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</si>
  <si>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</si>
  <si>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</si>
  <si>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</si>
  <si>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</si>
  <si>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</si>
  <si>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</si>
  <si>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</si>
  <si>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</si>
  <si>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</si>
  <si>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</si>
  <si>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</si>
  <si>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</si>
  <si>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</si>
  <si>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</si>
  <si>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</si>
  <si>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</si>
  <si>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</si>
  <si>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</si>
  <si>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</si>
  <si>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</si>
  <si>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</si>
  <si>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</si>
  <si>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</si>
  <si>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</si>
  <si>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</si>
  <si>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</si>
  <si>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</si>
  <si>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</si>
  <si>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</si>
  <si>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</si>
  <si>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</si>
  <si>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</si>
  <si>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</si>
  <si>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</si>
  <si>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</si>
  <si>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</si>
  <si>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</si>
  <si>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</si>
  <si>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</si>
  <si>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</si>
  <si>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</si>
  <si>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</si>
  <si>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</si>
  <si>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</si>
  <si>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</si>
  <si>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</si>
  <si>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</si>
  <si>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</si>
  <si>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</si>
  <si>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</si>
  <si>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</si>
  <si>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</si>
  <si>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</si>
  <si>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</si>
  <si>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</si>
  <si>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</si>
  <si>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</si>
  <si>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</si>
  <si>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</si>
  <si>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</si>
  <si>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</si>
  <si>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</si>
  <si>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</si>
  <si>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</si>
  <si>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</si>
  <si>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</si>
  <si>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</si>
  <si>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</si>
  <si>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</si>
  <si>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</si>
  <si>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</si>
  <si>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</si>
  <si>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</si>
  <si>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</si>
  <si>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</si>
  <si>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</si>
  <si>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</si>
  <si>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</si>
  <si>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</si>
  <si>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</si>
  <si>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</si>
  <si>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</si>
  <si>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</si>
  <si>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</si>
  <si>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</si>
  <si>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</si>
  <si>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</si>
  <si>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</si>
  <si>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</si>
  <si>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</si>
  <si>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</si>
  <si>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</si>
  <si>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</si>
  <si>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</si>
  <si>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</si>
  <si>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</si>
  <si>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</si>
  <si>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</si>
  <si>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</si>
  <si>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</si>
  <si>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</si>
  <si>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</si>
  <si>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</si>
  <si>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</si>
  <si>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</si>
  <si>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</si>
  <si>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</si>
  <si>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</si>
  <si>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</si>
  <si>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</si>
  <si>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</si>
  <si>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</si>
  <si>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</si>
  <si>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</si>
  <si>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</si>
  <si>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</si>
  <si>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</si>
  <si>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</si>
  <si>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</si>
  <si>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</si>
  <si>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</si>
  <si>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</si>
  <si>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</si>
  <si>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</si>
  <si>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</si>
  <si>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</si>
  <si>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</si>
  <si>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</si>
  <si>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</si>
  <si>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</si>
  <si>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</si>
  <si>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</si>
  <si>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</si>
  <si>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</si>
  <si>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</si>
  <si>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</si>
  <si>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</si>
  <si>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</si>
  <si>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</si>
  <si>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</si>
  <si>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</si>
  <si>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</si>
  <si>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</si>
  <si>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</si>
  <si>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</si>
  <si>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</si>
  <si>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</si>
  <si>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</si>
  <si>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</si>
  <si>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</si>
  <si>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</si>
  <si>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</si>
  <si>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</si>
  <si>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</si>
  <si>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</si>
  <si>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</si>
  <si>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</si>
  <si>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</si>
  <si>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</si>
  <si>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</si>
  <si>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</si>
  <si>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</si>
  <si>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</si>
  <si>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</si>
  <si>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</si>
  <si>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</si>
  <si>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</si>
  <si>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</si>
  <si>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</si>
  <si>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</si>
  <si>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</si>
  <si>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</si>
  <si>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</si>
  <si>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</si>
  <si>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</si>
  <si>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</si>
  <si>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</si>
  <si>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</si>
  <si>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</si>
  <si>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</si>
  <si>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</si>
  <si>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</si>
  <si>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</si>
  <si>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</si>
  <si>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</si>
  <si>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</si>
  <si>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</si>
  <si>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</si>
  <si>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</si>
  <si>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</si>
  <si>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</si>
  <si>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</si>
  <si>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</si>
  <si>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</si>
  <si>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</si>
  <si>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</si>
  <si>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</si>
  <si>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</si>
  <si>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</si>
  <si>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</si>
  <si>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</si>
  <si>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</si>
  <si>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</si>
  <si>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</si>
  <si>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</si>
  <si>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</si>
  <si>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</si>
  <si>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</si>
  <si>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</si>
  <si>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</si>
  <si>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</si>
  <si>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</si>
  <si>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</si>
  <si>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</si>
  <si>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</si>
  <si>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</si>
  <si>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</si>
  <si>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</si>
  <si>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</si>
  <si>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</si>
  <si>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</si>
  <si>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</si>
  <si>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</si>
  <si>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</si>
  <si>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</si>
  <si>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</si>
  <si>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</si>
  <si>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</si>
  <si>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</si>
  <si>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</si>
  <si>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</si>
  <si>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</si>
  <si>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</si>
  <si>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</si>
  <si>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</si>
  <si>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</si>
  <si>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</si>
  <si>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</si>
  <si>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</si>
  <si>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</si>
  <si>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</si>
  <si>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</si>
  <si>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</si>
  <si>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</si>
  <si>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</si>
  <si>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</si>
  <si>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</si>
  <si>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</si>
  <si>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</si>
  <si>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</si>
  <si>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</si>
  <si>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</si>
  <si>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</si>
  <si>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</si>
  <si>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</si>
  <si>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</si>
  <si>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</si>
  <si>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</si>
  <si>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</si>
  <si>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</si>
  <si>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</si>
  <si>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</si>
  <si>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</si>
  <si>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</si>
  <si>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</si>
  <si>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</si>
  <si>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</si>
  <si>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</si>
  <si>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</si>
  <si>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</si>
  <si>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</si>
  <si>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</si>
  <si>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</si>
  <si>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</si>
  <si>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</si>
  <si>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</si>
  <si>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</si>
  <si>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</si>
  <si>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</si>
  <si>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</si>
  <si>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</si>
  <si>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</si>
  <si>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</si>
  <si>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</si>
  <si>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</si>
  <si>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</si>
  <si>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</si>
  <si>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</si>
  <si>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</si>
  <si>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</si>
  <si>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</si>
  <si>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</si>
  <si>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</si>
  <si>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</si>
  <si>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</si>
  <si>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</si>
  <si>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</si>
  <si>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</si>
  <si>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</si>
  <si>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</si>
  <si>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</si>
  <si>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</si>
  <si>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</si>
  <si>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</si>
  <si>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</si>
  <si>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</si>
  <si>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</si>
  <si>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</si>
  <si>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</si>
  <si>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</si>
  <si>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</si>
  <si>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</si>
  <si>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</si>
  <si>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</si>
  <si>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</si>
  <si>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</si>
  <si>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</si>
  <si>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</si>
  <si>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</si>
  <si>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</si>
  <si>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</si>
  <si>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</si>
  <si>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</si>
  <si>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</si>
  <si>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</si>
  <si>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</si>
  <si>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</si>
  <si>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</si>
  <si>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</si>
  <si>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</si>
  <si>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</si>
  <si>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</si>
  <si>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</si>
  <si>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</si>
  <si>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</si>
  <si>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</si>
  <si>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</si>
  <si>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</si>
  <si>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</si>
  <si>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</si>
  <si>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</si>
  <si>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</si>
  <si>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</si>
  <si>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</si>
  <si>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</si>
  <si>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</si>
  <si>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</si>
  <si>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</si>
  <si>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</si>
  <si>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</si>
  <si>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</si>
  <si>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</si>
  <si>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</si>
  <si>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</si>
  <si>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</si>
  <si>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</si>
  <si>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</si>
  <si>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</si>
  <si>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</si>
  <si>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</si>
  <si>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</si>
  <si>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</si>
  <si>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</si>
  <si>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</si>
  <si>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</si>
  <si>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</si>
  <si>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</si>
  <si>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</si>
  <si>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</si>
  <si>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</si>
  <si>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</si>
  <si>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</si>
  <si>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</si>
  <si>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</si>
  <si>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</si>
  <si>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</si>
  <si>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</si>
  <si>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</si>
  <si>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</si>
  <si>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</si>
  <si>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</si>
  <si>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</si>
  <si>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</si>
  <si>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</si>
  <si>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</si>
  <si>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</si>
  <si>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</si>
  <si>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</si>
  <si>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</si>
  <si>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</si>
  <si>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</si>
  <si>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</si>
  <si>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</si>
  <si>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</si>
  <si>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</si>
  <si>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</si>
  <si>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</si>
  <si>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</si>
  <si>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</si>
  <si>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</si>
  <si>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</si>
  <si>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</si>
  <si>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</si>
  <si>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</si>
  <si>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</si>
  <si>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</si>
  <si>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</si>
  <si>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</si>
  <si>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</si>
  <si>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</si>
  <si>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</si>
  <si>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</si>
  <si>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</si>
  <si>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</si>
  <si>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</si>
  <si>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</si>
  <si>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</si>
  <si>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</si>
  <si>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</si>
  <si>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</si>
  <si>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</si>
  <si>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</si>
  <si>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</si>
  <si>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</si>
  <si>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</si>
  <si>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</si>
  <si>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</si>
  <si>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</si>
  <si>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</si>
  <si>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</si>
  <si>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</si>
  <si>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</si>
  <si>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</si>
  <si>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</si>
  <si>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</si>
  <si>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</si>
  <si>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</si>
  <si>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</si>
  <si>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</si>
  <si>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</si>
  <si>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</si>
  <si>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</si>
  <si>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</si>
  <si>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</si>
  <si>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</si>
  <si>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</si>
  <si>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</si>
  <si>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</si>
  <si>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</si>
  <si>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</si>
  <si>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</si>
  <si>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</si>
  <si>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</si>
  <si>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</si>
  <si>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</si>
  <si>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</si>
  <si>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</si>
  <si>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</si>
  <si>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</si>
  <si>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</si>
  <si>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</si>
  <si>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</si>
  <si>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</si>
  <si>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</si>
  <si>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</si>
  <si>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</si>
  <si>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</si>
  <si>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</si>
  <si>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</si>
  <si>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</si>
  <si>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</si>
  <si>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</si>
  <si>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</si>
  <si>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</si>
  <si>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</si>
  <si>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</si>
  <si>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</si>
  <si>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</si>
  <si>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</si>
  <si>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</si>
  <si>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</si>
  <si>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</si>
  <si>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</si>
  <si>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</si>
  <si>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</si>
  <si>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</si>
  <si>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</si>
  <si>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</si>
  <si>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</si>
  <si>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</si>
  <si>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</si>
  <si>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</si>
  <si>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</si>
  <si>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</si>
  <si>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</si>
  <si>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</si>
  <si>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</si>
  <si>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</si>
  <si>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</si>
  <si>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</si>
  <si>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</si>
  <si>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</si>
  <si>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</si>
  <si>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</si>
  <si>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</si>
  <si>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</si>
  <si>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</si>
  <si>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</si>
  <si>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</si>
  <si>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</si>
  <si>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</si>
  <si>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</si>
  <si>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</si>
  <si>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</si>
  <si>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</si>
  <si>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</si>
  <si>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</si>
  <si>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</si>
  <si>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</si>
  <si>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</si>
  <si>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</si>
  <si>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</si>
  <si>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</si>
  <si>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</si>
  <si>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</si>
  <si>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</si>
  <si>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</si>
  <si>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</si>
  <si>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</si>
  <si>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</si>
  <si>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</si>
  <si>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</si>
  <si>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</si>
  <si>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</si>
  <si>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</si>
  <si>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</si>
  <si>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</si>
  <si>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</si>
  <si>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</si>
  <si>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</si>
  <si>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</si>
  <si>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</si>
  <si>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</si>
  <si>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</si>
  <si>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</si>
  <si>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</si>
  <si>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</si>
  <si>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</si>
  <si>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</si>
  <si>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</si>
  <si>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</si>
  <si>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</si>
  <si>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</si>
  <si>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</si>
  <si>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</si>
  <si>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</si>
  <si>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</si>
  <si>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</si>
  <si>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</si>
  <si>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</si>
  <si>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</si>
  <si>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</si>
  <si>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</si>
  <si>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</si>
  <si>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</si>
  <si>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</si>
  <si>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</si>
  <si>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</si>
  <si>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</si>
  <si>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</si>
  <si>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</si>
  <si>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</si>
  <si>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</si>
  <si>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</si>
  <si>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</si>
  <si>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</si>
  <si>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</si>
  <si>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</si>
  <si>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</si>
  <si>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</si>
  <si>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</si>
  <si>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</si>
  <si>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</si>
  <si>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</si>
  <si>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</si>
  <si>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</si>
  <si>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</si>
  <si>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</si>
  <si>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</si>
  <si>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</si>
  <si>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</si>
  <si>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</si>
  <si>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</si>
  <si>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</si>
  <si>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</si>
  <si>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</si>
  <si>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</si>
  <si>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</si>
  <si>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</si>
  <si>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</si>
  <si>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</si>
  <si>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</si>
  <si>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</si>
  <si>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</si>
  <si>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</si>
  <si>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</si>
  <si>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</si>
  <si>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</si>
  <si>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</si>
  <si>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</si>
  <si>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</si>
  <si>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</si>
  <si>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</si>
  <si>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</si>
  <si>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</si>
  <si>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</si>
  <si>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</si>
  <si>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</si>
  <si>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</si>
  <si>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</si>
  <si>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</si>
  <si>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</si>
  <si>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</si>
  <si>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</si>
  <si>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</si>
  <si>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</si>
  <si>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</si>
  <si>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</si>
  <si>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</si>
  <si>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</si>
  <si>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</si>
  <si>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</si>
  <si>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</si>
  <si>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</si>
  <si>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</si>
  <si>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</si>
  <si>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</si>
  <si>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</si>
  <si>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</si>
  <si>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</si>
  <si>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</si>
  <si>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</si>
  <si>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</si>
  <si>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</si>
  <si>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</si>
  <si>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</si>
  <si>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</si>
  <si>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</si>
  <si>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</si>
  <si>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</si>
  <si>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</si>
  <si>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</si>
  <si>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</si>
  <si>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</si>
  <si>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</si>
  <si>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</si>
  <si>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</si>
  <si>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</si>
  <si>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</si>
  <si>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</si>
  <si>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</si>
  <si>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</si>
  <si>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</si>
  <si>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</si>
  <si>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</si>
  <si>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</si>
  <si>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</si>
  <si>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</si>
  <si>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</si>
  <si>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</si>
  <si>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</si>
  <si>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</si>
  <si>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</si>
  <si>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</si>
  <si>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</si>
  <si>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</si>
  <si>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</si>
  <si>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</si>
  <si>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</si>
  <si>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</si>
  <si>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</si>
  <si>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</si>
  <si>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</si>
  <si>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</si>
  <si>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</si>
  <si>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</si>
  <si>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</si>
  <si>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</si>
  <si>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</si>
  <si>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</si>
  <si>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</si>
  <si>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</si>
  <si>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</si>
  <si>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</si>
  <si>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</si>
  <si>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</si>
  <si>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</si>
  <si>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</si>
  <si>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</si>
  <si>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</si>
  <si>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</si>
  <si>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</si>
  <si>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</si>
  <si>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</si>
  <si>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</si>
  <si>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</si>
  <si>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</si>
  <si>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</si>
  <si>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</si>
  <si>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</si>
  <si>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</si>
  <si>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</si>
  <si>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</si>
  <si>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</si>
  <si>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</si>
  <si>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</si>
  <si>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</si>
  <si>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</si>
  <si>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</si>
  <si>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</si>
  <si>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</si>
  <si>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</si>
  <si>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</si>
  <si>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</si>
  <si>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</si>
  <si>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</si>
  <si>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</si>
  <si>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</si>
  <si>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</si>
  <si>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</si>
  <si>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</si>
  <si>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</si>
  <si>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</si>
  <si>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</si>
  <si>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</si>
  <si>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</si>
  <si>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</si>
  <si>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</si>
  <si>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</si>
  <si>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</si>
  <si>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</si>
  <si>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</si>
  <si>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</si>
  <si>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</si>
  <si>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</si>
  <si>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</si>
  <si>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</si>
  <si>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</si>
  <si>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</si>
  <si>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</si>
  <si>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</si>
  <si>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</si>
  <si>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</si>
  <si>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</si>
  <si>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</si>
  <si>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</si>
  <si>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</si>
  <si>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</si>
  <si>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</si>
  <si>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</si>
  <si>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</si>
  <si>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</si>
  <si>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</si>
  <si>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</si>
  <si>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</si>
  <si>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</si>
  <si>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</si>
  <si>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</si>
  <si>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</si>
  <si>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</si>
  <si>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</si>
  <si>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</si>
  <si>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</si>
  <si>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</si>
  <si>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</si>
  <si>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</si>
  <si>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</si>
  <si>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</si>
  <si>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</si>
  <si>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</si>
  <si>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</si>
  <si>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</si>
  <si>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</si>
  <si>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</si>
  <si>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</si>
  <si>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</si>
  <si>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</si>
  <si>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</si>
  <si>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</si>
  <si>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</si>
  <si>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</si>
  <si>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</si>
  <si>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</si>
  <si>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</si>
  <si>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</si>
  <si>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</si>
  <si>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</si>
  <si>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</si>
  <si>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</si>
  <si>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</si>
  <si>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</si>
  <si>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</si>
  <si>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</si>
  <si>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</si>
  <si>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</si>
  <si>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</si>
  <si>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</si>
  <si>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</si>
  <si>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</si>
  <si>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</si>
  <si>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</si>
  <si>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</si>
  <si>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</si>
  <si>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</si>
  <si>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</si>
  <si>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</si>
  <si>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</si>
  <si>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</si>
  <si>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</si>
  <si>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</si>
  <si>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</si>
  <si>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</si>
  <si>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</si>
  <si>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</si>
  <si>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</si>
  <si>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</si>
  <si>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</si>
  <si>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</si>
  <si>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</si>
  <si>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</si>
  <si>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</si>
  <si>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</si>
  <si>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</si>
  <si>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</si>
  <si>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</si>
  <si>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</si>
  <si>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</si>
  <si>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</si>
  <si>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</si>
  <si>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</si>
  <si>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</si>
  <si>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</si>
  <si>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</si>
  <si>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</si>
  <si>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</si>
  <si>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</si>
  <si>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</si>
  <si>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</si>
  <si>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</si>
  <si>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</si>
  <si>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</si>
  <si>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</si>
  <si>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</si>
  <si>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</si>
  <si>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</si>
  <si>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</si>
  <si>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</si>
  <si>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</si>
  <si>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</si>
  <si>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</si>
  <si>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</si>
  <si>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</si>
  <si>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</si>
  <si>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</si>
  <si>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</si>
  <si>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</si>
  <si>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</si>
  <si>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</si>
  <si>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</si>
  <si>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</si>
  <si>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</si>
  <si>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</si>
  <si>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</si>
  <si>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</si>
  <si>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</si>
  <si>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</si>
  <si>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</si>
  <si>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</si>
  <si>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</si>
  <si>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</si>
  <si>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</si>
  <si>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</si>
  <si>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</si>
  <si>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</si>
  <si>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</si>
  <si>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</si>
  <si>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</si>
  <si>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</si>
  <si>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</si>
  <si>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</si>
  <si>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</si>
  <si>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</si>
  <si>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</si>
  <si>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</si>
  <si>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</si>
  <si>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</si>
  <si>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</si>
  <si>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</si>
  <si>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</si>
  <si>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</si>
  <si>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</si>
  <si>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</si>
  <si>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</si>
  <si>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</si>
  <si>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</si>
  <si>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</si>
  <si>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</si>
  <si>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</si>
  <si>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</si>
  <si>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</si>
  <si>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</si>
  <si>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</si>
  <si>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</si>
  <si>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</si>
  <si>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</si>
  <si>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</si>
  <si>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</si>
  <si>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</si>
  <si>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</si>
  <si>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</si>
  <si>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</si>
  <si>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</si>
  <si>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</si>
  <si>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</si>
  <si>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</si>
  <si>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</si>
  <si>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</si>
  <si>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</si>
  <si>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</si>
  <si>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</si>
  <si>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</si>
  <si>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</si>
  <si>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</si>
  <si>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</si>
  <si>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</si>
  <si>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</si>
  <si>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</si>
  <si>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</si>
  <si>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</si>
  <si>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</si>
  <si>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</si>
  <si>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</si>
  <si>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</si>
  <si>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</si>
  <si>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</si>
  <si>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</si>
  <si>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</si>
  <si>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</si>
  <si>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</si>
  <si>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</si>
  <si>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</si>
  <si>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</si>
  <si>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</si>
  <si>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</si>
  <si>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</si>
  <si>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</si>
  <si>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</si>
  <si>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</si>
  <si>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</si>
  <si>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</si>
  <si>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</si>
  <si>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</si>
  <si>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</si>
  <si>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</si>
  <si>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</si>
  <si>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</si>
  <si>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</si>
  <si>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</si>
  <si>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</si>
  <si>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</si>
  <si>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</si>
  <si>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</si>
  <si>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</si>
  <si>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</si>
  <si>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</si>
  <si>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</si>
  <si>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</si>
  <si>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</si>
  <si>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</si>
  <si>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</si>
  <si>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</si>
  <si>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</si>
  <si>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</si>
  <si>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</si>
  <si>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</si>
  <si>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</si>
  <si>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</si>
  <si>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</si>
  <si>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</si>
  <si>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</si>
  <si>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</si>
  <si>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</si>
  <si>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</si>
  <si>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</si>
  <si>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</si>
  <si>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</si>
  <si>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</si>
  <si>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</si>
  <si>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</si>
  <si>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</si>
  <si>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</si>
  <si>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</si>
  <si>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</si>
  <si>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</si>
  <si>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</si>
  <si>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</si>
  <si>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</si>
  <si>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</si>
  <si>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</si>
  <si>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</si>
  <si>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</si>
  <si>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</si>
  <si>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</si>
  <si>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</si>
  <si>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</si>
  <si>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</si>
  <si>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</si>
  <si>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</si>
  <si>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</si>
  <si>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</si>
  <si>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</si>
  <si>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</si>
  <si>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</si>
  <si>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</si>
  <si>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</si>
  <si>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</si>
  <si>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</si>
  <si>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</si>
  <si>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</si>
  <si>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</si>
  <si>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</si>
  <si>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</si>
  <si>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</si>
  <si>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</si>
  <si>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</si>
  <si>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</si>
  <si>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</si>
  <si>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</si>
  <si>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</si>
  <si>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</si>
  <si>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</si>
  <si>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</si>
  <si>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</si>
  <si>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</si>
  <si>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</si>
  <si>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</si>
  <si>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</si>
  <si>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</si>
  <si>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</si>
  <si>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</si>
  <si>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</si>
  <si>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</si>
  <si>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</si>
  <si>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</si>
  <si>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</si>
  <si>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</si>
  <si>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</si>
  <si>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</si>
  <si>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</si>
  <si>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</si>
  <si>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</si>
  <si>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</si>
  <si>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</si>
  <si>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</si>
  <si>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</si>
  <si>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</si>
  <si>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</si>
  <si>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</si>
  <si>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</si>
  <si>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</si>
  <si>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</si>
  <si>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</si>
  <si>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</si>
  <si>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</si>
  <si>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</si>
  <si>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</si>
  <si>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</si>
  <si>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</si>
  <si>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</si>
  <si>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</si>
  <si>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</si>
  <si>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</si>
  <si>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</si>
  <si>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</si>
  <si>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</si>
  <si>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</si>
  <si>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</si>
  <si>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</si>
  <si>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</si>
  <si>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</si>
  <si>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</si>
  <si>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</si>
  <si>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</si>
  <si>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</si>
  <si>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</si>
  <si>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</si>
  <si>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</si>
  <si>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</si>
  <si>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</si>
  <si>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</si>
  <si>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</si>
  <si>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</si>
  <si>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</si>
  <si>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</si>
  <si>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</si>
  <si>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</si>
  <si>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</si>
  <si>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</si>
  <si>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</si>
  <si>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</si>
  <si>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</si>
  <si>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</si>
  <si>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</si>
  <si>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</si>
  <si>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</si>
  <si>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</si>
  <si>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</si>
  <si>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</si>
  <si>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</si>
  <si>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</si>
  <si>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</si>
  <si>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</si>
  <si>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</si>
  <si>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</si>
  <si>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</si>
  <si>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</si>
  <si>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</si>
  <si>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</si>
  <si>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</si>
  <si>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</si>
  <si>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</si>
  <si>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</si>
  <si>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</si>
  <si>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</si>
  <si>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</si>
  <si>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</si>
  <si>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</si>
  <si>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</si>
  <si>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</si>
  <si>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</si>
  <si>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</si>
  <si>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</si>
  <si>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</si>
  <si>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</si>
  <si>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</si>
  <si>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</si>
  <si>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</si>
  <si>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</si>
  <si>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</si>
  <si>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</si>
  <si>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</si>
  <si>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</si>
  <si>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</si>
  <si>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</si>
  <si>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</si>
  <si>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</si>
  <si>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</si>
  <si>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</si>
  <si>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</si>
  <si>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</si>
  <si>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</si>
  <si>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</si>
  <si>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</si>
  <si>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</si>
  <si>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</si>
  <si>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</si>
  <si>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</si>
  <si>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</si>
  <si>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</si>
  <si>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</si>
  <si>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</si>
  <si>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</si>
  <si>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</si>
  <si>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</si>
  <si>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</si>
  <si>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</si>
  <si>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</si>
  <si>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</si>
  <si>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</si>
  <si>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</si>
  <si>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</si>
  <si>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</si>
  <si>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</si>
  <si>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</si>
  <si>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</si>
  <si>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</si>
  <si>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</si>
  <si>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</si>
  <si>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</si>
  <si>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</si>
  <si>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</si>
  <si>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</si>
  <si>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</si>
  <si>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</si>
  <si>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</si>
  <si>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</si>
  <si>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</si>
  <si>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</si>
  <si>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</si>
  <si>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</si>
  <si>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</si>
  <si>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</si>
  <si>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</si>
  <si>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</si>
  <si>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</si>
  <si>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</si>
  <si>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</si>
  <si>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</si>
  <si>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</si>
  <si>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</si>
  <si>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</si>
  <si>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</si>
  <si>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</si>
  <si>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</si>
  <si>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</si>
  <si>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</si>
  <si>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</si>
  <si>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</si>
  <si>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</si>
  <si>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</si>
  <si>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</si>
  <si>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</si>
  <si>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</si>
  <si>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</si>
  <si>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</si>
  <si>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</si>
  <si>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</si>
  <si>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</si>
  <si>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</si>
  <si>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</si>
  <si>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</si>
  <si>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</si>
  <si>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</si>
  <si>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</si>
  <si>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</si>
  <si>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</si>
  <si>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</si>
  <si>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</si>
  <si>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</si>
  <si>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</si>
  <si>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</si>
  <si>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</si>
  <si>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</si>
  <si>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</si>
  <si>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</si>
  <si>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</si>
  <si>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</si>
  <si>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</si>
  <si>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</si>
  <si>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</si>
  <si>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</si>
  <si>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</si>
  <si>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</si>
  <si>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</si>
  <si>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</si>
  <si>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</si>
  <si>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</si>
  <si>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</si>
  <si>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</si>
  <si>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</si>
  <si>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</si>
  <si>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</si>
  <si>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</si>
  <si>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</si>
  <si>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</si>
  <si>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</si>
  <si>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</si>
  <si>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</si>
  <si>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</si>
  <si>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</si>
  <si>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</si>
  <si>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</si>
  <si>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</si>
  <si>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</si>
  <si>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</si>
  <si>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</si>
  <si>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</si>
  <si>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</si>
  <si>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</si>
  <si>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</si>
  <si>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</si>
  <si>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</si>
  <si>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</si>
  <si>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</si>
  <si>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</si>
  <si>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</si>
  <si>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</si>
  <si>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</si>
  <si>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</si>
  <si>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</si>
  <si>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</si>
  <si>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</si>
  <si>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</si>
  <si>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</si>
  <si>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</si>
  <si>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</si>
  <si>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</si>
  <si>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</si>
  <si>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</si>
  <si>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</si>
  <si>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</si>
  <si>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</si>
  <si>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</si>
  <si>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</si>
  <si>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</si>
  <si>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</si>
  <si>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</si>
  <si>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</si>
  <si>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</si>
  <si>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</si>
  <si>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</si>
  <si>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</si>
  <si>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</si>
  <si>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</si>
  <si>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</si>
  <si>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</si>
  <si>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</si>
  <si>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</si>
  <si>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</si>
  <si>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</si>
  <si>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</si>
  <si>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</si>
  <si>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</si>
  <si>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</si>
  <si>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</si>
  <si>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</si>
  <si>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</si>
  <si>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</si>
  <si>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</si>
  <si>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</si>
  <si>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</si>
  <si>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</si>
  <si>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</si>
  <si>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</si>
  <si>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</si>
  <si>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</si>
  <si>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</si>
  <si>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</si>
  <si>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</si>
  <si>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</si>
  <si>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</si>
  <si>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</si>
  <si>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</si>
  <si>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</si>
  <si>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</si>
  <si>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</si>
  <si>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</si>
  <si>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</si>
  <si>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</si>
  <si>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</si>
  <si>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</si>
  <si>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</si>
  <si>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</si>
  <si>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</si>
  <si>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</si>
  <si>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</si>
  <si>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</si>
  <si>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</si>
  <si>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</si>
  <si>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</si>
  <si>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</si>
  <si>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</si>
  <si>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</si>
  <si>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</si>
  <si>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</si>
  <si>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</si>
  <si>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</si>
  <si>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</si>
  <si>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</si>
  <si>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</si>
  <si>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</si>
  <si>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</si>
  <si>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</si>
  <si>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</si>
  <si>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</si>
  <si>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</si>
  <si>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</si>
  <si>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</si>
  <si>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</si>
  <si>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</si>
  <si>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</si>
  <si>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</si>
  <si>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</si>
  <si>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</si>
  <si>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</si>
  <si>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</si>
  <si>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</si>
  <si>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</si>
  <si>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</si>
  <si>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</si>
  <si>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</si>
  <si>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</si>
  <si>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</si>
  <si>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</si>
  <si>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</si>
  <si>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</si>
  <si>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</si>
  <si>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</si>
  <si>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</si>
  <si>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</si>
  <si>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</si>
  <si>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</si>
  <si>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</si>
  <si>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</si>
  <si>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</si>
  <si>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</si>
  <si>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</si>
  <si>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</si>
  <si>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</si>
  <si>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</si>
  <si>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</si>
  <si>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</si>
  <si>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</si>
  <si>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</si>
  <si>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</si>
  <si>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</si>
  <si>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</si>
  <si>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</si>
  <si>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</si>
  <si>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</si>
  <si>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</si>
  <si>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</si>
  <si>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</si>
  <si>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</si>
  <si>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</si>
  <si>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</si>
  <si>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</si>
  <si>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</si>
  <si>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</si>
  <si>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</si>
  <si>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</si>
  <si>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</si>
  <si>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</si>
  <si>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</si>
  <si>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</si>
  <si>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</si>
  <si>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</si>
  <si>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</si>
  <si>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</si>
  <si>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</si>
  <si>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</si>
  <si>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</si>
  <si>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</si>
  <si>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</si>
  <si>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</si>
  <si>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</si>
  <si>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</si>
  <si>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</si>
  <si>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</si>
  <si>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</si>
  <si>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</si>
  <si>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</si>
  <si>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</si>
  <si>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</si>
  <si>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</si>
  <si>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</si>
  <si>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</si>
  <si>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</si>
  <si>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</si>
  <si>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</si>
  <si>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</si>
  <si>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</si>
  <si>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</si>
  <si>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</si>
  <si>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</si>
  <si>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</si>
  <si>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</si>
  <si>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</si>
  <si>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</si>
  <si>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</si>
  <si>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</si>
  <si>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</si>
  <si>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</si>
  <si>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</si>
  <si>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</si>
  <si>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</si>
  <si>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</si>
  <si>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</si>
  <si>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</si>
  <si>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</si>
  <si>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</si>
  <si>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</si>
  <si>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</si>
  <si>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</si>
  <si>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</si>
  <si>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</si>
  <si>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</si>
  <si>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</si>
  <si>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</si>
  <si>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</si>
  <si>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</si>
  <si>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</si>
  <si>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</si>
  <si>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</si>
  <si>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</si>
  <si>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</si>
  <si>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</si>
  <si>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</si>
  <si>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</si>
  <si>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</si>
  <si>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</si>
  <si>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</si>
  <si>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</si>
  <si>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</si>
  <si>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</si>
  <si>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</si>
  <si>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</si>
  <si>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</si>
  <si>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</si>
  <si>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</si>
  <si>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</si>
  <si>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</si>
  <si>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</si>
  <si>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</si>
  <si>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</si>
  <si>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</si>
  <si>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</si>
  <si>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</si>
  <si>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</si>
  <si>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</si>
  <si>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</si>
  <si>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</si>
  <si>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</si>
  <si>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</si>
  <si>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</si>
  <si>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</si>
  <si>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</si>
  <si>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</si>
  <si>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</si>
  <si>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</si>
  <si>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</si>
  <si>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</si>
  <si>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</si>
  <si>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</si>
  <si>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</si>
  <si>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</si>
  <si>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</si>
  <si>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</si>
  <si>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</si>
  <si>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</si>
  <si>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</si>
  <si>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</si>
  <si>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</si>
  <si>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</si>
  <si>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</si>
  <si>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</si>
  <si>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</si>
  <si>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</si>
  <si>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</si>
  <si>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</si>
  <si>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</si>
  <si>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</si>
  <si>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</si>
  <si>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</si>
  <si>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</si>
  <si>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</si>
  <si>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</si>
  <si>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</si>
  <si>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</si>
  <si>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</si>
  <si>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</si>
  <si>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</si>
  <si>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</si>
  <si>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</si>
  <si>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</si>
  <si>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</si>
  <si>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</si>
  <si>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</si>
  <si>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</si>
  <si>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</si>
  <si>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</si>
  <si>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</si>
  <si>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</si>
  <si>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</si>
  <si>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</si>
  <si>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</si>
  <si>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</si>
  <si>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</si>
  <si>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</si>
  <si>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</si>
  <si>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</si>
  <si>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</si>
  <si>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</si>
  <si>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</si>
  <si>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</si>
  <si>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</si>
  <si>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</si>
  <si>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</si>
  <si>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</si>
  <si>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</si>
  <si>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</si>
  <si>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</si>
  <si>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</si>
  <si>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</si>
  <si>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</si>
  <si>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</si>
  <si>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</si>
  <si>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</si>
  <si>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</si>
  <si>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</si>
  <si>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</si>
  <si>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</si>
  <si>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</si>
  <si>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</si>
  <si>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</si>
  <si>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</si>
  <si>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</si>
  <si>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</si>
  <si>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</si>
  <si>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</si>
  <si>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</si>
  <si>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</si>
  <si>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</si>
  <si>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</si>
  <si>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</si>
  <si>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</si>
  <si>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</si>
  <si>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</si>
  <si>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</si>
  <si>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</si>
  <si>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</si>
  <si>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</si>
  <si>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</si>
  <si>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</si>
  <si>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</si>
  <si>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</si>
  <si>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</si>
  <si>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</si>
  <si>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</si>
  <si>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</si>
  <si>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</si>
  <si>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</si>
  <si>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</si>
  <si>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</si>
  <si>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</si>
  <si>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</si>
  <si>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</si>
  <si>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</si>
  <si>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</si>
  <si>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</si>
  <si>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</si>
  <si>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</si>
  <si>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</si>
  <si>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</si>
  <si>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</si>
  <si>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</si>
  <si>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</si>
  <si>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</si>
  <si>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</si>
  <si>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</si>
  <si>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</si>
  <si>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</si>
  <si>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</si>
  <si>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</si>
  <si>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</si>
  <si>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</si>
  <si>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</si>
  <si>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</si>
  <si>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</si>
  <si>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</si>
  <si>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</si>
  <si>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</si>
  <si>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</si>
  <si>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</si>
  <si>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</si>
  <si>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</si>
  <si>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</si>
  <si>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</si>
  <si>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</si>
  <si>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</si>
  <si>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</si>
  <si>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</si>
  <si>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</si>
  <si>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</si>
  <si>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</si>
  <si>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</si>
  <si>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</si>
  <si>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</si>
  <si>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</si>
  <si>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</si>
  <si>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</si>
  <si>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</si>
  <si>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</si>
  <si>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</si>
  <si>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</si>
  <si>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</si>
  <si>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</si>
  <si>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</si>
  <si>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</si>
  <si>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</si>
  <si>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</si>
  <si>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</si>
  <si>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</si>
  <si>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</si>
  <si>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</si>
  <si>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</si>
  <si>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</si>
  <si>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</si>
  <si>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</si>
  <si>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</si>
  <si>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</si>
  <si>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</si>
  <si>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</si>
  <si>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</si>
  <si>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</si>
  <si>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</si>
  <si>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</si>
  <si>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</si>
  <si>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</si>
  <si>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</si>
  <si>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</si>
  <si>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</si>
  <si>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</si>
  <si>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</si>
  <si>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</si>
  <si>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</si>
  <si>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</si>
  <si>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</si>
  <si>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</si>
  <si>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</si>
  <si>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</si>
  <si>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</si>
  <si>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</si>
  <si>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</si>
  <si>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</si>
  <si>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</si>
  <si>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</si>
  <si>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</si>
  <si>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</si>
  <si>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</si>
  <si>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</si>
  <si>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</si>
  <si>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</si>
  <si>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</si>
  <si>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</si>
  <si>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</si>
  <si>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</si>
  <si>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</si>
  <si>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</si>
  <si>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</si>
  <si>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</si>
  <si>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</si>
  <si>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</si>
  <si>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</si>
  <si>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</si>
  <si>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</si>
  <si>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</si>
  <si>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</si>
  <si>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</si>
  <si>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</si>
  <si>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</si>
  <si>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</si>
  <si>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</si>
  <si>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</si>
  <si>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</si>
  <si>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</si>
  <si>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</si>
  <si>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</si>
  <si>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</si>
  <si>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</si>
  <si>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</si>
  <si>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</si>
  <si>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</si>
  <si>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</si>
  <si>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</si>
  <si>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</si>
  <si>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</si>
  <si>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</si>
  <si>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</si>
  <si>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</si>
  <si>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</si>
  <si>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</si>
  <si>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</si>
  <si>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</si>
  <si>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</si>
  <si>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</si>
  <si>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</si>
  <si>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</si>
  <si>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</si>
  <si>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</si>
  <si>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</si>
  <si>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</si>
  <si>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</si>
  <si>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</si>
  <si>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</si>
  <si>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</si>
  <si>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</si>
  <si>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</si>
  <si>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</si>
  <si>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</si>
  <si>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</si>
  <si>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</si>
  <si>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</si>
  <si>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</si>
  <si>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</si>
  <si>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</si>
  <si>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</si>
  <si>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</si>
  <si>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</si>
  <si>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</si>
  <si>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</si>
  <si>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</si>
  <si>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</si>
  <si>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</si>
  <si>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</si>
  <si>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</si>
  <si>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</si>
  <si>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</si>
  <si>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</si>
  <si>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</si>
  <si>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</si>
  <si>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</si>
  <si>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</si>
  <si>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</si>
  <si>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</si>
  <si>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</si>
  <si>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</si>
  <si>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</si>
  <si>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</si>
  <si>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</si>
  <si>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</si>
  <si>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</si>
  <si>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</si>
  <si>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</si>
  <si>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</si>
  <si>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</si>
  <si>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</si>
  <si>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</si>
  <si>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</si>
  <si>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</si>
  <si>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</si>
  <si>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</si>
  <si>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</si>
  <si>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</si>
  <si>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</si>
  <si>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</si>
  <si>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</si>
  <si>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</si>
  <si>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</si>
  <si>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</si>
  <si>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</si>
  <si>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</si>
  <si>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</si>
  <si>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</si>
  <si>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</si>
  <si>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</si>
  <si>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</si>
  <si>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</si>
  <si>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</si>
  <si>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</si>
  <si>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</si>
  <si>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</si>
  <si>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</si>
  <si>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</si>
  <si>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</si>
  <si>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</si>
  <si>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</si>
  <si>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</si>
  <si>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</si>
  <si>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</si>
  <si>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</si>
  <si>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</si>
  <si>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</si>
  <si>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</si>
  <si>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</si>
  <si>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</si>
  <si>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</si>
  <si>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</si>
  <si>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</si>
  <si>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</si>
  <si>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</si>
  <si>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</si>
  <si>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</si>
  <si>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</si>
  <si>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</si>
  <si>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</si>
  <si>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</si>
  <si>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</si>
  <si>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</si>
  <si>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</si>
  <si>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</si>
  <si>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</si>
  <si>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</si>
  <si>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</si>
  <si>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</si>
  <si>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</si>
  <si>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</si>
  <si>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</si>
  <si>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</si>
  <si>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</si>
  <si>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</si>
  <si>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</si>
  <si>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</si>
  <si>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</si>
  <si>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</si>
  <si>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</si>
  <si>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</si>
  <si>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</si>
  <si>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</si>
  <si>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</si>
  <si>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</si>
  <si>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</si>
  <si>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</si>
  <si>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</si>
  <si>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</si>
  <si>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</si>
  <si>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</si>
  <si>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</si>
  <si>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</si>
  <si>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</si>
  <si>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</si>
  <si>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</si>
  <si>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</si>
  <si>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</si>
  <si>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</si>
  <si>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</si>
  <si>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</si>
  <si>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</si>
  <si>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</si>
  <si>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</si>
  <si>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</si>
  <si>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</si>
  <si>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</si>
  <si>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</si>
  <si>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</si>
  <si>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</si>
  <si>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</si>
  <si>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</si>
  <si>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</si>
  <si>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</si>
  <si>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</si>
  <si>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</si>
  <si>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</si>
  <si>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</si>
  <si>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</si>
  <si>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</si>
  <si>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</si>
  <si>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</si>
  <si>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</si>
  <si>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</si>
  <si>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</si>
  <si>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</si>
  <si>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</si>
  <si>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</si>
  <si>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</si>
  <si>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</si>
  <si>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</si>
  <si>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</si>
  <si>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</si>
  <si>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</si>
  <si>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</si>
  <si>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</si>
  <si>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</si>
  <si>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</si>
  <si>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</si>
  <si>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</si>
  <si>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</si>
  <si>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</si>
  <si>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</si>
  <si>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LaSalle/Dekalb</t>
  </si>
  <si>
    <t>370 North Main Street</t>
  </si>
  <si>
    <t>Leland</t>
  </si>
  <si>
    <t>jmoore@leland1.org</t>
  </si>
  <si>
    <t>Thomas R. Peffer, CPA</t>
  </si>
  <si>
    <t>tpeffer@gorenzcpa.com</t>
  </si>
  <si>
    <t>Jodi Moore</t>
  </si>
  <si>
    <t>815-495-3231</t>
  </si>
  <si>
    <t>815-495-4611</t>
  </si>
  <si>
    <t>Life Safety 2008</t>
  </si>
  <si>
    <t>Life Safety 2015</t>
  </si>
  <si>
    <t>4,3</t>
  </si>
  <si>
    <t>IGS Energy</t>
  </si>
  <si>
    <t>Peru, LaSalle, Oglesby, Dimmick, Deer Park, Tonica Waltham</t>
  </si>
  <si>
    <t>L.E.A.S.E.</t>
  </si>
  <si>
    <t>Midwest Transit Equipment</t>
  </si>
  <si>
    <t>Area Career Center</t>
  </si>
  <si>
    <t>2017-001</t>
  </si>
  <si>
    <t>Lack of segregation of duties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</si>
  <si>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</si>
  <si>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</si>
  <si>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two individuals.</t>
  </si>
  <si>
    <t>Certain individuals have the ability to complete and record accounting functions which ideally would be segregated.</t>
  </si>
  <si>
    <t>The Board of Education has determined that two individuals is sufficient to perform the required duties.</t>
  </si>
  <si>
    <t>The Board should take steps it considers necessary to limit the risks that a lack of segregation of duties presents; such as but not limited to hiring additional staff.</t>
  </si>
  <si>
    <t>The District will take the auditors' recommendations under consideration.</t>
  </si>
  <si>
    <t>Page 10, Line 81 - 1790 - Student Fees (Music, PE, Art, Industrial Tech), Field trips, IVVC fees, WCC dual credits</t>
  </si>
  <si>
    <t>Page 10, Line 91 - 1829 - Misc Sales - Books, chromebooks</t>
  </si>
  <si>
    <t>Page 11, Line 106 - 1993 - Local Fee (LaSalle County)</t>
  </si>
  <si>
    <t>Page 12,  Line 171 - 3999 -  Other State Grants - State Library Grant, Homeless reimbursement</t>
  </si>
  <si>
    <t>Page 12, Line 183 - 4999 - REAP Grant</t>
  </si>
  <si>
    <t>The opinion is adverse due to the use of the Regulatory Basis of Accounting.</t>
  </si>
  <si>
    <t>Unresolved - See Finding 2018-001</t>
  </si>
  <si>
    <t>20. 2018-001 - Segregation of Duties</t>
  </si>
  <si>
    <t>NONE</t>
  </si>
  <si>
    <t>Page 29, Line 80 "PLEASE ENTER CONTRACTS PAID IN THE CURRENT YEAR"
For the current fiscal year under audit, the district did not have any qualifying contracts exceeding the $25,000 limit</t>
  </si>
  <si>
    <t>Page 18, Line 171 - 5400 - Bond service fees</t>
  </si>
  <si>
    <t>Page 9, Line 17 - 1290 - Other Payments in Lieu of Taxes</t>
  </si>
  <si>
    <t>066-005027</t>
  </si>
  <si>
    <t>see embedded PDF version</t>
  </si>
  <si>
    <t>Leland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</si>
</sst>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5" fillId="0" borderId="0" xfId="0" applyFont="1" applyAlignment="1">
      <alignment wrapText="1"/>
    </xf>
    <xf numFmtId="0" fontId="1" fillId="0" borderId="158" xfId="17" applyFont="1" applyBorder="1" applyAlignment="1" applyProtection="1">
      <alignment horizontal="left" vertical="top" wrapText="1"/>
      <protection locked="0"/>
    </xf>
    <xf numFmtId="164" fontId="60" fillId="0" borderId="0" xfId="0" applyNumberFormat="1" applyFont="1" applyAlignment="1">
      <alignment vertical="top"/>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2086</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35050001026</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2087</v>
      </c>
      <c r="B15" s="2006"/>
      <c r="C15" s="2006"/>
      <c r="D15" s="2006"/>
      <c r="E15" s="2006"/>
      <c r="F15" s="2006"/>
      <c r="G15" s="2006"/>
      <c r="H15" s="2007"/>
      <c r="T15" s="1969" t="s">
        <v>2091</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2127</v>
      </c>
      <c r="B17" s="2031"/>
      <c r="C17" s="2031"/>
      <c r="D17" s="2031"/>
      <c r="E17" s="2031"/>
      <c r="F17" s="2031"/>
      <c r="G17" s="2031"/>
      <c r="H17" s="2032"/>
      <c r="T17" s="2018" t="s">
        <v>2079</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2088</v>
      </c>
      <c r="B19" s="2002"/>
      <c r="C19" s="2002"/>
      <c r="D19" s="2002"/>
      <c r="E19" s="2002"/>
      <c r="F19" s="2002"/>
      <c r="G19" s="2002"/>
      <c r="H19" s="2000"/>
      <c r="I19" s="30"/>
      <c r="J19" s="99"/>
      <c r="K19" s="40"/>
      <c r="L19" s="38"/>
      <c r="M19" s="112" t="s">
        <v>333</v>
      </c>
      <c r="P19" s="27"/>
      <c r="Q19" s="27"/>
      <c r="R19" s="27"/>
      <c r="S19" s="31"/>
      <c r="T19" s="2001" t="s">
        <v>2080</v>
      </c>
      <c r="U19" s="1999"/>
      <c r="V19" s="1999"/>
      <c r="W19" s="2000"/>
      <c r="X19" s="2016" t="s">
        <v>2081</v>
      </c>
      <c r="Y19" s="2017"/>
      <c r="Z19" s="2014">
        <v>61614</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2089</v>
      </c>
      <c r="B21" s="1999"/>
      <c r="C21" s="1999"/>
      <c r="D21" s="1999"/>
      <c r="E21" s="1999"/>
      <c r="F21" s="1999"/>
      <c r="G21" s="1999"/>
      <c r="H21" s="2000"/>
      <c r="I21" s="2024" t="s">
        <v>699</v>
      </c>
      <c r="J21" s="1987"/>
      <c r="K21" s="1987"/>
      <c r="L21" s="1987"/>
      <c r="M21" s="1987"/>
      <c r="N21" s="1987"/>
      <c r="O21" s="1987"/>
      <c r="P21" s="1987"/>
      <c r="Q21" s="1987"/>
      <c r="R21" s="1987"/>
      <c r="S21" s="1988"/>
      <c r="T21" s="1966" t="s">
        <v>2082</v>
      </c>
      <c r="U21" s="1967"/>
      <c r="V21" s="1967"/>
      <c r="W21" s="1967"/>
      <c r="X21" s="1980" t="s">
        <v>2083</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2090</v>
      </c>
      <c r="B23" s="2022"/>
      <c r="C23" s="2022"/>
      <c r="D23" s="2022"/>
      <c r="E23" s="2022"/>
      <c r="F23" s="2022"/>
      <c r="G23" s="2022"/>
      <c r="H23" s="2023"/>
      <c r="T23" s="1961" t="s">
        <v>2125</v>
      </c>
      <c r="U23" s="1962"/>
      <c r="V23" s="1962"/>
      <c r="W23" s="1962"/>
      <c r="X23" s="1977">
        <v>44530</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60531</v>
      </c>
      <c r="B25" s="1999"/>
      <c r="C25" s="1999"/>
      <c r="D25" s="1999"/>
      <c r="E25" s="1999"/>
      <c r="F25" s="1999"/>
      <c r="G25" s="1999"/>
      <c r="H25" s="2000"/>
      <c r="I25" s="113"/>
      <c r="J25" s="2065"/>
      <c r="K25" s="2065"/>
      <c r="L25" s="2065"/>
      <c r="M25" s="2065"/>
      <c r="N25" s="2065"/>
      <c r="O25" s="2065"/>
      <c r="P25" s="2065"/>
      <c r="Q25" s="2065"/>
      <c r="R25" s="2065"/>
      <c r="S25" s="2066"/>
      <c r="T25" s="1958" t="s">
        <v>2092</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2086</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2086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2093</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2090</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2094</v>
      </c>
      <c r="B42" s="2048"/>
      <c r="C42" s="2049"/>
      <c r="D42" s="2062" t="s">
        <v>2095</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48" t="s">
        <v>2037</v>
      </c>
      <c r="C2" s="713" t="s">
        <v>1910</v>
      </c>
      <c r="D2" s="713" t="s">
        <v>1911</v>
      </c>
      <c r="E2" s="713" t="s">
        <v>1912</v>
      </c>
      <c r="F2" s="713" t="s">
        <v>1913</v>
      </c>
    </row>
    <row r="3" spans="1:6" ht="12" customHeight="1" x14ac:dyDescent="0.2">
      <c r="A3" s="2201"/>
      <c r="B3" s="1545"/>
      <c r="C3" s="1546"/>
      <c r="D3" s="1547" t="s">
        <v>274</v>
      </c>
      <c r="E3" s="1546"/>
      <c r="F3" s="1547" t="s">
        <v>275</v>
      </c>
    </row>
    <row r="4" spans="1:6" ht="13.7" customHeight="1" x14ac:dyDescent="0.2">
      <c r="A4" s="714" t="s">
        <v>1217</v>
      </c>
      <c r="B4" s="1769">
        <f>'Revenues 9-14'!C5</f>
        <v>1960783</v>
      </c>
      <c r="C4" s="1544">
        <v>260393</v>
      </c>
      <c r="D4" s="1772">
        <f>B4-C4</f>
        <v>1700390</v>
      </c>
      <c r="E4" s="1544">
        <v>2015672</v>
      </c>
      <c r="F4" s="1772">
        <f>E4-C4</f>
        <v>1755279</v>
      </c>
    </row>
    <row r="5" spans="1:6" ht="13.7" customHeight="1" x14ac:dyDescent="0.2">
      <c r="A5" s="714" t="s">
        <v>925</v>
      </c>
      <c r="B5" s="1770">
        <f>'Revenues 9-14'!D5</f>
        <v>245098</v>
      </c>
      <c r="C5" s="583">
        <v>32549</v>
      </c>
      <c r="D5" s="1773">
        <f t="shared" ref="D5:D18" si="0">B5-C5</f>
        <v>212549</v>
      </c>
      <c r="E5" s="583">
        <v>251959</v>
      </c>
      <c r="F5" s="1773">
        <f>E5-C5</f>
        <v>219410</v>
      </c>
    </row>
    <row r="6" spans="1:6" ht="13.7" customHeight="1" x14ac:dyDescent="0.2">
      <c r="A6" s="714" t="s">
        <v>431</v>
      </c>
      <c r="B6" s="1770">
        <f>'Revenues 9-14'!E5</f>
        <v>269225</v>
      </c>
      <c r="C6" s="583">
        <v>35723</v>
      </c>
      <c r="D6" s="1773">
        <f t="shared" si="0"/>
        <v>233502</v>
      </c>
      <c r="E6" s="583">
        <v>276525</v>
      </c>
      <c r="F6" s="1773">
        <f t="shared" ref="F6:F18" si="1">E6-C6</f>
        <v>240802</v>
      </c>
    </row>
    <row r="7" spans="1:6" ht="13.7" customHeight="1" x14ac:dyDescent="0.2">
      <c r="A7" s="714" t="s">
        <v>157</v>
      </c>
      <c r="B7" s="1770">
        <f>'Revenues 9-14'!F5</f>
        <v>98040</v>
      </c>
      <c r="C7" s="583">
        <v>13020</v>
      </c>
      <c r="D7" s="1773">
        <f t="shared" si="0"/>
        <v>85020</v>
      </c>
      <c r="E7" s="583">
        <v>100784</v>
      </c>
      <c r="F7" s="1773">
        <f t="shared" si="1"/>
        <v>87764</v>
      </c>
    </row>
    <row r="8" spans="1:6" ht="13.7" customHeight="1" x14ac:dyDescent="0.2">
      <c r="A8" s="714" t="s">
        <v>1241</v>
      </c>
      <c r="B8" s="1770">
        <f>'Revenues 9-14'!G5</f>
        <v>60139</v>
      </c>
      <c r="C8" s="583">
        <v>5684</v>
      </c>
      <c r="D8" s="1773">
        <f t="shared" si="0"/>
        <v>54455</v>
      </c>
      <c r="E8" s="583">
        <v>44002</v>
      </c>
      <c r="F8" s="1773">
        <f t="shared" si="1"/>
        <v>38318</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24510</v>
      </c>
      <c r="C10" s="583">
        <v>3255</v>
      </c>
      <c r="D10" s="1773">
        <f t="shared" si="0"/>
        <v>21255</v>
      </c>
      <c r="E10" s="583">
        <v>25196</v>
      </c>
      <c r="F10" s="1773">
        <f t="shared" si="1"/>
        <v>21941</v>
      </c>
    </row>
    <row r="11" spans="1:6" x14ac:dyDescent="0.2">
      <c r="A11" s="714" t="s">
        <v>429</v>
      </c>
      <c r="B11" s="1770">
        <f>'Revenues 9-14'!J5</f>
        <v>209481</v>
      </c>
      <c r="C11" s="583">
        <v>32942</v>
      </c>
      <c r="D11" s="1773">
        <f t="shared" si="0"/>
        <v>176539</v>
      </c>
      <c r="E11" s="583">
        <v>255003</v>
      </c>
      <c r="F11" s="1773">
        <f t="shared" si="1"/>
        <v>222061</v>
      </c>
    </row>
    <row r="12" spans="1:6" ht="13.7" customHeight="1" x14ac:dyDescent="0.2">
      <c r="A12" s="714" t="s">
        <v>159</v>
      </c>
      <c r="B12" s="1770">
        <f>'Revenues 9-14'!K5</f>
        <v>24510</v>
      </c>
      <c r="C12" s="583">
        <v>3255</v>
      </c>
      <c r="D12" s="1773">
        <f t="shared" si="0"/>
        <v>21255</v>
      </c>
      <c r="E12" s="583">
        <v>25196</v>
      </c>
      <c r="F12" s="1773">
        <f t="shared" si="1"/>
        <v>21941</v>
      </c>
    </row>
    <row r="13" spans="1:6" ht="13.7" customHeight="1" x14ac:dyDescent="0.2">
      <c r="A13" s="714" t="s">
        <v>993</v>
      </c>
      <c r="B13" s="1770">
        <f>SUM('Revenues 9-14'!C6:D6)</f>
        <v>24510</v>
      </c>
      <c r="C13" s="583">
        <v>3255</v>
      </c>
      <c r="D13" s="1773">
        <f t="shared" si="0"/>
        <v>21255</v>
      </c>
      <c r="E13" s="583">
        <v>25196</v>
      </c>
      <c r="F13" s="1773">
        <f t="shared" si="1"/>
        <v>21941</v>
      </c>
    </row>
    <row r="14" spans="1:6" ht="13.7" customHeight="1" x14ac:dyDescent="0.2">
      <c r="A14" s="714" t="s">
        <v>430</v>
      </c>
      <c r="B14" s="1770">
        <f>SUM('Revenues 9-14'!C7:D7,'Revenues 9-14'!F7:H7)</f>
        <v>19608</v>
      </c>
      <c r="C14" s="583">
        <v>2604</v>
      </c>
      <c r="D14" s="1773">
        <f t="shared" si="0"/>
        <v>17004</v>
      </c>
      <c r="E14" s="583">
        <v>20157</v>
      </c>
      <c r="F14" s="1773">
        <f t="shared" si="1"/>
        <v>17553</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85861</v>
      </c>
      <c r="C16" s="583">
        <v>8527</v>
      </c>
      <c r="D16" s="1773">
        <f t="shared" si="0"/>
        <v>77334</v>
      </c>
      <c r="E16" s="583">
        <v>66003</v>
      </c>
      <c r="F16" s="1773">
        <f t="shared" si="1"/>
        <v>57476</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3021765</v>
      </c>
      <c r="C19" s="1771">
        <f>SUM(C4:C18)</f>
        <v>401207</v>
      </c>
      <c r="D19" s="1771">
        <f>SUM(D4:D18)</f>
        <v>2620558</v>
      </c>
      <c r="E19" s="1771">
        <f>SUM(E4:E18)</f>
        <v>3105693</v>
      </c>
      <c r="F19" s="1771">
        <f>SUM(F4:F18)</f>
        <v>2704486</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0"/>
    </row>
    <row r="2" spans="1:7" ht="33.75" x14ac:dyDescent="0.2">
      <c r="A2" s="2215" t="s">
        <v>1905</v>
      </c>
      <c r="B2" s="2216"/>
      <c r="C2" s="1907" t="s">
        <v>2038</v>
      </c>
      <c r="D2" s="722" t="s">
        <v>2045</v>
      </c>
      <c r="E2" s="722" t="s">
        <v>2046</v>
      </c>
      <c r="F2" s="1907" t="s">
        <v>2039</v>
      </c>
    </row>
    <row r="3" spans="1:7" ht="15.75" customHeight="1" x14ac:dyDescent="0.2">
      <c r="A3" s="2219" t="s">
        <v>1176</v>
      </c>
      <c r="B3" s="2220"/>
      <c r="C3" s="2208"/>
      <c r="D3" s="2209"/>
      <c r="E3" s="2209"/>
      <c r="F3" s="2210"/>
    </row>
    <row r="4" spans="1:7" ht="12.75" customHeight="1" thickBot="1" x14ac:dyDescent="0.25">
      <c r="A4" s="2217" t="s">
        <v>651</v>
      </c>
      <c r="B4" s="2218"/>
      <c r="C4" s="579"/>
      <c r="D4" s="579"/>
      <c r="E4" s="579"/>
      <c r="F4" s="1775">
        <f>SUM(C4+D4)-E4</f>
        <v>0</v>
      </c>
    </row>
    <row r="5" spans="1:7" ht="15.75" customHeight="1" thickTop="1" x14ac:dyDescent="0.2">
      <c r="A5" s="2202" t="s">
        <v>1172</v>
      </c>
      <c r="B5" s="2203"/>
      <c r="C5" s="2211"/>
      <c r="D5" s="2212"/>
      <c r="E5" s="2212"/>
      <c r="F5" s="2213"/>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4" t="s">
        <v>652</v>
      </c>
      <c r="B15" s="2205"/>
      <c r="C15" s="1775">
        <f>SUM(C6:C14)</f>
        <v>0</v>
      </c>
      <c r="D15" s="1775">
        <f>SUM(D6:D14)</f>
        <v>0</v>
      </c>
      <c r="E15" s="1775">
        <f>SUM(E6:E14)</f>
        <v>0</v>
      </c>
      <c r="F15" s="1775">
        <f>SUM(F6:F14)</f>
        <v>0</v>
      </c>
      <c r="G15" s="550"/>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5"/>
      <c r="D17" s="583"/>
      <c r="E17" s="725"/>
      <c r="F17" s="1775">
        <f>SUM(C17+D17)-E17</f>
        <v>0</v>
      </c>
    </row>
    <row r="18" spans="1:11" ht="12.75" customHeight="1" thickTop="1" thickBot="1" x14ac:dyDescent="0.25">
      <c r="A18" s="2227" t="s">
        <v>6</v>
      </c>
      <c r="B18" s="2228"/>
      <c r="C18" s="725"/>
      <c r="D18" s="583"/>
      <c r="E18" s="725"/>
      <c r="F18" s="1775">
        <f>SUM(C18+D18)-E18</f>
        <v>0</v>
      </c>
    </row>
    <row r="19" spans="1:11" ht="12.75" customHeight="1" thickTop="1" thickBot="1" x14ac:dyDescent="0.25">
      <c r="A19" s="2227" t="s">
        <v>406</v>
      </c>
      <c r="B19" s="2228"/>
      <c r="C19" s="725"/>
      <c r="D19" s="583"/>
      <c r="E19" s="725"/>
      <c r="F19" s="1775">
        <f>SUM(C19+D19)-E19</f>
        <v>0</v>
      </c>
    </row>
    <row r="20" spans="1:11" ht="12.75" customHeight="1" thickTop="1" thickBot="1" x14ac:dyDescent="0.25">
      <c r="A20" s="2227" t="s">
        <v>468</v>
      </c>
      <c r="B20" s="2228"/>
      <c r="C20" s="725"/>
      <c r="D20" s="583"/>
      <c r="E20" s="725"/>
      <c r="F20" s="1775">
        <f>SUM(C20+D20)-E20</f>
        <v>0</v>
      </c>
    </row>
    <row r="21" spans="1:11" ht="14.25" thickTop="1" thickBot="1" x14ac:dyDescent="0.25">
      <c r="A21" s="2204" t="s">
        <v>653</v>
      </c>
      <c r="B21" s="2205"/>
      <c r="C21" s="1775">
        <f>SUM(C17:C20)</f>
        <v>0</v>
      </c>
      <c r="D21" s="1775">
        <f>SUM(D17:D20)</f>
        <v>0</v>
      </c>
      <c r="E21" s="1775">
        <f>SUM(E17:E20)</f>
        <v>0</v>
      </c>
      <c r="F21" s="1775">
        <f>SUM(F17:F20)</f>
        <v>0</v>
      </c>
      <c r="G21" s="550"/>
    </row>
    <row r="22" spans="1:11" ht="15.75" customHeight="1" thickTop="1" x14ac:dyDescent="0.2">
      <c r="A22" s="2229" t="s">
        <v>1174</v>
      </c>
      <c r="B22" s="2203"/>
      <c r="C22" s="2211"/>
      <c r="D22" s="2212"/>
      <c r="E22" s="2212"/>
      <c r="F22" s="2213"/>
    </row>
    <row r="23" spans="1:11" ht="13.5" thickBot="1" x14ac:dyDescent="0.25">
      <c r="A23" s="2217" t="s">
        <v>654</v>
      </c>
      <c r="B23" s="2218"/>
      <c r="C23" s="579"/>
      <c r="D23" s="579"/>
      <c r="E23" s="579"/>
      <c r="F23" s="1775">
        <f>SUM(C23+D23)-E23</f>
        <v>0</v>
      </c>
      <c r="G23" s="550"/>
    </row>
    <row r="24" spans="1:11" ht="15.75" customHeight="1" thickTop="1" x14ac:dyDescent="0.2">
      <c r="A24" s="2229" t="s">
        <v>1175</v>
      </c>
      <c r="B24" s="2203"/>
      <c r="C24" s="2211"/>
      <c r="D24" s="2212"/>
      <c r="E24" s="2212"/>
      <c r="F24" s="2213"/>
    </row>
    <row r="25" spans="1:11" ht="13.5" thickBot="1" x14ac:dyDescent="0.25">
      <c r="A25" s="2217" t="s">
        <v>655</v>
      </c>
      <c r="B25" s="2218"/>
      <c r="C25" s="579"/>
      <c r="D25" s="579"/>
      <c r="E25" s="579"/>
      <c r="F25" s="1775">
        <f>SUM(C25+D25)-E25</f>
        <v>0</v>
      </c>
      <c r="G25" s="550"/>
    </row>
    <row r="26" spans="1:11" ht="15.75" customHeight="1" thickTop="1" x14ac:dyDescent="0.2">
      <c r="A26" s="2202" t="s">
        <v>678</v>
      </c>
      <c r="B26" s="2203"/>
      <c r="C26" s="726"/>
      <c r="D26" s="726"/>
      <c r="E26" s="726"/>
      <c r="F26" s="727"/>
    </row>
    <row r="27" spans="1:11" ht="13.5" thickBot="1" x14ac:dyDescent="0.25">
      <c r="A27" s="2204" t="s">
        <v>1130</v>
      </c>
      <c r="B27" s="2205"/>
      <c r="C27" s="583"/>
      <c r="D27" s="583"/>
      <c r="E27" s="583"/>
      <c r="F27" s="1775">
        <f>SUM(C27+D27)-E27</f>
        <v>0</v>
      </c>
      <c r="G27" s="550"/>
    </row>
    <row r="28" spans="1:11" ht="7.5" customHeight="1" thickTop="1" x14ac:dyDescent="0.2">
      <c r="A28" s="592"/>
    </row>
    <row r="29" spans="1:11" ht="23.25" customHeight="1" x14ac:dyDescent="0.2">
      <c r="A29" s="2230" t="s">
        <v>603</v>
      </c>
      <c r="B29" s="2207"/>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2096</v>
      </c>
      <c r="B31" s="732">
        <v>39659</v>
      </c>
      <c r="C31" s="733">
        <v>2125000</v>
      </c>
      <c r="D31" s="734">
        <v>4</v>
      </c>
      <c r="E31" s="733">
        <v>140000</v>
      </c>
      <c r="F31" s="733"/>
      <c r="G31" s="733"/>
      <c r="H31" s="733">
        <v>140000</v>
      </c>
      <c r="I31" s="1776">
        <f>((E31+F31)-H31)+G31</f>
        <v>0</v>
      </c>
      <c r="J31" s="733"/>
      <c r="K31" s="735"/>
    </row>
    <row r="32" spans="1:11" ht="12" customHeight="1" x14ac:dyDescent="0.2">
      <c r="A32" s="731" t="s">
        <v>2097</v>
      </c>
      <c r="B32" s="732">
        <v>42145</v>
      </c>
      <c r="C32" s="733">
        <v>2190000</v>
      </c>
      <c r="D32" s="734" t="s">
        <v>2098</v>
      </c>
      <c r="E32" s="733">
        <v>2065000</v>
      </c>
      <c r="F32" s="733"/>
      <c r="G32" s="733"/>
      <c r="H32" s="733">
        <v>75000</v>
      </c>
      <c r="I32" s="1776">
        <f>((E32+F32)-H32)+G32</f>
        <v>1990000</v>
      </c>
      <c r="J32" s="733">
        <v>1899585</v>
      </c>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4315000</v>
      </c>
      <c r="D49" s="744"/>
      <c r="E49" s="1776">
        <f t="shared" ref="E49:J49" si="2">SUM(E31:E48)</f>
        <v>2205000</v>
      </c>
      <c r="F49" s="1776">
        <f t="shared" si="2"/>
        <v>0</v>
      </c>
      <c r="G49" s="1776">
        <f t="shared" si="2"/>
        <v>0</v>
      </c>
      <c r="H49" s="1776">
        <f t="shared" si="2"/>
        <v>215000</v>
      </c>
      <c r="I49" s="1776">
        <f t="shared" si="2"/>
        <v>1990000</v>
      </c>
      <c r="J49" s="1776">
        <f t="shared" si="2"/>
        <v>1899585</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1" t="s">
        <v>605</v>
      </c>
      <c r="C52" s="2222"/>
      <c r="D52" s="2222"/>
      <c r="E52" s="748" t="s">
        <v>900</v>
      </c>
      <c r="F52" s="2223"/>
      <c r="G52" s="2224"/>
      <c r="H52" s="735"/>
      <c r="I52" s="735"/>
      <c r="J52" s="745"/>
    </row>
    <row r="53" spans="1:11" ht="11.25" customHeight="1" x14ac:dyDescent="0.2">
      <c r="A53" s="749" t="s">
        <v>969</v>
      </c>
      <c r="B53" s="750" t="s">
        <v>1008</v>
      </c>
      <c r="C53" s="745"/>
      <c r="D53" s="736"/>
      <c r="E53" s="748" t="s">
        <v>518</v>
      </c>
      <c r="F53" s="2225"/>
      <c r="G53" s="2226"/>
      <c r="H53" s="735"/>
      <c r="I53" s="735"/>
      <c r="J53" s="745"/>
    </row>
    <row r="54" spans="1:11" ht="11.25" customHeight="1" x14ac:dyDescent="0.2">
      <c r="A54" s="751" t="s">
        <v>970</v>
      </c>
      <c r="B54" s="746" t="s">
        <v>1009</v>
      </c>
      <c r="C54" s="745"/>
      <c r="D54" s="736"/>
      <c r="E54" s="748" t="s">
        <v>519</v>
      </c>
      <c r="F54" s="2225"/>
      <c r="G54" s="222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0"/>
      <c r="I1" s="759"/>
      <c r="J1" s="433"/>
    </row>
    <row r="2" spans="1:11" ht="26.25" x14ac:dyDescent="0.2">
      <c r="A2" s="2234" t="s">
        <v>1776</v>
      </c>
      <c r="B2" s="2235"/>
      <c r="C2" s="2235"/>
      <c r="D2" s="2235"/>
      <c r="E2" s="2236"/>
      <c r="F2" s="760" t="s">
        <v>960</v>
      </c>
      <c r="G2" s="761" t="s">
        <v>1773</v>
      </c>
      <c r="H2" s="761" t="s">
        <v>430</v>
      </c>
      <c r="I2" s="761" t="s">
        <v>1220</v>
      </c>
      <c r="J2" s="761" t="s">
        <v>1919</v>
      </c>
      <c r="K2" s="761" t="s">
        <v>140</v>
      </c>
    </row>
    <row r="3" spans="1:11" x14ac:dyDescent="0.2">
      <c r="A3" s="2237" t="s">
        <v>1698</v>
      </c>
      <c r="B3" s="2238"/>
      <c r="C3" s="2238"/>
      <c r="D3" s="2238"/>
      <c r="E3" s="2239"/>
      <c r="F3" s="762"/>
      <c r="G3" s="763"/>
      <c r="H3" s="763"/>
      <c r="I3" s="763"/>
      <c r="J3" s="764"/>
      <c r="K3" s="764"/>
    </row>
    <row r="4" spans="1:11" x14ac:dyDescent="0.2">
      <c r="A4" s="2240" t="s">
        <v>387</v>
      </c>
      <c r="B4" s="2241"/>
      <c r="C4" s="2241"/>
      <c r="D4" s="2241"/>
      <c r="E4" s="2222"/>
      <c r="F4" s="765"/>
      <c r="G4" s="766"/>
      <c r="H4" s="767"/>
      <c r="I4" s="766"/>
      <c r="J4" s="768"/>
      <c r="K4" s="768"/>
    </row>
    <row r="5" spans="1:11" x14ac:dyDescent="0.2">
      <c r="A5" s="2258" t="s">
        <v>1129</v>
      </c>
      <c r="B5" s="2231"/>
      <c r="C5" s="2231"/>
      <c r="D5" s="2231"/>
      <c r="E5" s="2259"/>
      <c r="F5" s="769" t="s">
        <v>903</v>
      </c>
      <c r="G5" s="770"/>
      <c r="H5" s="763">
        <v>19608</v>
      </c>
      <c r="I5" s="771"/>
      <c r="J5" s="772"/>
      <c r="K5" s="772"/>
    </row>
    <row r="6" spans="1:11" x14ac:dyDescent="0.2">
      <c r="A6" s="773" t="s">
        <v>744</v>
      </c>
      <c r="B6" s="774"/>
      <c r="C6" s="774"/>
      <c r="D6" s="774"/>
      <c r="E6" s="775"/>
      <c r="F6" s="776" t="s">
        <v>904</v>
      </c>
      <c r="G6" s="763"/>
      <c r="H6" s="763">
        <v>9</v>
      </c>
      <c r="I6" s="763"/>
      <c r="J6" s="764"/>
      <c r="K6" s="764"/>
    </row>
    <row r="7" spans="1:11" x14ac:dyDescent="0.2">
      <c r="A7" s="777" t="s">
        <v>264</v>
      </c>
      <c r="B7" s="778"/>
      <c r="C7" s="778"/>
      <c r="D7" s="778"/>
      <c r="E7" s="779"/>
      <c r="F7" s="769" t="s">
        <v>905</v>
      </c>
      <c r="G7" s="766"/>
      <c r="H7" s="766"/>
      <c r="I7" s="766"/>
      <c r="J7" s="780"/>
      <c r="K7" s="764">
        <v>2070</v>
      </c>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v>2743</v>
      </c>
    </row>
    <row r="10" spans="1:11" x14ac:dyDescent="0.2">
      <c r="A10" s="2258" t="s">
        <v>1920</v>
      </c>
      <c r="B10" s="2231"/>
      <c r="C10" s="2231"/>
      <c r="D10" s="2231"/>
      <c r="E10" s="2260"/>
      <c r="F10" s="782" t="s">
        <v>917</v>
      </c>
      <c r="G10" s="781"/>
      <c r="H10" s="783"/>
      <c r="I10" s="763"/>
      <c r="J10" s="764"/>
      <c r="K10" s="764"/>
    </row>
    <row r="11" spans="1:11" x14ac:dyDescent="0.2">
      <c r="A11" s="2258" t="s">
        <v>162</v>
      </c>
      <c r="B11" s="2231"/>
      <c r="C11" s="2231"/>
      <c r="D11" s="2231"/>
      <c r="E11" s="2259"/>
      <c r="F11" s="769" t="s">
        <v>907</v>
      </c>
      <c r="G11" s="770"/>
      <c r="H11" s="763"/>
      <c r="I11" s="763"/>
      <c r="J11" s="764"/>
      <c r="K11" s="772"/>
    </row>
    <row r="12" spans="1:11" ht="13.5" thickBot="1" x14ac:dyDescent="0.25">
      <c r="A12" s="2248" t="s">
        <v>961</v>
      </c>
      <c r="B12" s="2249"/>
      <c r="C12" s="2249"/>
      <c r="D12" s="2249"/>
      <c r="E12" s="2250"/>
      <c r="F12" s="1777"/>
      <c r="G12" s="1778">
        <f>SUM(G5:G11)</f>
        <v>0</v>
      </c>
      <c r="H12" s="1778">
        <f>SUM(H5:H11)</f>
        <v>19617</v>
      </c>
      <c r="I12" s="1778">
        <f>SUM(I5:I11)</f>
        <v>0</v>
      </c>
      <c r="J12" s="1778">
        <f>SUM(J5:J11)</f>
        <v>0</v>
      </c>
      <c r="K12" s="1778">
        <f>SUM(K5:K11)</f>
        <v>4813</v>
      </c>
    </row>
    <row r="13" spans="1:11" ht="13.5" thickTop="1" x14ac:dyDescent="0.2">
      <c r="A13" s="2242" t="s">
        <v>388</v>
      </c>
      <c r="B13" s="2243"/>
      <c r="C13" s="2243"/>
      <c r="D13" s="2243"/>
      <c r="E13" s="2244"/>
      <c r="F13" s="784"/>
      <c r="G13" s="785"/>
      <c r="H13" s="786"/>
      <c r="I13" s="787"/>
      <c r="J13" s="787"/>
      <c r="K13" s="787"/>
    </row>
    <row r="14" spans="1:11" x14ac:dyDescent="0.2">
      <c r="A14" s="2264" t="s">
        <v>476</v>
      </c>
      <c r="B14" s="2264"/>
      <c r="C14" s="2264"/>
      <c r="D14" s="2264"/>
      <c r="E14" s="2265"/>
      <c r="F14" s="788" t="s">
        <v>909</v>
      </c>
      <c r="G14" s="781"/>
      <c r="H14" s="763">
        <v>19617</v>
      </c>
      <c r="I14" s="770"/>
      <c r="J14" s="772"/>
      <c r="K14" s="764">
        <v>4813</v>
      </c>
    </row>
    <row r="15" spans="1:11" x14ac:dyDescent="0.2">
      <c r="A15" s="2231" t="s">
        <v>4</v>
      </c>
      <c r="B15" s="2231"/>
      <c r="C15" s="2231"/>
      <c r="D15" s="2231"/>
      <c r="E15" s="2259"/>
      <c r="F15" s="788" t="s">
        <v>910</v>
      </c>
      <c r="G15" s="770"/>
      <c r="H15" s="763"/>
      <c r="I15" s="763"/>
      <c r="J15" s="764"/>
      <c r="K15" s="764"/>
    </row>
    <row r="16" spans="1:11" x14ac:dyDescent="0.2">
      <c r="A16" s="2231" t="s">
        <v>316</v>
      </c>
      <c r="B16" s="2231"/>
      <c r="C16" s="2231"/>
      <c r="D16" s="2231"/>
      <c r="E16" s="2259"/>
      <c r="F16" s="788" t="s">
        <v>980</v>
      </c>
      <c r="G16" s="771"/>
      <c r="H16" s="766"/>
      <c r="I16" s="766"/>
      <c r="J16" s="768"/>
      <c r="K16" s="768"/>
    </row>
    <row r="17" spans="1:11" x14ac:dyDescent="0.2">
      <c r="A17" s="2253" t="s">
        <v>992</v>
      </c>
      <c r="B17" s="2253"/>
      <c r="C17" s="2253"/>
      <c r="D17" s="2253"/>
      <c r="E17" s="2254"/>
      <c r="F17" s="789"/>
      <c r="G17" s="790"/>
      <c r="H17" s="791"/>
      <c r="I17" s="791"/>
      <c r="J17" s="792"/>
      <c r="K17" s="793"/>
    </row>
    <row r="18" spans="1:11" x14ac:dyDescent="0.2">
      <c r="A18" s="2245" t="s">
        <v>386</v>
      </c>
      <c r="B18" s="2246"/>
      <c r="C18" s="2246"/>
      <c r="D18" s="2246"/>
      <c r="E18" s="2247"/>
      <c r="F18" s="788" t="s">
        <v>989</v>
      </c>
      <c r="G18" s="781"/>
      <c r="H18" s="781"/>
      <c r="I18" s="781"/>
      <c r="J18" s="764"/>
      <c r="K18" s="794"/>
    </row>
    <row r="19" spans="1:11" ht="21.75" customHeight="1" x14ac:dyDescent="0.2">
      <c r="A19" s="2266" t="s">
        <v>1916</v>
      </c>
      <c r="B19" s="2266"/>
      <c r="C19" s="2266"/>
      <c r="D19" s="2266"/>
      <c r="E19" s="2267"/>
      <c r="F19" s="788" t="s">
        <v>990</v>
      </c>
      <c r="G19" s="781"/>
      <c r="H19" s="781"/>
      <c r="I19" s="781"/>
      <c r="J19" s="764"/>
      <c r="K19" s="794"/>
    </row>
    <row r="20" spans="1:11" x14ac:dyDescent="0.2">
      <c r="A20" s="2245" t="s">
        <v>1921</v>
      </c>
      <c r="B20" s="2246"/>
      <c r="C20" s="2246"/>
      <c r="D20" s="2246"/>
      <c r="E20" s="2247"/>
      <c r="F20" s="788" t="s">
        <v>991</v>
      </c>
      <c r="G20" s="781"/>
      <c r="H20" s="781"/>
      <c r="I20" s="781"/>
      <c r="J20" s="764"/>
      <c r="K20" s="794"/>
    </row>
    <row r="21" spans="1:11" ht="13.5" thickBot="1" x14ac:dyDescent="0.25">
      <c r="A21" s="2251" t="s">
        <v>659</v>
      </c>
      <c r="B21" s="2251"/>
      <c r="C21" s="2251"/>
      <c r="D21" s="2251"/>
      <c r="E21" s="2251"/>
      <c r="F21" s="1779"/>
      <c r="G21" s="791"/>
      <c r="H21" s="795"/>
      <c r="I21" s="795"/>
      <c r="J21" s="1780">
        <f>SUM(J18:J20)</f>
        <v>0</v>
      </c>
      <c r="K21" s="792"/>
    </row>
    <row r="22" spans="1:11" ht="13.5" thickTop="1" x14ac:dyDescent="0.2">
      <c r="A22" s="2231" t="s">
        <v>1922</v>
      </c>
      <c r="B22" s="2231"/>
      <c r="C22" s="2231"/>
      <c r="D22" s="2231"/>
      <c r="E22" s="2259"/>
      <c r="F22" s="788" t="s">
        <v>917</v>
      </c>
      <c r="G22" s="781"/>
      <c r="H22" s="763"/>
      <c r="I22" s="763"/>
      <c r="J22" s="796"/>
      <c r="K22" s="764"/>
    </row>
    <row r="23" spans="1:11" ht="13.5" thickBot="1" x14ac:dyDescent="0.25">
      <c r="A23" s="2252" t="s">
        <v>962</v>
      </c>
      <c r="B23" s="2251"/>
      <c r="C23" s="2251"/>
      <c r="D23" s="2251"/>
      <c r="E23" s="2251"/>
      <c r="F23" s="1781"/>
      <c r="G23" s="1778">
        <f>SUM(G14:G16,G21,G22)</f>
        <v>0</v>
      </c>
      <c r="H23" s="1778">
        <f>SUM(H14:H16,H21,H22)</f>
        <v>19617</v>
      </c>
      <c r="I23" s="1778">
        <f>SUM(I14:I16,I21,I22)</f>
        <v>0</v>
      </c>
      <c r="J23" s="1778">
        <f>SUM(J14:J16,J21,J22)</f>
        <v>0</v>
      </c>
      <c r="K23" s="1778">
        <f>SUM(K14:K16,K21,K22)</f>
        <v>4813</v>
      </c>
    </row>
    <row r="24" spans="1:11" ht="14.25" thickTop="1" thickBot="1" x14ac:dyDescent="0.25">
      <c r="A24" s="2252" t="s">
        <v>2026</v>
      </c>
      <c r="B24" s="2251"/>
      <c r="C24" s="2251"/>
      <c r="D24" s="2251"/>
      <c r="E24" s="2251"/>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1"/>
      <c r="I31" s="2262"/>
      <c r="J31" s="2262"/>
      <c r="K31" s="2262"/>
    </row>
    <row r="32" spans="1:11" x14ac:dyDescent="0.2">
      <c r="A32" s="808"/>
      <c r="B32" s="237"/>
      <c r="C32" s="237"/>
      <c r="D32" s="237"/>
      <c r="E32" s="804"/>
      <c r="F32" s="810" t="s">
        <v>561</v>
      </c>
      <c r="G32" s="763"/>
      <c r="H32" s="2263"/>
      <c r="I32" s="2262"/>
      <c r="J32" s="2262"/>
      <c r="K32" s="2262"/>
    </row>
    <row r="33" spans="1:11" ht="1.5" customHeight="1" x14ac:dyDescent="0.2">
      <c r="A33" s="811" t="s">
        <v>1231</v>
      </c>
      <c r="B33" s="364"/>
      <c r="C33" s="364"/>
      <c r="D33" s="364"/>
      <c r="E33" s="364"/>
      <c r="F33" s="364"/>
      <c r="G33" s="812"/>
      <c r="H33" s="2263"/>
      <c r="I33" s="2262"/>
      <c r="J33" s="2262"/>
      <c r="K33" s="2262"/>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1" t="s">
        <v>562</v>
      </c>
      <c r="B41" s="2232"/>
      <c r="C41" s="2232"/>
      <c r="D41" s="2232"/>
      <c r="E41" s="2232"/>
      <c r="F41" s="2233"/>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5"/>
      <c r="E1" s="826"/>
      <c r="F1" s="826"/>
      <c r="G1" s="827"/>
      <c r="H1" s="828"/>
      <c r="I1" s="829"/>
      <c r="J1" s="2268"/>
      <c r="K1" s="2269"/>
      <c r="L1" s="2269"/>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136694</v>
      </c>
      <c r="D5" s="840"/>
      <c r="E5" s="840"/>
      <c r="F5" s="1780">
        <f>(C5+D5)-E5</f>
        <v>136694</v>
      </c>
      <c r="G5" s="836"/>
      <c r="H5" s="841"/>
      <c r="I5" s="841"/>
      <c r="J5" s="841"/>
      <c r="K5" s="792"/>
      <c r="L5" s="1789">
        <f>F5-K5</f>
        <v>136694</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4259455</v>
      </c>
      <c r="D8" s="843">
        <v>11115</v>
      </c>
      <c r="E8" s="843"/>
      <c r="F8" s="1780">
        <f>(C8+D8)-E8</f>
        <v>4270570</v>
      </c>
      <c r="G8" s="842">
        <v>50</v>
      </c>
      <c r="H8" s="764">
        <v>2291710</v>
      </c>
      <c r="I8" s="764">
        <v>60739</v>
      </c>
      <c r="J8" s="764"/>
      <c r="K8" s="1789">
        <f>(H8+I8)-J8</f>
        <v>2352449</v>
      </c>
      <c r="L8" s="1789">
        <f>F8-K8</f>
        <v>1918121</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3042399</v>
      </c>
      <c r="D10" s="845">
        <v>7526</v>
      </c>
      <c r="E10" s="845"/>
      <c r="F10" s="1784">
        <f>(C10+D10)-E10</f>
        <v>3049925</v>
      </c>
      <c r="G10" s="842">
        <v>20</v>
      </c>
      <c r="H10" s="846">
        <v>887970</v>
      </c>
      <c r="I10" s="846">
        <v>146095</v>
      </c>
      <c r="J10" s="846"/>
      <c r="K10" s="1789">
        <f>(H10+I10)-J10</f>
        <v>1034065</v>
      </c>
      <c r="L10" s="1789">
        <f>F10-K10</f>
        <v>2015860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117134</v>
      </c>
      <c r="D12" s="843">
        <v>30206</v>
      </c>
      <c r="E12" s="843">
        <v>4600</v>
      </c>
      <c r="F12" s="1780">
        <f>(C12+D12)-E12</f>
        <v>142740</v>
      </c>
      <c r="G12" s="842">
        <v>10</v>
      </c>
      <c r="H12" s="764">
        <v>38004</v>
      </c>
      <c r="I12" s="764">
        <v>13476</v>
      </c>
      <c r="J12" s="764">
        <v>4600</v>
      </c>
      <c r="K12" s="1789">
        <f>(H12+I12)-J12</f>
        <v>46880</v>
      </c>
      <c r="L12" s="1789">
        <f>F12-K12</f>
        <v>95860</v>
      </c>
    </row>
    <row r="13" spans="1:14" ht="14.25" thickTop="1" thickBot="1" x14ac:dyDescent="0.25">
      <c r="A13" s="847" t="s">
        <v>1184</v>
      </c>
      <c r="B13" s="839">
        <v>252</v>
      </c>
      <c r="C13" s="843">
        <v>752396</v>
      </c>
      <c r="D13" s="843"/>
      <c r="E13" s="843"/>
      <c r="F13" s="1780">
        <f>(C13+D13)-E13</f>
        <v>752396</v>
      </c>
      <c r="G13" s="842">
        <v>5</v>
      </c>
      <c r="H13" s="764">
        <v>708351</v>
      </c>
      <c r="I13" s="764">
        <v>20215</v>
      </c>
      <c r="J13" s="764"/>
      <c r="K13" s="1789">
        <f>(H13+I13)-J13</f>
        <v>728566</v>
      </c>
      <c r="L13" s="1789">
        <f>F13-K13</f>
        <v>23830</v>
      </c>
    </row>
    <row r="14" spans="1:14" ht="14.25" thickTop="1" thickBot="1" x14ac:dyDescent="0.25">
      <c r="A14" s="847" t="s">
        <v>1185</v>
      </c>
      <c r="B14" s="839">
        <v>253</v>
      </c>
      <c r="C14" s="764">
        <v>19596</v>
      </c>
      <c r="D14" s="764"/>
      <c r="E14" s="764"/>
      <c r="F14" s="1780">
        <f>(C14+D14)-E14</f>
        <v>19596</v>
      </c>
      <c r="G14" s="842">
        <v>3</v>
      </c>
      <c r="H14" s="764">
        <v>19596</v>
      </c>
      <c r="I14" s="764"/>
      <c r="J14" s="764"/>
      <c r="K14" s="1789">
        <f>(H14+I14)-J14</f>
        <v>19596</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8327674</v>
      </c>
      <c r="D16" s="1780">
        <f>SUM(D3,D5:D6,D8:D10,D12:D15)</f>
        <v>48847</v>
      </c>
      <c r="E16" s="1780">
        <f>SUM(E3,E5:E6,E8:E10,E12:E15)</f>
        <v>4600</v>
      </c>
      <c r="F16" s="1780">
        <f>SUM(F3,F5:F6,F8:F10,F12:F15)</f>
        <v>8371921</v>
      </c>
      <c r="G16" s="842"/>
      <c r="H16" s="1780">
        <f>SUM(H3,H6,H8:H10,H12:H14,)</f>
        <v>3945631</v>
      </c>
      <c r="I16" s="1780">
        <f>SUM(I3,I6,I8:I10,I12:I14,)</f>
        <v>240525</v>
      </c>
      <c r="J16" s="1780">
        <f>SUM(J3,J6,J8:J10,J12:J14,)</f>
        <v>4600</v>
      </c>
      <c r="K16" s="1780">
        <f>(H16+I16)-J16</f>
        <v>4181556</v>
      </c>
      <c r="L16" s="1780">
        <f>F16-K16</f>
        <v>4190365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240525</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6" t="s">
        <v>1699</v>
      </c>
      <c r="B1" s="2277"/>
      <c r="C1" s="2277"/>
      <c r="D1" s="2277"/>
      <c r="E1" s="2277"/>
      <c r="F1" s="2278"/>
      <c r="G1" s="854"/>
    </row>
    <row r="2" spans="1:7" ht="15" customHeight="1" thickBot="1" x14ac:dyDescent="0.25">
      <c r="A2" s="2279" t="s">
        <v>498</v>
      </c>
      <c r="B2" s="2280"/>
      <c r="C2" s="2280"/>
      <c r="D2" s="2280"/>
      <c r="E2" s="2280"/>
      <c r="F2" s="2281"/>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2612081</v>
      </c>
      <c r="G8" s="864"/>
    </row>
    <row r="9" spans="1:7" x14ac:dyDescent="0.2">
      <c r="A9" s="868" t="s">
        <v>480</v>
      </c>
      <c r="B9" s="869" t="s">
        <v>1989</v>
      </c>
      <c r="C9" s="870"/>
      <c r="D9" s="868" t="s">
        <v>522</v>
      </c>
      <c r="E9" s="867"/>
      <c r="F9" s="1933">
        <f>'Expenditures 15-22'!K151</f>
        <v>268596</v>
      </c>
      <c r="G9" s="871"/>
    </row>
    <row r="10" spans="1:7" x14ac:dyDescent="0.2">
      <c r="A10" s="868" t="s">
        <v>520</v>
      </c>
      <c r="B10" s="869" t="s">
        <v>1990</v>
      </c>
      <c r="C10" s="870"/>
      <c r="D10" s="868" t="s">
        <v>522</v>
      </c>
      <c r="E10" s="867"/>
      <c r="F10" s="1933">
        <f>'Expenditures 15-22'!K174</f>
        <v>265670</v>
      </c>
      <c r="G10" s="871"/>
    </row>
    <row r="11" spans="1:7" x14ac:dyDescent="0.2">
      <c r="A11" s="868" t="s">
        <v>481</v>
      </c>
      <c r="B11" s="869" t="s">
        <v>1991</v>
      </c>
      <c r="C11" s="870"/>
      <c r="D11" s="868" t="s">
        <v>522</v>
      </c>
      <c r="E11" s="867"/>
      <c r="F11" s="1933">
        <f>'Expenditures 15-22'!K210</f>
        <v>193582</v>
      </c>
      <c r="G11" s="871"/>
    </row>
    <row r="12" spans="1:7" x14ac:dyDescent="0.2">
      <c r="A12" s="868" t="s">
        <v>482</v>
      </c>
      <c r="B12" s="869" t="s">
        <v>1992</v>
      </c>
      <c r="C12" s="870"/>
      <c r="D12" s="868" t="s">
        <v>522</v>
      </c>
      <c r="E12" s="867"/>
      <c r="F12" s="1933">
        <f>'Expenditures 15-22'!K295</f>
        <v>98801</v>
      </c>
      <c r="G12" s="871"/>
    </row>
    <row r="13" spans="1:7" x14ac:dyDescent="0.2">
      <c r="A13" s="868" t="s">
        <v>108</v>
      </c>
      <c r="B13" s="869" t="s">
        <v>1993</v>
      </c>
      <c r="C13" s="870"/>
      <c r="D13" s="868" t="s">
        <v>522</v>
      </c>
      <c r="E13" s="867"/>
      <c r="F13" s="1933">
        <f>'Expenditures 15-22'!K342</f>
        <v>246979</v>
      </c>
      <c r="G13" s="872"/>
    </row>
    <row r="14" spans="1:7" ht="12" customHeight="1" thickBot="1" x14ac:dyDescent="0.25">
      <c r="A14" s="1790"/>
      <c r="B14" s="1791"/>
      <c r="C14" s="1792"/>
      <c r="D14" s="1793" t="s">
        <v>522</v>
      </c>
      <c r="E14" s="1794" t="s">
        <v>1015</v>
      </c>
      <c r="F14" s="1795">
        <f>SUM(F8:F13)</f>
        <v>3685709</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108968</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212106</v>
      </c>
      <c r="G53" s="864"/>
    </row>
    <row r="54" spans="1:7" x14ac:dyDescent="0.2">
      <c r="A54" s="868" t="s">
        <v>479</v>
      </c>
      <c r="B54" s="868" t="s">
        <v>1552</v>
      </c>
      <c r="C54" s="888" t="s">
        <v>1039</v>
      </c>
      <c r="D54" s="884" t="s">
        <v>1157</v>
      </c>
      <c r="E54" s="867"/>
      <c r="F54" s="1937">
        <f>'Expenditures 15-22'!G114</f>
        <v>1676</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8246</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215000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545996</v>
      </c>
      <c r="G76" s="864"/>
    </row>
    <row r="77" spans="1:8" s="892" customFormat="1" ht="12" customHeight="1" thickTop="1" thickBot="1" x14ac:dyDescent="0.25">
      <c r="A77" s="1799"/>
      <c r="B77" s="1796"/>
      <c r="C77" s="1792"/>
      <c r="D77" s="1797" t="s">
        <v>2012</v>
      </c>
      <c r="E77" s="1794"/>
      <c r="F77" s="1800">
        <f>(F14-F76)</f>
        <v>3139713</v>
      </c>
      <c r="G77" s="868"/>
    </row>
    <row r="78" spans="1:8" s="892" customFormat="1" ht="12" customHeight="1" thickTop="1" x14ac:dyDescent="0.2">
      <c r="A78" s="1801"/>
      <c r="B78" s="1796"/>
      <c r="C78" s="1792"/>
      <c r="D78" s="1797" t="s">
        <v>2059</v>
      </c>
      <c r="E78" s="1794"/>
      <c r="F78" s="897">
        <v>251.33</v>
      </c>
      <c r="G78" s="898"/>
      <c r="H78" s="868"/>
    </row>
    <row r="79" spans="1:8" s="892" customFormat="1" ht="12" customHeight="1" thickBot="1" x14ac:dyDescent="0.25">
      <c r="A79" s="1802"/>
      <c r="B79" s="1796"/>
      <c r="C79" s="1792"/>
      <c r="D79" s="1797" t="s">
        <v>2013</v>
      </c>
      <c r="E79" s="1794" t="s">
        <v>1015</v>
      </c>
      <c r="F79" s="1803">
        <f>IF(F78&gt;0,F77/F78," Complete Line 78")</f>
        <v>12492.392472048701</v>
      </c>
      <c r="G79" s="868"/>
    </row>
    <row r="80" spans="1:8" s="892" customFormat="1" ht="8.25" customHeight="1" thickTop="1" x14ac:dyDescent="0.2">
      <c r="A80" s="899"/>
      <c r="B80" s="868"/>
      <c r="C80" s="870"/>
      <c r="D80" s="900"/>
      <c r="E80" s="867"/>
      <c r="F80" s="901"/>
      <c r="G80" s="868"/>
    </row>
    <row r="81" spans="1:7" s="892" customFormat="1" ht="12" thickBot="1" x14ac:dyDescent="0.25">
      <c r="A81" s="2273" t="s">
        <v>1167</v>
      </c>
      <c r="B81" s="2274"/>
      <c r="C81" s="2274"/>
      <c r="D81" s="2274"/>
      <c r="E81" s="2274"/>
      <c r="F81" s="2275"/>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33507</v>
      </c>
      <c r="G94" s="911"/>
    </row>
    <row r="95" spans="1:7" x14ac:dyDescent="0.2">
      <c r="A95" s="907" t="s">
        <v>142</v>
      </c>
      <c r="B95" s="907" t="s">
        <v>177</v>
      </c>
      <c r="C95" s="909">
        <v>1700</v>
      </c>
      <c r="D95" s="917" t="str">
        <f>'Revenues 9-14'!A82</f>
        <v>Total District/School Activity Income</v>
      </c>
      <c r="E95" s="905"/>
      <c r="F95" s="1809">
        <f>SUM('Revenues 9-14'!C82,'Revenues 9-14'!D82)</f>
        <v>50028</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1108</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50</v>
      </c>
      <c r="G104" s="911"/>
    </row>
    <row r="105" spans="1:7" x14ac:dyDescent="0.2">
      <c r="A105" s="907" t="s">
        <v>524</v>
      </c>
      <c r="B105" s="907" t="s">
        <v>842</v>
      </c>
      <c r="C105" s="912">
        <v>3100</v>
      </c>
      <c r="D105" s="918" t="str">
        <f>'Revenues 9-14'!A131</f>
        <v>Total Special Education</v>
      </c>
      <c r="E105" s="905"/>
      <c r="F105" s="1809">
        <f>SUM('Revenues 9-14'!C131:D131,'Revenues 9-14'!F131)</f>
        <v>69525</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1590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924</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2743</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107646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1973</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53719</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64051</v>
      </c>
      <c r="G129" s="929"/>
    </row>
    <row r="130" spans="1:7" x14ac:dyDescent="0.2">
      <c r="A130" s="926" t="s">
        <v>689</v>
      </c>
      <c r="B130" s="926" t="s">
        <v>804</v>
      </c>
      <c r="C130" s="931">
        <v>4300</v>
      </c>
      <c r="D130" s="932" t="str">
        <f>'Revenues 9-14'!A211</f>
        <v>Total Title I</v>
      </c>
      <c r="E130" s="905"/>
      <c r="F130" s="1809">
        <f>SUM('Revenues 9-14'!C211,'Revenues 9-14'!D211,'Revenues 9-14'!F211,'Revenues 9-14'!G211)</f>
        <v>25315</v>
      </c>
      <c r="G130" s="929"/>
    </row>
    <row r="131" spans="1:7" x14ac:dyDescent="0.2">
      <c r="A131" s="926" t="s">
        <v>689</v>
      </c>
      <c r="B131" s="926" t="s">
        <v>805</v>
      </c>
      <c r="C131" s="931">
        <v>4400</v>
      </c>
      <c r="D131" s="932" t="str">
        <f>'Revenues 9-14'!A216</f>
        <v>Total Title IV</v>
      </c>
      <c r="E131" s="905"/>
      <c r="F131" s="1809">
        <f>SUM('Revenues 9-14'!C216,'Revenues 9-14'!D216,'Revenues 9-14'!F216,'Revenues 9-14'!G216)</f>
        <v>10000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58844</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3545</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475</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5081</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99476.98</v>
      </c>
      <c r="G175" s="926"/>
    </row>
    <row r="176" spans="1:7" x14ac:dyDescent="0.2">
      <c r="A176" s="1942" t="s">
        <v>685</v>
      </c>
      <c r="B176" s="1943" t="s">
        <v>2058</v>
      </c>
      <c r="C176" s="1944">
        <v>3300</v>
      </c>
      <c r="D176" s="1945" t="s">
        <v>2062</v>
      </c>
      <c r="E176" s="905"/>
      <c r="F176" s="1929">
        <v>37.32</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589638.29999999993</v>
      </c>
    </row>
    <row r="179" spans="1:7" ht="12" customHeight="1" x14ac:dyDescent="0.2">
      <c r="A179" s="1790"/>
      <c r="B179" s="1804"/>
      <c r="C179" s="1805"/>
      <c r="D179" s="1806" t="s">
        <v>2015</v>
      </c>
      <c r="E179" s="1807"/>
      <c r="F179" s="1809">
        <f>'PCTC-OEPP 27-28'!F77-F178</f>
        <v>2550074.7000000002</v>
      </c>
    </row>
    <row r="180" spans="1:7" ht="12" customHeight="1" x14ac:dyDescent="0.2">
      <c r="A180" s="1790"/>
      <c r="B180" s="1804"/>
      <c r="C180" s="1805"/>
      <c r="D180" s="1806" t="s">
        <v>1924</v>
      </c>
      <c r="E180" s="1807"/>
      <c r="F180" s="1809">
        <f>'Cap Outlay Deprec 26'!I18</f>
        <v>240525</v>
      </c>
    </row>
    <row r="181" spans="1:7" ht="12" customHeight="1" x14ac:dyDescent="0.2">
      <c r="A181" s="1790"/>
      <c r="B181" s="1804"/>
      <c r="C181" s="1805"/>
      <c r="D181" s="1806" t="s">
        <v>2016</v>
      </c>
      <c r="E181" s="1807"/>
      <c r="F181" s="1809">
        <f>F179+F180</f>
        <v>2790599.7</v>
      </c>
    </row>
    <row r="182" spans="1:7" ht="12" customHeight="1" x14ac:dyDescent="0.2">
      <c r="A182" s="1790"/>
      <c r="B182" s="1810"/>
      <c r="C182" s="1805"/>
      <c r="D182" s="1806" t="str">
        <f>D78</f>
        <v>9 Month ADA from District Average Daily Attendance/Prior General State Aid Inquiry 2017-2018</v>
      </c>
      <c r="E182" s="1807"/>
      <c r="F182" s="1811">
        <f>'PCTC-OEPP 27-28'!F78</f>
        <v>251.33</v>
      </c>
      <c r="G182" s="929"/>
    </row>
    <row r="183" spans="1:7" ht="12" customHeight="1" thickBot="1" x14ac:dyDescent="0.25">
      <c r="A183" s="1790"/>
      <c r="B183" s="1810"/>
      <c r="C183" s="1805"/>
      <c r="D183" s="1806" t="s">
        <v>2017</v>
      </c>
      <c r="E183" s="1807" t="s">
        <v>1626</v>
      </c>
      <c r="F183" s="1812">
        <f>F181/F182</f>
        <v>11103.329089245215</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4" t="s">
        <v>1926</v>
      </c>
      <c r="B6" s="1555"/>
      <c r="C6" s="1555"/>
      <c r="D6" s="1555"/>
      <c r="E6" s="1555"/>
      <c r="F6" s="1555"/>
      <c r="G6" s="1556"/>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7" t="s">
        <v>1927</v>
      </c>
      <c r="B10" s="1558"/>
      <c r="C10" s="1558"/>
      <c r="D10" s="1558"/>
      <c r="E10" s="1558"/>
      <c r="F10" s="1558"/>
      <c r="G10" s="1559"/>
    </row>
    <row r="11" spans="1:7" ht="17.25" customHeight="1" x14ac:dyDescent="0.25">
      <c r="A11" s="2293" t="s">
        <v>1941</v>
      </c>
      <c r="B11" s="2294"/>
      <c r="C11" s="2294"/>
      <c r="D11" s="2294"/>
      <c r="E11" s="2294"/>
      <c r="F11" s="2294"/>
      <c r="G11" s="2295"/>
    </row>
    <row r="12" spans="1:7" ht="15" customHeight="1" x14ac:dyDescent="0.25">
      <c r="A12" s="1557" t="s">
        <v>1932</v>
      </c>
      <c r="B12" s="1558"/>
      <c r="C12" s="1558"/>
      <c r="D12" s="1558"/>
      <c r="E12" s="1558"/>
      <c r="F12" s="1558"/>
      <c r="G12" s="1559"/>
    </row>
    <row r="13" spans="1:7" ht="32.25" customHeight="1" x14ac:dyDescent="0.25">
      <c r="A13" s="2284" t="s">
        <v>1933</v>
      </c>
      <c r="B13" s="2285"/>
      <c r="C13" s="2285"/>
      <c r="D13" s="2285"/>
      <c r="E13" s="2285"/>
      <c r="F13" s="2285"/>
      <c r="G13" s="2286"/>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6" t="s">
        <v>2121</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9" t="s">
        <v>1778</v>
      </c>
      <c r="B5" s="2300"/>
      <c r="C5" s="2300"/>
      <c r="D5" s="2300"/>
      <c r="E5" s="2300"/>
      <c r="F5" s="2300"/>
      <c r="G5" s="2301"/>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41273</v>
      </c>
      <c r="F10" s="973"/>
      <c r="G10" s="974"/>
      <c r="H10" s="162"/>
      <c r="I10" s="162"/>
    </row>
    <row r="11" spans="1:9" s="667" customFormat="1" ht="22.5" customHeight="1" x14ac:dyDescent="0.2">
      <c r="A11" s="2304" t="s">
        <v>1945</v>
      </c>
      <c r="B11" s="2305"/>
      <c r="C11" s="2305"/>
      <c r="D11" s="2306"/>
      <c r="E11" s="976">
        <v>10487</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1753586</v>
      </c>
      <c r="F19" s="1820"/>
      <c r="G19" s="1822">
        <f>'Expenditures 15-22'!K33-SUM('Expenditures 15-22'!G33,'Expenditures 15-22'!I33)+'Expenditures 15-22'!D229</f>
        <v>1753586</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100050</v>
      </c>
      <c r="F21" s="1823"/>
      <c r="G21" s="1826">
        <f>'Expenditures 15-22'!K42-SUM('Expenditures 15-22'!G42,'Expenditures 15-22'!I42)+'Expenditures 15-22'!K120-SUM('Expenditures 15-22'!G120,'Expenditures 15-22'!I120)+'Expenditures 15-22'!K180-SUM('Expenditures 15-22'!G180,'Expenditures 15-22'!I180)+'Expenditures 15-22'!D238</f>
        <v>100050</v>
      </c>
      <c r="H21" s="986"/>
      <c r="I21" s="162"/>
    </row>
    <row r="22" spans="1:9" s="667" customFormat="1" ht="12" customHeight="1" x14ac:dyDescent="0.2">
      <c r="A22" s="993" t="s">
        <v>585</v>
      </c>
      <c r="B22" s="994"/>
      <c r="C22" s="992">
        <v>2200</v>
      </c>
      <c r="D22" s="1823"/>
      <c r="E22" s="1825">
        <f>'Expenditures 15-22'!K47-SUM('Expenditures 15-22'!G47,'Expenditures 15-22'!I47)+'Expenditures 15-22'!D243</f>
        <v>176256</v>
      </c>
      <c r="F22" s="1823"/>
      <c r="G22" s="1826">
        <f>'Expenditures 15-22'!K47-SUM('Expenditures 15-22'!G47,'Expenditures 15-22'!I47)+'Expenditures 15-22'!D243</f>
        <v>176256</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379036</v>
      </c>
      <c r="F23" s="1823"/>
      <c r="G23" s="1825">
        <f>'Expenditures 15-22'!K53-SUM('Expenditures 15-22'!G53,'Expenditures 15-22'!I53)+'Expenditures 15-22'!D257+'Expenditures 15-22'!K330-SUM('Expenditures 15-22'!G330,'Expenditures 15-22'!I330)</f>
        <v>379036</v>
      </c>
      <c r="H23" s="986"/>
      <c r="I23" s="162"/>
    </row>
    <row r="24" spans="1:9" s="667" customFormat="1" ht="12" customHeight="1" x14ac:dyDescent="0.2">
      <c r="A24" s="993" t="s">
        <v>587</v>
      </c>
      <c r="B24" s="994"/>
      <c r="C24" s="992">
        <v>2400</v>
      </c>
      <c r="D24" s="1823"/>
      <c r="E24" s="1825">
        <f>'Expenditures 15-22'!K57-SUM('Expenditures 15-22'!G57,'Expenditures 15-22'!I57)+'Expenditures 15-22'!D261</f>
        <v>153064</v>
      </c>
      <c r="F24" s="1823"/>
      <c r="G24" s="1826">
        <f>'Expenditures 15-22'!K57-SUM('Expenditures 15-22'!G57,'Expenditures 15-22'!I57)+'Expenditures 15-22'!D261</f>
        <v>153064</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57334</v>
      </c>
      <c r="E27" s="1825">
        <f>E8</f>
        <v>0</v>
      </c>
      <c r="F27" s="1825">
        <f>'Expenditures 15-22'!K60-SUM('Expenditures 15-22'!G60,'Expenditures 15-22'!I60)+'Expenditures 15-22'!D264-E8</f>
        <v>57334</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274645</v>
      </c>
      <c r="F28" s="1827">
        <f>'Expenditures 15-22'!K61-SUM('Expenditures 15-22'!G61,'Expenditures 15-22'!I61)+'Expenditures 15-22'!K124-SUM('Expenditures 15-22'!G124,'Expenditures 15-22'!I124)+'Expenditures 15-22'!D266-E9</f>
        <v>274645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205405</v>
      </c>
      <c r="F29" s="1823"/>
      <c r="G29" s="1826">
        <f>'Expenditures 15-22'!K62-SUM('Expenditures 15-22'!G62,'Expenditures 15-22'!I62)+'Expenditures 15-22'!K125-SUM('Expenditures 15-22'!G125,'Expenditures 15-22'!I125)+'Expenditures 15-22'!K182-SUM('Expenditures 15-22'!G182,'Expenditures 15-22'!I182)+'Expenditures 15-22'!D267</f>
        <v>205405</v>
      </c>
      <c r="H29" s="984"/>
    </row>
    <row r="30" spans="1:9" ht="12" customHeight="1" x14ac:dyDescent="0.2">
      <c r="A30" s="993" t="s">
        <v>102</v>
      </c>
      <c r="B30" s="996"/>
      <c r="C30" s="992">
        <v>2560</v>
      </c>
      <c r="D30" s="1823"/>
      <c r="E30" s="1825">
        <f>'Expenditures 15-22'!K63-SUM('Expenditures 15-22'!G63,'Expenditures 15-22'!I63)+'Expenditures 15-22'!D268-E10</f>
        <v>57362</v>
      </c>
      <c r="F30" s="1823"/>
      <c r="G30" s="1825">
        <f>'Expenditures 15-22'!K63-SUM('Expenditures 15-22'!G63,'Expenditures 15-22'!I63)+'Expenditures 15-22'!D268-E10</f>
        <v>57362</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57334</v>
      </c>
      <c r="E41" s="1827">
        <f>SUM(E19:E40)</f>
        <v>3099404</v>
      </c>
      <c r="F41" s="1827">
        <f>SUM(F19:F39)</f>
        <v>331979</v>
      </c>
      <c r="G41" s="1827">
        <f>SUM(G19:G40)</f>
        <v>2824759</v>
      </c>
    </row>
    <row r="42" spans="1:7" x14ac:dyDescent="0.2">
      <c r="A42" s="986"/>
      <c r="B42" s="162"/>
      <c r="C42" s="1000"/>
      <c r="D42" s="2302" t="s">
        <v>543</v>
      </c>
      <c r="E42" s="2303"/>
      <c r="F42" s="1001" t="s">
        <v>544</v>
      </c>
      <c r="G42" s="1002"/>
    </row>
    <row r="43" spans="1:7" ht="12" customHeight="1" x14ac:dyDescent="0.2">
      <c r="A43" s="986"/>
      <c r="B43" s="162"/>
      <c r="C43" s="1000"/>
      <c r="D43" s="1828" t="s">
        <v>493</v>
      </c>
      <c r="E43" s="1829">
        <f>D41</f>
        <v>57334</v>
      </c>
      <c r="F43" s="1828" t="s">
        <v>495</v>
      </c>
      <c r="G43" s="1829">
        <f>F41</f>
        <v>331979</v>
      </c>
    </row>
    <row r="44" spans="1:7" ht="12" customHeight="1" x14ac:dyDescent="0.2">
      <c r="A44" s="986"/>
      <c r="B44" s="162"/>
      <c r="C44" s="1000"/>
      <c r="D44" s="1828" t="s">
        <v>494</v>
      </c>
      <c r="E44" s="1829">
        <f>E41</f>
        <v>3099404</v>
      </c>
      <c r="F44" s="1828" t="s">
        <v>494</v>
      </c>
      <c r="G44" s="1829">
        <f>G41</f>
        <v>2824759</v>
      </c>
    </row>
    <row r="45" spans="1:7" ht="12" customHeight="1" x14ac:dyDescent="0.2">
      <c r="A45" s="986"/>
      <c r="B45" s="162"/>
      <c r="C45" s="162"/>
      <c r="D45" s="1830" t="s">
        <v>1063</v>
      </c>
      <c r="E45" s="1831">
        <f>(E43/E44)</f>
        <v>1.8498395175330484E-2</v>
      </c>
      <c r="F45" s="1830" t="s">
        <v>1063</v>
      </c>
      <c r="G45" s="1831">
        <f>(G43/G44)</f>
        <v>0.11752471626783029</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Leland CUSD 1</v>
      </c>
      <c r="D6" s="2314"/>
      <c r="E6" s="2314"/>
      <c r="F6" s="1875"/>
    </row>
    <row r="7" spans="1:10" ht="11.25" customHeight="1" thickBot="1" x14ac:dyDescent="0.3">
      <c r="A7" s="1873"/>
      <c r="B7" s="1874"/>
      <c r="C7" s="2315">
        <f>COVER!A13</f>
        <v>35050001026</v>
      </c>
      <c r="D7" s="2315"/>
      <c r="E7" s="231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2086</v>
      </c>
      <c r="D15" s="1888" t="s">
        <v>2086</v>
      </c>
      <c r="E15" s="1891"/>
      <c r="F15" s="1890" t="s">
        <v>2099</v>
      </c>
      <c r="H15" s="1901">
        <f t="shared" si="0"/>
        <v>5</v>
      </c>
      <c r="I15" s="1901">
        <f t="shared" si="1"/>
        <v>5</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2086</v>
      </c>
      <c r="D24" s="1888" t="s">
        <v>2086</v>
      </c>
      <c r="E24" s="1891"/>
      <c r="F24" s="1890" t="s">
        <v>2100</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2086</v>
      </c>
      <c r="D26" s="1888" t="s">
        <v>2086</v>
      </c>
      <c r="E26" s="1891"/>
      <c r="F26" s="1890" t="s">
        <v>2101</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2086</v>
      </c>
      <c r="D30" s="1888" t="s">
        <v>2086</v>
      </c>
      <c r="E30" s="1891"/>
      <c r="F30" s="1890" t="s">
        <v>2102</v>
      </c>
      <c r="H30" s="1901">
        <f t="shared" si="0"/>
        <v>5</v>
      </c>
      <c r="I30" s="1901">
        <f t="shared" si="1"/>
        <v>5</v>
      </c>
      <c r="J30" s="1901">
        <f t="shared" si="2"/>
        <v>0</v>
      </c>
    </row>
    <row r="31" spans="1:12" ht="12" customHeight="1" x14ac:dyDescent="0.2">
      <c r="A31" s="1886" t="s">
        <v>1620</v>
      </c>
      <c r="B31" s="1887"/>
      <c r="C31" s="1888" t="s">
        <v>2086</v>
      </c>
      <c r="D31" s="1888" t="s">
        <v>2086</v>
      </c>
      <c r="E31" s="1891"/>
      <c r="F31" s="1890" t="s">
        <v>2103</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25</v>
      </c>
      <c r="I34" s="1901">
        <f>SUM(I11:I32)</f>
        <v>25</v>
      </c>
      <c r="J34" s="1901">
        <f>SUM(J11:J32)</f>
        <v>0</v>
      </c>
      <c r="K34" s="1901">
        <f>SUM(H34:J34)</f>
        <v>50</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4" t="str">
        <f>COVER!A17</f>
        <v>Leland CUSD 1</v>
      </c>
      <c r="J6" s="2335"/>
      <c r="Q6" s="1684"/>
    </row>
    <row r="7" spans="1:17" x14ac:dyDescent="0.2">
      <c r="A7" s="2336" t="s">
        <v>924</v>
      </c>
      <c r="B7" s="2337"/>
      <c r="C7" s="2337"/>
      <c r="D7" s="2337"/>
      <c r="E7" s="2338"/>
      <c r="F7" s="1016"/>
      <c r="G7" s="1008"/>
      <c r="H7" s="1015" t="s">
        <v>390</v>
      </c>
      <c r="I7" s="2339">
        <f>COVER!A13</f>
        <v>35050001026</v>
      </c>
      <c r="J7" s="2339"/>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0" t="s">
        <v>502</v>
      </c>
      <c r="B11" s="2341"/>
      <c r="C11" s="234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99732</v>
      </c>
      <c r="F12" s="1038"/>
      <c r="G12" s="1832">
        <f t="shared" ref="G12:G18" si="0">SUM(E12:F12)</f>
        <v>99732</v>
      </c>
      <c r="H12" s="1039">
        <v>104322</v>
      </c>
      <c r="I12" s="1038"/>
      <c r="J12" s="1832">
        <f t="shared" ref="J12:J18" si="1">SUM(H12:I12)</f>
        <v>104322</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3" t="s">
        <v>7</v>
      </c>
      <c r="C18" s="2344"/>
      <c r="D18" s="2345"/>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99732</v>
      </c>
      <c r="F19" s="1834">
        <f t="shared" si="2"/>
        <v>0</v>
      </c>
      <c r="G19" s="1834">
        <f t="shared" si="2"/>
        <v>99732</v>
      </c>
      <c r="H19" s="1834">
        <f t="shared" si="2"/>
        <v>104322</v>
      </c>
      <c r="I19" s="1834">
        <f t="shared" si="2"/>
        <v>0</v>
      </c>
      <c r="J19" s="1834">
        <f t="shared" si="2"/>
        <v>104322</v>
      </c>
    </row>
    <row r="20" spans="1:10" ht="13.5" thickTop="1" x14ac:dyDescent="0.2">
      <c r="A20" s="1034">
        <v>9</v>
      </c>
      <c r="B20" s="2346" t="s">
        <v>1703</v>
      </c>
      <c r="C20" s="2346"/>
      <c r="D20" s="2347"/>
      <c r="E20" s="1045"/>
      <c r="F20" s="1045"/>
      <c r="G20" s="1045"/>
      <c r="H20" s="1045"/>
      <c r="I20" s="1045"/>
      <c r="J20" s="1835">
        <f>IF(AND(G19&gt;0,J19&gt;0),(((J19-G19)/G19)),"Enter Budget Data")</f>
        <v>4.602334255805559E-2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2"/>
      <c r="D26" s="2352"/>
      <c r="E26" s="1049"/>
      <c r="F26" s="2351"/>
      <c r="G26" s="2351"/>
    </row>
    <row r="27" spans="1:10" x14ac:dyDescent="0.2">
      <c r="B27" s="1046"/>
      <c r="C27" s="1050" t="s">
        <v>1093</v>
      </c>
      <c r="D27" s="1051"/>
      <c r="E27" s="1052"/>
      <c r="F27" s="2348" t="s">
        <v>1589</v>
      </c>
      <c r="G27" s="2348"/>
    </row>
    <row r="28" spans="1:10" ht="28.5" customHeight="1" x14ac:dyDescent="0.2">
      <c r="B28" s="1046"/>
      <c r="C28" s="2350"/>
      <c r="D28" s="2350"/>
      <c r="E28" s="1053"/>
      <c r="F28" s="2350"/>
      <c r="G28" s="2350"/>
    </row>
    <row r="29" spans="1:10" x14ac:dyDescent="0.2">
      <c r="B29" s="1046"/>
      <c r="C29" s="1054" t="s">
        <v>1642</v>
      </c>
      <c r="E29" s="1055"/>
      <c r="F29" s="2349" t="s">
        <v>1590</v>
      </c>
      <c r="G29" s="2349"/>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1"/>
    </row>
    <row r="36" spans="1:10" ht="13.5" customHeight="1" x14ac:dyDescent="0.2">
      <c r="B36" s="1060"/>
      <c r="C36" s="2333" t="s">
        <v>1944</v>
      </c>
      <c r="D36" s="2332"/>
      <c r="E36" s="2332"/>
      <c r="F36" s="2332"/>
      <c r="G36" s="2332"/>
      <c r="H36" s="2332"/>
      <c r="I36" s="2332"/>
      <c r="J36" s="1062"/>
    </row>
    <row r="37" spans="1:10" ht="22.5" customHeight="1" x14ac:dyDescent="0.2">
      <c r="C37" s="2332"/>
      <c r="D37" s="2332"/>
      <c r="E37" s="2332"/>
      <c r="F37" s="2332"/>
      <c r="G37" s="2332"/>
      <c r="H37" s="2332"/>
      <c r="I37" s="2332"/>
      <c r="J37" s="1062"/>
    </row>
    <row r="38" spans="1:10" ht="7.5" customHeight="1" x14ac:dyDescent="0.2">
      <c r="C38" s="1061"/>
      <c r="D38" s="1063"/>
      <c r="E38" s="1064"/>
      <c r="F38" s="1065"/>
      <c r="G38" s="1064"/>
    </row>
    <row r="39" spans="1:10" ht="13.5" customHeight="1" x14ac:dyDescent="0.2">
      <c r="B39" s="1060"/>
      <c r="C39" s="2329" t="s">
        <v>937</v>
      </c>
      <c r="D39" s="2330"/>
      <c r="E39" s="2330"/>
      <c r="F39" s="2330"/>
      <c r="G39" s="2330"/>
      <c r="H39" s="2330"/>
      <c r="I39" s="233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2124</v>
      </c>
    </row>
    <row r="6" spans="1:2" x14ac:dyDescent="0.2">
      <c r="A6" s="1067">
        <v>2</v>
      </c>
      <c r="B6" s="329" t="s">
        <v>2113</v>
      </c>
    </row>
    <row r="7" spans="1:2" x14ac:dyDescent="0.2">
      <c r="A7" s="1067">
        <v>3</v>
      </c>
      <c r="B7" s="329" t="s">
        <v>2114</v>
      </c>
    </row>
    <row r="8" spans="1:2" x14ac:dyDescent="0.2">
      <c r="A8" s="1067">
        <v>4</v>
      </c>
      <c r="B8" s="329" t="s">
        <v>2115</v>
      </c>
    </row>
    <row r="9" spans="1:2" x14ac:dyDescent="0.2">
      <c r="A9" s="1067">
        <v>5</v>
      </c>
      <c r="B9" s="329" t="s">
        <v>2116</v>
      </c>
    </row>
    <row r="10" spans="1:2" x14ac:dyDescent="0.2">
      <c r="A10" s="1067">
        <v>6</v>
      </c>
      <c r="B10" s="329" t="s">
        <v>2117</v>
      </c>
    </row>
    <row r="11" spans="1:2" x14ac:dyDescent="0.2">
      <c r="A11" s="1067">
        <v>7</v>
      </c>
      <c r="B11" s="329" t="s">
        <v>2123</v>
      </c>
    </row>
    <row r="12" spans="1:2" ht="25.5" x14ac:dyDescent="0.2">
      <c r="A12" s="1957">
        <v>8</v>
      </c>
      <c r="B12" s="1955" t="s">
        <v>2122</v>
      </c>
    </row>
    <row r="13" spans="1:2" x14ac:dyDescent="0.2">
      <c r="A13" s="1067"/>
    </row>
    <row r="14" spans="1:2" x14ac:dyDescent="0.2">
      <c r="A14" s="1067"/>
    </row>
    <row r="15" spans="1:2" x14ac:dyDescent="0.2">
      <c r="A15" s="1067"/>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c r="B63" s="258" t="str">
        <f>COVER!A17</f>
        <v>Leland CUSD 1</v>
      </c>
    </row>
    <row r="64" spans="1:2" x14ac:dyDescent="0.2">
      <c r="B64" s="1069">
        <f>COVER!A13</f>
        <v>35050001026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3"/>
      <c r="H2" s="1073"/>
    </row>
    <row r="3" spans="1:8" ht="57" customHeight="1" x14ac:dyDescent="0.2">
      <c r="A3" s="2367" t="s">
        <v>1786</v>
      </c>
      <c r="B3" s="2368"/>
      <c r="C3" s="2368"/>
      <c r="D3" s="2368"/>
      <c r="E3" s="2368"/>
      <c r="F3" s="2369"/>
      <c r="G3" s="1073"/>
      <c r="H3" s="1073"/>
    </row>
    <row r="4" spans="1:8" ht="14.25" customHeight="1" x14ac:dyDescent="0.2">
      <c r="A4" s="2373" t="s">
        <v>2056</v>
      </c>
      <c r="B4" s="2374"/>
      <c r="C4" s="2374"/>
      <c r="D4" s="2374"/>
      <c r="E4" s="2374"/>
      <c r="F4" s="2375"/>
      <c r="G4" s="1073"/>
      <c r="H4" s="1073"/>
    </row>
    <row r="5" spans="1:8" ht="14.25" customHeight="1" x14ac:dyDescent="0.2">
      <c r="A5" s="2376" t="s">
        <v>2057</v>
      </c>
      <c r="B5" s="2377"/>
      <c r="C5" s="2377"/>
      <c r="D5" s="2377"/>
      <c r="E5" s="2377"/>
      <c r="F5" s="2378"/>
      <c r="G5" s="1073"/>
      <c r="H5" s="1073"/>
    </row>
    <row r="6" spans="1:8" s="1074" customFormat="1" ht="41.25" customHeight="1" x14ac:dyDescent="0.2">
      <c r="A6" s="2370" t="s">
        <v>1792</v>
      </c>
      <c r="B6" s="2371"/>
      <c r="C6" s="2371"/>
      <c r="D6" s="2371"/>
      <c r="E6" s="2371"/>
      <c r="F6" s="2372"/>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2833233</v>
      </c>
      <c r="C8" s="1836">
        <f>'Acct Summary 7-8'!D8</f>
        <v>258677</v>
      </c>
      <c r="D8" s="1836">
        <f>'Acct Summary 7-8'!F8</f>
        <v>209790</v>
      </c>
      <c r="E8" s="1836">
        <f>'Acct Summary 7-8'!I8</f>
        <v>34043</v>
      </c>
      <c r="F8" s="1836">
        <f>SUM(B8:E8)</f>
        <v>3335743</v>
      </c>
    </row>
    <row r="9" spans="1:8" s="1078" customFormat="1" ht="14.25" customHeight="1" thickBot="1" x14ac:dyDescent="0.25">
      <c r="A9" s="1077" t="s">
        <v>1436</v>
      </c>
      <c r="B9" s="1837">
        <f>'Acct Summary 7-8'!C17</f>
        <v>2612081</v>
      </c>
      <c r="C9" s="1837">
        <f>'Acct Summary 7-8'!D17</f>
        <v>268596</v>
      </c>
      <c r="D9" s="1837">
        <f>'Acct Summary 7-8'!F17</f>
        <v>193582</v>
      </c>
      <c r="E9" s="1836"/>
      <c r="F9" s="1836">
        <f>SUM(B9:E9)</f>
        <v>3074259</v>
      </c>
    </row>
    <row r="10" spans="1:8" s="1078" customFormat="1" ht="14.25" thickTop="1" thickBot="1" x14ac:dyDescent="0.25">
      <c r="A10" s="1079" t="s">
        <v>1437</v>
      </c>
      <c r="B10" s="1838">
        <f>(B8-B9)</f>
        <v>221152</v>
      </c>
      <c r="C10" s="1838">
        <f>(C8-C9)</f>
        <v>-9919</v>
      </c>
      <c r="D10" s="1838">
        <f>(D8-D9)</f>
        <v>16208</v>
      </c>
      <c r="E10" s="1837">
        <f>(E8-E9)</f>
        <v>34043</v>
      </c>
      <c r="F10" s="1839">
        <f>SUM(F8-F9)</f>
        <v>261484</v>
      </c>
    </row>
    <row r="11" spans="1:8" s="1078" customFormat="1" ht="14.25" thickTop="1" thickBot="1" x14ac:dyDescent="0.25">
      <c r="A11" s="1080" t="s">
        <v>1785</v>
      </c>
      <c r="B11" s="1840">
        <f>'Acct Summary 7-8'!C81</f>
        <v>985097</v>
      </c>
      <c r="C11" s="1840">
        <f>'Acct Summary 7-8'!D81</f>
        <v>586704</v>
      </c>
      <c r="D11" s="1840">
        <f>'Acct Summary 7-8'!F81</f>
        <v>545595</v>
      </c>
      <c r="E11" s="1840">
        <f>'Acct Summary 7-8'!I81</f>
        <v>877848</v>
      </c>
      <c r="F11" s="1841">
        <f>SUM(B11:E11)</f>
        <v>2995244</v>
      </c>
    </row>
    <row r="12" spans="1:8" ht="16.5" customHeight="1" thickTop="1" x14ac:dyDescent="0.2">
      <c r="A12" s="1081"/>
      <c r="B12" s="1082"/>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3"/>
      <c r="B13" s="1084"/>
      <c r="C13" s="2358"/>
      <c r="D13" s="2359"/>
      <c r="E13" s="2359"/>
      <c r="F13" s="2360"/>
      <c r="H13" s="1073"/>
    </row>
    <row r="14" spans="1:8" ht="19.5"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10" customFormat="1" ht="51.75" hidden="1" customHeight="1" x14ac:dyDescent="0.2">
      <c r="A16" s="2357" t="s">
        <v>1787</v>
      </c>
      <c r="B16" s="2357"/>
      <c r="C16" s="2357"/>
      <c r="D16" s="2357"/>
      <c r="E16" s="2357"/>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9" t="s">
        <v>686</v>
      </c>
      <c r="B3" s="2380"/>
      <c r="C3" s="2380"/>
      <c r="D3" s="2381"/>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0" t="s">
        <v>1584</v>
      </c>
      <c r="D7" s="2391"/>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2" t="s">
        <v>1065</v>
      </c>
      <c r="B15" s="2383"/>
      <c r="C15" s="2383"/>
      <c r="D15" s="2384"/>
    </row>
    <row r="16" spans="1:4" s="667" customFormat="1" ht="24" customHeight="1" x14ac:dyDescent="0.2">
      <c r="A16" s="2385" t="s">
        <v>684</v>
      </c>
      <c r="B16" s="2386"/>
      <c r="C16" s="2386"/>
      <c r="D16" s="2387"/>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4" t="s">
        <v>332</v>
      </c>
      <c r="D21" s="2395"/>
    </row>
    <row r="22" spans="1:10" ht="12.75" x14ac:dyDescent="0.2">
      <c r="A22" s="1138"/>
      <c r="B22" s="1139">
        <v>2</v>
      </c>
      <c r="C22" s="2392" t="s">
        <v>1605</v>
      </c>
      <c r="D22" s="2393"/>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6" t="s">
        <v>557</v>
      </c>
      <c r="D43" s="2397"/>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8" t="s">
        <v>817</v>
      </c>
      <c r="D56" s="2389"/>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8" t="s">
        <v>1797</v>
      </c>
      <c r="D70" s="2389"/>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35050001026</v>
      </c>
    </row>
    <row r="3" spans="1:2" x14ac:dyDescent="0.2">
      <c r="A3" t="s">
        <v>1013</v>
      </c>
      <c r="B3" s="138" t="str">
        <f>COVER!A15</f>
        <v>LaSalle/Dekalb</v>
      </c>
    </row>
    <row r="4" spans="1:2" x14ac:dyDescent="0.2">
      <c r="A4" t="s">
        <v>1064</v>
      </c>
      <c r="B4" s="138" t="str">
        <f>COVER!A17</f>
        <v>Leland CUSD 1</v>
      </c>
    </row>
    <row r="5" spans="1:2" x14ac:dyDescent="0.2">
      <c r="A5" t="s">
        <v>728</v>
      </c>
      <c r="B5" s="138" t="str">
        <f>COVER!A38</f>
        <v>Jodi Moore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569490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985097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942728</v>
      </c>
      <c r="D92" s="2" t="str">
        <f t="shared" si="0"/>
        <v>Error?</v>
      </c>
    </row>
    <row r="93" spans="1:4" x14ac:dyDescent="0.2">
      <c r="A93" s="5">
        <v>32</v>
      </c>
      <c r="B93" s="138">
        <f>'Assets-Liab 5-6'!C41</f>
        <v>985097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586704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586704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586704</v>
      </c>
      <c r="D123" s="2" t="str">
        <f t="shared" si="0"/>
        <v>Error?</v>
      </c>
    </row>
    <row r="124" spans="1:4" x14ac:dyDescent="0.2">
      <c r="A124" s="5">
        <v>63</v>
      </c>
      <c r="B124" s="138">
        <f>'Assets-Liab 5-6'!D41</f>
        <v>586704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90415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90415</v>
      </c>
      <c r="D140" s="2" t="str">
        <f t="shared" si="1"/>
        <v>Error?</v>
      </c>
    </row>
    <row r="141" spans="1:4" x14ac:dyDescent="0.2">
      <c r="A141" s="5">
        <v>80</v>
      </c>
      <c r="B141" s="138">
        <f>'Assets-Liab 5-6'!E41</f>
        <v>90415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324334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545595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545595</v>
      </c>
      <c r="D170" s="2" t="str">
        <f t="shared" si="1"/>
        <v>Error?</v>
      </c>
    </row>
    <row r="171" spans="1:4" x14ac:dyDescent="0.2">
      <c r="A171" s="5">
        <v>110</v>
      </c>
      <c r="B171" s="138">
        <f>'Assets-Liab 5-6'!F41</f>
        <v>545595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71777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188508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105778</v>
      </c>
      <c r="D189" s="2" t="str">
        <f t="shared" si="1"/>
        <v>Error?</v>
      </c>
    </row>
    <row r="190" spans="1:4" x14ac:dyDescent="0.2">
      <c r="A190" s="5">
        <v>129</v>
      </c>
      <c r="B190" s="138">
        <f>'Assets-Liab 5-6'!G41</f>
        <v>188508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136694</v>
      </c>
      <c r="D273" s="2" t="str">
        <f t="shared" si="3"/>
        <v>Error?</v>
      </c>
    </row>
    <row r="274" spans="1:4" x14ac:dyDescent="0.2">
      <c r="A274" s="5">
        <v>213</v>
      </c>
      <c r="B274" s="138">
        <f>'Assets-Liab 5-6'!M17</f>
        <v>4270570</v>
      </c>
      <c r="D274" s="2" t="str">
        <f t="shared" si="3"/>
        <v>Error?</v>
      </c>
    </row>
    <row r="275" spans="1:4" x14ac:dyDescent="0.2">
      <c r="A275" s="5">
        <v>214</v>
      </c>
      <c r="B275" s="138">
        <f>'Assets-Liab 5-6'!M18</f>
        <v>3049925</v>
      </c>
      <c r="D275" s="2" t="str">
        <f t="shared" si="3"/>
        <v>Error?</v>
      </c>
    </row>
    <row r="276" spans="1:4" x14ac:dyDescent="0.2">
      <c r="A276" s="5">
        <v>215</v>
      </c>
      <c r="B276" s="138">
        <f>'Assets-Liab 5-6'!M19</f>
        <v>914732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8371921</v>
      </c>
      <c r="C279" s="2" t="s">
        <v>594</v>
      </c>
      <c r="D279" s="2" t="str">
        <f t="shared" si="3"/>
        <v>Error?</v>
      </c>
    </row>
    <row r="280" spans="1:4" x14ac:dyDescent="0.2">
      <c r="A280" s="5">
        <v>219</v>
      </c>
      <c r="B280" s="138">
        <f>'Assets-Liab 5-6'!M40</f>
        <v>8371921</v>
      </c>
      <c r="D280" s="2" t="str">
        <f t="shared" si="3"/>
        <v>Error?</v>
      </c>
    </row>
    <row r="281" spans="1:4" x14ac:dyDescent="0.2">
      <c r="A281" s="5">
        <v>220</v>
      </c>
      <c r="B281" s="138">
        <f>'Assets-Liab 5-6'!M41</f>
        <v>8371921</v>
      </c>
      <c r="C281" s="2" t="s">
        <v>594</v>
      </c>
      <c r="D281" s="2" t="str">
        <f t="shared" si="3"/>
        <v>Error?</v>
      </c>
    </row>
    <row r="282" spans="1:4" x14ac:dyDescent="0.2">
      <c r="A282" s="5">
        <v>221</v>
      </c>
      <c r="B282" s="138">
        <f>'Assets-Liab 5-6'!N21</f>
        <v>90415</v>
      </c>
      <c r="D282" s="2" t="str">
        <f t="shared" si="3"/>
        <v>Error?</v>
      </c>
    </row>
    <row r="283" spans="1:4" x14ac:dyDescent="0.2">
      <c r="A283" s="5">
        <v>222</v>
      </c>
      <c r="B283" s="138">
        <f>'Assets-Liab 5-6'!N22</f>
        <v>1899585</v>
      </c>
      <c r="D283" s="2" t="str">
        <f t="shared" si="3"/>
        <v>Error?</v>
      </c>
    </row>
    <row r="284" spans="1:4" x14ac:dyDescent="0.2">
      <c r="A284" s="5">
        <v>223</v>
      </c>
      <c r="B284" s="138">
        <f>'Assets-Liab 5-6'!N23</f>
        <v>1990000</v>
      </c>
      <c r="C284" s="2" t="s">
        <v>594</v>
      </c>
      <c r="D284" s="2" t="str">
        <f t="shared" si="3"/>
        <v>Error?</v>
      </c>
    </row>
    <row r="285" spans="1:4" x14ac:dyDescent="0.2">
      <c r="A285" s="5">
        <v>224</v>
      </c>
      <c r="B285" s="138">
        <f>'Assets-Liab 5-6'!N36</f>
        <v>1990000</v>
      </c>
      <c r="D285" s="2" t="str">
        <f t="shared" si="3"/>
        <v>Error?</v>
      </c>
    </row>
    <row r="286" spans="1:4" x14ac:dyDescent="0.2">
      <c r="A286" s="10">
        <v>225</v>
      </c>
      <c r="D286" s="2" t="str">
        <f t="shared" si="3"/>
        <v>OK</v>
      </c>
    </row>
    <row r="287" spans="1:4" x14ac:dyDescent="0.2">
      <c r="A287" s="5">
        <v>226</v>
      </c>
      <c r="B287" s="138">
        <f>'Assets-Liab 5-6'!N37</f>
        <v>1990000</v>
      </c>
      <c r="C287" s="2" t="s">
        <v>594</v>
      </c>
      <c r="D287" s="2" t="str">
        <f t="shared" si="3"/>
        <v>Error?</v>
      </c>
    </row>
    <row r="288" spans="1:4" x14ac:dyDescent="0.2">
      <c r="A288" s="5">
        <v>227</v>
      </c>
      <c r="B288" s="138">
        <f>'Assets-Liab 5-6'!N41</f>
        <v>1990000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846539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35112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1190672</v>
      </c>
      <c r="C720" s="2" t="s">
        <v>594</v>
      </c>
      <c r="D720" s="2" t="str">
        <f t="shared" si="10"/>
        <v>Error?</v>
      </c>
    </row>
    <row r="721" spans="1:4" x14ac:dyDescent="0.2">
      <c r="A721" s="5">
        <v>660</v>
      </c>
      <c r="B721" s="138">
        <f>'Expenditures 15-22'!C36</f>
        <v>23175</v>
      </c>
      <c r="D721" s="2" t="str">
        <f t="shared" si="10"/>
        <v>Error?</v>
      </c>
    </row>
    <row r="722" spans="1:4" x14ac:dyDescent="0.2">
      <c r="A722" s="5">
        <v>661</v>
      </c>
      <c r="B722" s="138">
        <f>'Expenditures 15-22'!C37</f>
        <v>58195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81370</v>
      </c>
      <c r="C727" s="2" t="s">
        <v>594</v>
      </c>
      <c r="D727" s="2" t="str">
        <f t="shared" si="10"/>
        <v>Error?</v>
      </c>
    </row>
    <row r="728" spans="1:4" x14ac:dyDescent="0.2">
      <c r="A728" s="5">
        <v>667</v>
      </c>
      <c r="B728" s="138">
        <f>'Expenditures 15-22'!C44</f>
        <v>1730</v>
      </c>
      <c r="D728" s="2" t="str">
        <f t="shared" si="10"/>
        <v>Error?</v>
      </c>
    </row>
    <row r="729" spans="1:4" x14ac:dyDescent="0.2">
      <c r="A729" s="5">
        <v>668</v>
      </c>
      <c r="B729" s="138">
        <f>'Expenditures 15-22'!C45</f>
        <v>84138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85868</v>
      </c>
      <c r="C731" s="2" t="s">
        <v>594</v>
      </c>
      <c r="D731" s="2" t="str">
        <f t="shared" si="10"/>
        <v>Error?</v>
      </c>
    </row>
    <row r="732" spans="1:4" x14ac:dyDescent="0.2">
      <c r="A732" s="5">
        <v>671</v>
      </c>
      <c r="B732" s="138">
        <f>'Expenditures 15-22'!C49</f>
        <v>1567</v>
      </c>
      <c r="D732" s="2" t="str">
        <f t="shared" si="10"/>
        <v>Error?</v>
      </c>
    </row>
    <row r="733" spans="1:4" x14ac:dyDescent="0.2">
      <c r="A733" s="5">
        <v>672</v>
      </c>
      <c r="B733" s="138">
        <f>'Expenditures 15-22'!C50</f>
        <v>79853</v>
      </c>
      <c r="D733" s="2" t="str">
        <f t="shared" si="10"/>
        <v>Error?</v>
      </c>
    </row>
    <row r="734" spans="1:4" x14ac:dyDescent="0.2">
      <c r="A734" s="5">
        <v>673</v>
      </c>
      <c r="B734" s="138">
        <f>'Expenditures 15-22'!C53</f>
        <v>81420</v>
      </c>
      <c r="C734" s="2" t="s">
        <v>594</v>
      </c>
      <c r="D734" s="2" t="str">
        <f t="shared" si="10"/>
        <v>Error?</v>
      </c>
    </row>
    <row r="735" spans="1:4" x14ac:dyDescent="0.2">
      <c r="A735" s="5">
        <v>674</v>
      </c>
      <c r="B735" s="138">
        <f>'Expenditures 15-22'!C55</f>
        <v>103064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103064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39603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39005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78608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430330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1621002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190456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261780</v>
      </c>
      <c r="C778" s="2" t="s">
        <v>594</v>
      </c>
      <c r="D778" s="2" t="str">
        <f t="shared" si="11"/>
        <v>Error?</v>
      </c>
    </row>
    <row r="779" spans="1:4" x14ac:dyDescent="0.2">
      <c r="A779" s="5">
        <v>718</v>
      </c>
      <c r="B779" s="138">
        <f>'Expenditures 15-22'!D36</f>
        <v>2664</v>
      </c>
      <c r="D779" s="2" t="str">
        <f t="shared" si="11"/>
        <v>Error?</v>
      </c>
    </row>
    <row r="780" spans="1:4" x14ac:dyDescent="0.2">
      <c r="A780" s="5">
        <v>719</v>
      </c>
      <c r="B780" s="138">
        <f>'Expenditures 15-22'!D37</f>
        <v>12804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15468</v>
      </c>
      <c r="C785" s="2" t="s">
        <v>594</v>
      </c>
      <c r="D785" s="2" t="str">
        <f t="shared" si="11"/>
        <v>Error?</v>
      </c>
    </row>
    <row r="786" spans="1:4" x14ac:dyDescent="0.2">
      <c r="A786" s="5">
        <v>725</v>
      </c>
      <c r="B786" s="138">
        <f>'Expenditures 15-22'!D44</f>
        <v>3845</v>
      </c>
      <c r="D786" s="2" t="str">
        <f t="shared" si="11"/>
        <v>Error?</v>
      </c>
    </row>
    <row r="787" spans="1:4" x14ac:dyDescent="0.2">
      <c r="A787" s="5">
        <v>726</v>
      </c>
      <c r="B787" s="138">
        <f>'Expenditures 15-22'!D45</f>
        <v>15871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19716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16002</v>
      </c>
      <c r="D791" s="2" t="str">
        <f t="shared" si="11"/>
        <v>Error?</v>
      </c>
    </row>
    <row r="792" spans="1:4" x14ac:dyDescent="0.2">
      <c r="A792" s="5">
        <v>731</v>
      </c>
      <c r="B792" s="138">
        <f>'Expenditures 15-22'!D53</f>
        <v>16002</v>
      </c>
      <c r="C792" s="2" t="s">
        <v>594</v>
      </c>
      <c r="D792" s="2" t="str">
        <f t="shared" si="11"/>
        <v>Error?</v>
      </c>
    </row>
    <row r="793" spans="1:4" x14ac:dyDescent="0.2">
      <c r="A793" s="5">
        <v>732</v>
      </c>
      <c r="B793" s="138">
        <f>'Expenditures 15-22'!D55</f>
        <v>25392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25392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6311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12790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19101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95679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357459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12053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12314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51724</v>
      </c>
      <c r="C836" s="2" t="s">
        <v>594</v>
      </c>
      <c r="D836" s="2" t="str">
        <f t="shared" si="12"/>
        <v>Error?</v>
      </c>
    </row>
    <row r="837" spans="1:4" x14ac:dyDescent="0.2">
      <c r="A837" s="5">
        <v>776</v>
      </c>
      <c r="B837" s="138">
        <f>'Expenditures 15-22'!E36</f>
        <v>375</v>
      </c>
      <c r="D837" s="2" t="str">
        <f t="shared" si="12"/>
        <v>Error?</v>
      </c>
    </row>
    <row r="838" spans="1:4" x14ac:dyDescent="0.2">
      <c r="A838" s="5">
        <v>777</v>
      </c>
      <c r="B838" s="138">
        <f>'Expenditures 15-22'!E37</f>
        <v>1359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1734</v>
      </c>
      <c r="C843" s="2" t="s">
        <v>594</v>
      </c>
      <c r="D843" s="2" t="str">
        <f t="shared" si="12"/>
        <v>Error?</v>
      </c>
    </row>
    <row r="844" spans="1:4" x14ac:dyDescent="0.2">
      <c r="A844" s="5">
        <v>783</v>
      </c>
      <c r="B844" s="138">
        <f>'Expenditures 15-22'!E44</f>
        <v>1565</v>
      </c>
      <c r="D844" s="2" t="str">
        <f t="shared" si="12"/>
        <v>Error?</v>
      </c>
    </row>
    <row r="845" spans="1:4" x14ac:dyDescent="0.2">
      <c r="A845" s="5">
        <v>784</v>
      </c>
      <c r="B845" s="138">
        <f>'Expenditures 15-22'!E45</f>
        <v>22622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24187</v>
      </c>
      <c r="C847" s="2" t="s">
        <v>594</v>
      </c>
      <c r="D847" s="2" t="str">
        <f t="shared" si="12"/>
        <v>Error?</v>
      </c>
    </row>
    <row r="848" spans="1:4" x14ac:dyDescent="0.2">
      <c r="A848" s="5">
        <v>787</v>
      </c>
      <c r="B848" s="138">
        <f>'Expenditures 15-22'!E49</f>
        <v>20644</v>
      </c>
      <c r="D848" s="2" t="str">
        <f t="shared" si="12"/>
        <v>Error?</v>
      </c>
    </row>
    <row r="849" spans="1:4" x14ac:dyDescent="0.2">
      <c r="A849" s="5">
        <v>788</v>
      </c>
      <c r="B849" s="138">
        <f>'Expenditures 15-22'!E50</f>
        <v>2327</v>
      </c>
      <c r="D849" s="2" t="str">
        <f t="shared" si="12"/>
        <v>Error?</v>
      </c>
    </row>
    <row r="850" spans="1:4" x14ac:dyDescent="0.2">
      <c r="A850" s="5">
        <v>789</v>
      </c>
      <c r="B850" s="138">
        <f>'Expenditures 15-22'!E53</f>
        <v>22971</v>
      </c>
      <c r="C850" s="2" t="s">
        <v>594</v>
      </c>
      <c r="D850" s="2" t="str">
        <f t="shared" si="12"/>
        <v>Error?</v>
      </c>
    </row>
    <row r="851" spans="1:4" x14ac:dyDescent="0.2">
      <c r="A851" s="5">
        <v>790</v>
      </c>
      <c r="B851" s="138">
        <f>'Expenditures 15-22'!E55</f>
        <v>1083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5022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5279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55254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200200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65033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9375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83152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38145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38145</v>
      </c>
      <c r="C905" s="2" t="s">
        <v>594</v>
      </c>
      <c r="D905" s="2" t="str">
        <f t="shared" si="13"/>
        <v>Error?</v>
      </c>
    </row>
    <row r="906" spans="1:4" x14ac:dyDescent="0.2">
      <c r="A906" s="5">
        <v>845</v>
      </c>
      <c r="B906" s="138">
        <f>'Expenditures 15-22'!F49</f>
        <v>922</v>
      </c>
      <c r="D906" s="2" t="str">
        <f t="shared" si="13"/>
        <v>Error?</v>
      </c>
    </row>
    <row r="907" spans="1:4" x14ac:dyDescent="0.2">
      <c r="A907" s="5">
        <v>846</v>
      </c>
      <c r="B907" s="138">
        <f>'Expenditures 15-22'!F50</f>
        <v>710</v>
      </c>
      <c r="D907" s="2" t="str">
        <f t="shared" si="13"/>
        <v>Error?</v>
      </c>
    </row>
    <row r="908" spans="1:4" x14ac:dyDescent="0.2">
      <c r="A908" s="5">
        <v>847</v>
      </c>
      <c r="B908" s="138">
        <f>'Expenditures 15-22'!F53</f>
        <v>1632</v>
      </c>
      <c r="C908" s="2" t="s">
        <v>594</v>
      </c>
      <c r="D908" s="2" t="str">
        <f t="shared" si="13"/>
        <v>Error?</v>
      </c>
    </row>
    <row r="909" spans="1:4" x14ac:dyDescent="0.2">
      <c r="A909" s="5">
        <v>848</v>
      </c>
      <c r="B909" s="138">
        <f>'Expenditures 15-22'!F55</f>
        <v>11835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11835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41318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41318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93130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176282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1676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1676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1676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1676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3783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130886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65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65</v>
      </c>
      <c r="C1021" s="2" t="s">
        <v>594</v>
      </c>
      <c r="D1021" s="2" t="str">
        <f t="shared" si="14"/>
        <v>Error?</v>
      </c>
    </row>
    <row r="1022" spans="1:4" x14ac:dyDescent="0.2">
      <c r="A1022" s="5">
        <v>961</v>
      </c>
      <c r="B1022" s="138">
        <f>'Expenditures 15-22'!H49</f>
        <v>4387</v>
      </c>
      <c r="D1022" s="2" t="str">
        <f t="shared" si="14"/>
        <v>Error?</v>
      </c>
    </row>
    <row r="1023" spans="1:4" x14ac:dyDescent="0.2">
      <c r="A1023" s="5">
        <v>962</v>
      </c>
      <c r="B1023" s="138">
        <f>'Expenditures 15-22'!H50</f>
        <v>840</v>
      </c>
      <c r="D1023" s="2" t="str">
        <f t="shared" ref="D1023:D1086" si="15">IF(ISBLANK(B1023),"OK",IF(A1023-B1023=0,"OK","Error?"))</f>
        <v>Error?</v>
      </c>
    </row>
    <row r="1024" spans="1:4" x14ac:dyDescent="0.2">
      <c r="A1024" s="5">
        <v>963</v>
      </c>
      <c r="B1024" s="138">
        <f>'Expenditures 15-22'!H53</f>
        <v>5227</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5692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118884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255462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1114081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62980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1718214</v>
      </c>
      <c r="C1108" s="2" t="s">
        <v>594</v>
      </c>
      <c r="D1108" s="2" t="str">
        <f t="shared" si="16"/>
        <v>Error?</v>
      </c>
    </row>
    <row r="1109" spans="1:4" x14ac:dyDescent="0.2">
      <c r="A1109" s="5">
        <v>1048</v>
      </c>
      <c r="B1109" s="138">
        <f>'Expenditures 15-22'!K36</f>
        <v>26214</v>
      </c>
      <c r="C1109" s="2" t="s">
        <v>594</v>
      </c>
      <c r="D1109" s="2" t="str">
        <f t="shared" si="16"/>
        <v>Error?</v>
      </c>
    </row>
    <row r="1110" spans="1:4" x14ac:dyDescent="0.2">
      <c r="A1110" s="5">
        <v>1049</v>
      </c>
      <c r="B1110" s="138">
        <f>'Expenditures 15-22'!K37</f>
        <v>72558</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98772</v>
      </c>
      <c r="C1115" s="2" t="s">
        <v>594</v>
      </c>
      <c r="D1115" s="2" t="str">
        <f t="shared" si="16"/>
        <v>Error?</v>
      </c>
    </row>
    <row r="1116" spans="1:4" x14ac:dyDescent="0.2">
      <c r="A1116" s="5">
        <v>1055</v>
      </c>
      <c r="B1116" s="138">
        <f>'Expenditures 15-22'!K44</f>
        <v>7140</v>
      </c>
      <c r="C1116" s="2" t="s">
        <v>594</v>
      </c>
      <c r="D1116" s="2" t="str">
        <f t="shared" si="16"/>
        <v>Error?</v>
      </c>
    </row>
    <row r="1117" spans="1:4" x14ac:dyDescent="0.2">
      <c r="A1117" s="5">
        <v>1056</v>
      </c>
      <c r="B1117" s="138">
        <f>'Expenditures 15-22'!K45</f>
        <v>162517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169657</v>
      </c>
      <c r="C1119" s="2" t="s">
        <v>594</v>
      </c>
      <c r="D1119" s="2" t="str">
        <f t="shared" si="16"/>
        <v>Error?</v>
      </c>
    </row>
    <row r="1120" spans="1:4" x14ac:dyDescent="0.2">
      <c r="A1120" s="5">
        <v>1059</v>
      </c>
      <c r="B1120" s="138">
        <f>'Expenditures 15-22'!K49</f>
        <v>27520</v>
      </c>
      <c r="C1120" s="2" t="s">
        <v>594</v>
      </c>
      <c r="D1120" s="2" t="str">
        <f t="shared" si="16"/>
        <v>Error?</v>
      </c>
    </row>
    <row r="1121" spans="1:4" x14ac:dyDescent="0.2">
      <c r="A1121" s="5">
        <v>1060</v>
      </c>
      <c r="B1121" s="138">
        <f>'Expenditures 15-22'!K50</f>
        <v>99732</v>
      </c>
      <c r="C1121" s="2" t="s">
        <v>594</v>
      </c>
      <c r="D1121" s="2" t="str">
        <f t="shared" si="16"/>
        <v>Error?</v>
      </c>
    </row>
    <row r="1122" spans="1:4" x14ac:dyDescent="0.2">
      <c r="A1122" s="5">
        <v>1061</v>
      </c>
      <c r="B1122" s="138">
        <f>'Expenditures 15-22'!K53</f>
        <v>127252</v>
      </c>
      <c r="C1122" s="2" t="s">
        <v>594</v>
      </c>
      <c r="D1122" s="2" t="str">
        <f t="shared" si="16"/>
        <v>Error?</v>
      </c>
    </row>
    <row r="1123" spans="1:4" x14ac:dyDescent="0.2">
      <c r="A1123" s="5">
        <v>1062</v>
      </c>
      <c r="B1123" s="138">
        <f>'Expenditures 15-22'!K55</f>
        <v>141759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141759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50951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93370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144321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681761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212106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2612081</v>
      </c>
      <c r="C1152" s="2" t="s">
        <v>594</v>
      </c>
      <c r="D1152" s="2" t="str">
        <f t="shared" si="17"/>
        <v>Error?</v>
      </c>
    </row>
    <row r="1153" spans="1:4" x14ac:dyDescent="0.2">
      <c r="A1153" s="5">
        <v>1092</v>
      </c>
      <c r="B1153" s="138">
        <f>'Expenditures 15-22'!K115</f>
        <v>221152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120105</v>
      </c>
      <c r="D1221" s="2" t="str">
        <f t="shared" si="18"/>
        <v>Error?</v>
      </c>
    </row>
    <row r="1222" spans="1:4" x14ac:dyDescent="0.2">
      <c r="A1222" s="10">
        <v>1161</v>
      </c>
      <c r="D1222" s="2" t="str">
        <f t="shared" si="18"/>
        <v>OK</v>
      </c>
    </row>
    <row r="1223" spans="1:4" x14ac:dyDescent="0.2">
      <c r="A1223" s="5">
        <v>1162</v>
      </c>
      <c r="B1223" s="138">
        <f>'Expenditures 15-22'!C127</f>
        <v>120105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120105</v>
      </c>
      <c r="C1225" s="2" t="s">
        <v>594</v>
      </c>
      <c r="D1225" s="2" t="str">
        <f t="shared" si="18"/>
        <v>Error?</v>
      </c>
    </row>
    <row r="1226" spans="1:4" x14ac:dyDescent="0.2">
      <c r="A1226" s="5">
        <v>1165</v>
      </c>
      <c r="B1226" s="138">
        <f>'Expenditures 15-22'!C151</f>
        <v>120105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12729</v>
      </c>
      <c r="D1229" s="2" t="str">
        <f t="shared" si="18"/>
        <v>Error?</v>
      </c>
    </row>
    <row r="1230" spans="1:4" x14ac:dyDescent="0.2">
      <c r="A1230" s="10">
        <v>1169</v>
      </c>
      <c r="D1230" s="2" t="str">
        <f t="shared" si="18"/>
        <v>OK</v>
      </c>
    </row>
    <row r="1231" spans="1:4" x14ac:dyDescent="0.2">
      <c r="A1231" s="5">
        <v>1170</v>
      </c>
      <c r="B1231" s="138">
        <f>'Expenditures 15-22'!D127</f>
        <v>12729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12729</v>
      </c>
      <c r="C1233" s="2" t="s">
        <v>594</v>
      </c>
      <c r="D1233" s="2" t="str">
        <f t="shared" si="18"/>
        <v>Error?</v>
      </c>
    </row>
    <row r="1234" spans="1:4" x14ac:dyDescent="0.2">
      <c r="A1234" s="5">
        <v>1173</v>
      </c>
      <c r="B1234" s="138">
        <f>'Expenditures 15-22'!D151</f>
        <v>12729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47440</v>
      </c>
      <c r="D1237" s="2" t="str">
        <f t="shared" si="18"/>
        <v>Error?</v>
      </c>
    </row>
    <row r="1238" spans="1:4" x14ac:dyDescent="0.2">
      <c r="A1238" s="10">
        <v>1177</v>
      </c>
      <c r="D1238" s="2" t="str">
        <f t="shared" si="18"/>
        <v>OK</v>
      </c>
    </row>
    <row r="1239" spans="1:4" x14ac:dyDescent="0.2">
      <c r="A1239" s="5">
        <v>1178</v>
      </c>
      <c r="B1239" s="138">
        <f>'Expenditures 15-22'!E127</f>
        <v>47440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47440</v>
      </c>
      <c r="C1241" s="2" t="s">
        <v>594</v>
      </c>
      <c r="D1241" s="2" t="str">
        <f t="shared" si="18"/>
        <v>Error?</v>
      </c>
    </row>
    <row r="1242" spans="1:4" x14ac:dyDescent="0.2">
      <c r="A1242" s="5">
        <v>1181</v>
      </c>
      <c r="B1242" s="138">
        <f>'Expenditures 15-22'!E151</f>
        <v>47440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80076</v>
      </c>
      <c r="D1245" s="2" t="str">
        <f t="shared" si="18"/>
        <v>Error?</v>
      </c>
    </row>
    <row r="1246" spans="1:4" x14ac:dyDescent="0.2">
      <c r="A1246" s="10">
        <v>1185</v>
      </c>
      <c r="D1246" s="2" t="str">
        <f t="shared" si="18"/>
        <v>OK</v>
      </c>
    </row>
    <row r="1247" spans="1:4" x14ac:dyDescent="0.2">
      <c r="A1247" s="5">
        <v>1186</v>
      </c>
      <c r="B1247" s="138">
        <f>'Expenditures 15-22'!F127</f>
        <v>80076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80076</v>
      </c>
      <c r="C1249" s="2" t="s">
        <v>594</v>
      </c>
      <c r="D1249" s="2" t="str">
        <f t="shared" si="18"/>
        <v>Error?</v>
      </c>
    </row>
    <row r="1250" spans="1:4" x14ac:dyDescent="0.2">
      <c r="A1250" s="5">
        <v>1189</v>
      </c>
      <c r="B1250" s="138">
        <f>'Expenditures 15-22'!F151</f>
        <v>80076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8246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8246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8246</v>
      </c>
      <c r="C1258" s="2" t="s">
        <v>594</v>
      </c>
      <c r="D1258" s="2" t="str">
        <f t="shared" si="18"/>
        <v>Error?</v>
      </c>
    </row>
    <row r="1259" spans="1:4" x14ac:dyDescent="0.2">
      <c r="A1259" s="5">
        <v>1198</v>
      </c>
      <c r="B1259" s="138">
        <f>'Expenditures 15-22'!G151</f>
        <v>8246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268596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268596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268596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268596</v>
      </c>
      <c r="C1288" s="2" t="s">
        <v>594</v>
      </c>
      <c r="D1288" s="2" t="str">
        <f t="shared" si="19"/>
        <v>Error?</v>
      </c>
    </row>
    <row r="1289" spans="1:4" x14ac:dyDescent="0.2">
      <c r="A1289" s="5">
        <v>1228</v>
      </c>
      <c r="B1289" s="138">
        <f>'Expenditures 15-22'!K152</f>
        <v>-9919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49770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215000</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265670</v>
      </c>
      <c r="C1317" s="2" t="s">
        <v>594</v>
      </c>
      <c r="D1317" s="2" t="str">
        <f t="shared" si="19"/>
        <v>Error?</v>
      </c>
    </row>
    <row r="1318" spans="1:4" x14ac:dyDescent="0.2">
      <c r="A1318" s="5">
        <v>1257</v>
      </c>
      <c r="B1318" s="138">
        <f>'Expenditures 15-22'!H174</f>
        <v>265670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49770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215000</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265670</v>
      </c>
      <c r="C1331" s="2" t="s">
        <v>594</v>
      </c>
      <c r="D1331" s="2" t="str">
        <f t="shared" si="19"/>
        <v>Error?</v>
      </c>
    </row>
    <row r="1332" spans="1:4" x14ac:dyDescent="0.2">
      <c r="A1332" s="5">
        <v>1271</v>
      </c>
      <c r="B1332" s="138">
        <f>'Expenditures 15-22'!K174</f>
        <v>265670</v>
      </c>
      <c r="C1332" s="2" t="s">
        <v>594</v>
      </c>
      <c r="D1332" s="2" t="str">
        <f t="shared" si="19"/>
        <v>Error?</v>
      </c>
    </row>
    <row r="1333" spans="1:4" x14ac:dyDescent="0.2">
      <c r="A1333" s="5">
        <v>1272</v>
      </c>
      <c r="B1333" s="138">
        <f>'Expenditures 15-22'!K175</f>
        <v>3736</v>
      </c>
      <c r="C1333" s="2" t="s">
        <v>594</v>
      </c>
      <c r="D1333" s="2" t="str">
        <f t="shared" si="19"/>
        <v>Error?</v>
      </c>
    </row>
    <row r="1334" spans="1:4" x14ac:dyDescent="0.2">
      <c r="A1334" s="10">
        <v>1273</v>
      </c>
      <c r="D1334" s="2" t="str">
        <f t="shared" si="19"/>
        <v>OK</v>
      </c>
    </row>
    <row r="1335" spans="1:4" x14ac:dyDescent="0.2">
      <c r="A1335" s="5">
        <v>1274</v>
      </c>
      <c r="B1335" s="138">
        <f>'Expenditures 15-22'!C182</f>
        <v>112948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112948</v>
      </c>
      <c r="C1339" s="2" t="s">
        <v>594</v>
      </c>
      <c r="D1339" s="2" t="str">
        <f t="shared" si="19"/>
        <v>Error?</v>
      </c>
    </row>
    <row r="1340" spans="1:4" x14ac:dyDescent="0.2">
      <c r="A1340" s="5">
        <v>1279</v>
      </c>
      <c r="B1340" s="138">
        <f>'Expenditures 15-22'!C210</f>
        <v>112948</v>
      </c>
      <c r="C1340" s="2" t="s">
        <v>594</v>
      </c>
      <c r="D1340" s="2" t="str">
        <f t="shared" si="19"/>
        <v>Error?</v>
      </c>
    </row>
    <row r="1341" spans="1:4" x14ac:dyDescent="0.2">
      <c r="A1341" s="5">
        <v>1280</v>
      </c>
      <c r="B1341" s="138">
        <f>'Expenditures 15-22'!D182</f>
        <v>10864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10864</v>
      </c>
      <c r="C1345" s="2" t="s">
        <v>594</v>
      </c>
      <c r="D1345" s="2" t="str">
        <f t="shared" si="20"/>
        <v>Error?</v>
      </c>
    </row>
    <row r="1346" spans="1:4" x14ac:dyDescent="0.2">
      <c r="A1346" s="5">
        <v>1285</v>
      </c>
      <c r="B1346" s="138">
        <f>'Expenditures 15-22'!D210</f>
        <v>10864</v>
      </c>
      <c r="C1346" s="2" t="s">
        <v>594</v>
      </c>
      <c r="D1346" s="2" t="str">
        <f t="shared" si="20"/>
        <v>Error?</v>
      </c>
    </row>
    <row r="1347" spans="1:4" x14ac:dyDescent="0.2">
      <c r="A1347" s="5">
        <v>1286</v>
      </c>
      <c r="B1347" s="138">
        <f>'Expenditures 15-22'!E182</f>
        <v>48715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48715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48715</v>
      </c>
      <c r="C1353" s="2" t="s">
        <v>594</v>
      </c>
      <c r="D1353" s="2" t="str">
        <f t="shared" si="20"/>
        <v>Error?</v>
      </c>
    </row>
    <row r="1354" spans="1:4" x14ac:dyDescent="0.2">
      <c r="A1354" s="5">
        <v>1293</v>
      </c>
      <c r="B1354" s="138">
        <f>'Expenditures 15-22'!F182</f>
        <v>21055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21055</v>
      </c>
      <c r="C1358" s="2" t="s">
        <v>594</v>
      </c>
      <c r="D1358" s="2" t="str">
        <f t="shared" si="20"/>
        <v>Error?</v>
      </c>
    </row>
    <row r="1359" spans="1:4" x14ac:dyDescent="0.2">
      <c r="A1359" s="5">
        <v>1298</v>
      </c>
      <c r="B1359" s="138">
        <f>'Expenditures 15-22'!F210</f>
        <v>21055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193582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193582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193582</v>
      </c>
      <c r="C1388" s="2" t="s">
        <v>594</v>
      </c>
      <c r="D1388" s="2" t="str">
        <f t="shared" si="20"/>
        <v>Error?</v>
      </c>
    </row>
    <row r="1389" spans="1:4" x14ac:dyDescent="0.2">
      <c r="A1389" s="5">
        <v>1328</v>
      </c>
      <c r="B1389" s="138">
        <f>'Expenditures 15-22'!K211</f>
        <v>16208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1790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35372</v>
      </c>
      <c r="C1410" s="2" t="s">
        <v>594</v>
      </c>
      <c r="D1410" s="2" t="str">
        <f t="shared" si="21"/>
        <v>Error?</v>
      </c>
    </row>
    <row r="1411" spans="1:4" x14ac:dyDescent="0.2">
      <c r="A1411" s="5">
        <v>1350</v>
      </c>
      <c r="B1411" s="138">
        <f>'Expenditures 15-22'!D232</f>
        <v>369</v>
      </c>
      <c r="D1411" s="2" t="str">
        <f t="shared" si="21"/>
        <v>Error?</v>
      </c>
    </row>
    <row r="1412" spans="1:4" x14ac:dyDescent="0.2">
      <c r="A1412" s="5">
        <v>1351</v>
      </c>
      <c r="B1412" s="138">
        <f>'Expenditures 15-22'!D233</f>
        <v>909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1278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8275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8275</v>
      </c>
      <c r="C1421" s="2" t="s">
        <v>594</v>
      </c>
      <c r="D1421" s="2" t="str">
        <f t="shared" si="21"/>
        <v>Error?</v>
      </c>
    </row>
    <row r="1422" spans="1:4" x14ac:dyDescent="0.2">
      <c r="A1422" s="5">
        <v>1361</v>
      </c>
      <c r="B1422" s="138">
        <f>'Expenditures 15-22'!D245</f>
        <v>117</v>
      </c>
      <c r="D1422" s="2" t="str">
        <f t="shared" si="21"/>
        <v>Error?</v>
      </c>
    </row>
    <row r="1423" spans="1:4" x14ac:dyDescent="0.2">
      <c r="A1423" s="5">
        <v>1362</v>
      </c>
      <c r="B1423" s="138">
        <f>'Expenditures 15-22'!D246</f>
        <v>1915</v>
      </c>
      <c r="D1423" s="2" t="str">
        <f t="shared" si="21"/>
        <v>Error?</v>
      </c>
    </row>
    <row r="1424" spans="1:4" x14ac:dyDescent="0.2">
      <c r="A1424" s="5">
        <v>1363</v>
      </c>
      <c r="B1424" s="138">
        <f>'Expenditures 15-22'!D257</f>
        <v>4805</v>
      </c>
      <c r="C1424" s="2" t="s">
        <v>594</v>
      </c>
      <c r="D1424" s="2" t="str">
        <f t="shared" si="21"/>
        <v>Error?</v>
      </c>
    </row>
    <row r="1425" spans="1:4" x14ac:dyDescent="0.2">
      <c r="A1425" s="5">
        <v>1364</v>
      </c>
      <c r="B1425" s="138">
        <f>'Expenditures 15-22'!D259</f>
        <v>11305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11305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6383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14295</v>
      </c>
      <c r="D1431" s="2" t="str">
        <f t="shared" si="21"/>
        <v>Error?</v>
      </c>
    </row>
    <row r="1432" spans="1:4" x14ac:dyDescent="0.2">
      <c r="A1432" s="5">
        <v>1371</v>
      </c>
      <c r="B1432" s="138">
        <f>'Expenditures 15-22'!D267</f>
        <v>11823</v>
      </c>
      <c r="D1432" s="2" t="str">
        <f t="shared" si="21"/>
        <v>Error?</v>
      </c>
    </row>
    <row r="1433" spans="1:4" x14ac:dyDescent="0.2">
      <c r="A1433" s="5">
        <v>1372</v>
      </c>
      <c r="B1433" s="138">
        <f>'Expenditures 15-22'!D268</f>
        <v>5265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37766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63429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98801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1790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35372</v>
      </c>
      <c r="C1474" s="2" t="s">
        <v>594</v>
      </c>
      <c r="D1474" s="2" t="str">
        <f t="shared" si="22"/>
        <v>Error?</v>
      </c>
    </row>
    <row r="1475" spans="1:4" x14ac:dyDescent="0.2">
      <c r="A1475" s="5">
        <v>1414</v>
      </c>
      <c r="B1475" s="138">
        <f>'Expenditures 15-22'!K232</f>
        <v>369</v>
      </c>
      <c r="C1475" s="2" t="s">
        <v>594</v>
      </c>
      <c r="D1475" s="2" t="str">
        <f t="shared" si="22"/>
        <v>Error?</v>
      </c>
    </row>
    <row r="1476" spans="1:4" x14ac:dyDescent="0.2">
      <c r="A1476" s="5">
        <v>1415</v>
      </c>
      <c r="B1476" s="138">
        <f>'Expenditures 15-22'!K233</f>
        <v>909</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1278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8275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8275</v>
      </c>
      <c r="C1485" s="2" t="s">
        <v>594</v>
      </c>
      <c r="D1485" s="2" t="str">
        <f t="shared" si="22"/>
        <v>Error?</v>
      </c>
    </row>
    <row r="1486" spans="1:4" x14ac:dyDescent="0.2">
      <c r="A1486" s="5">
        <v>1425</v>
      </c>
      <c r="B1486" s="138">
        <f>'Expenditures 15-22'!K245</f>
        <v>117</v>
      </c>
      <c r="C1486" s="2" t="s">
        <v>594</v>
      </c>
      <c r="D1486" s="2" t="str">
        <f t="shared" si="22"/>
        <v>Error?</v>
      </c>
    </row>
    <row r="1487" spans="1:4" x14ac:dyDescent="0.2">
      <c r="A1487" s="5">
        <v>1426</v>
      </c>
      <c r="B1487" s="138">
        <f>'Expenditures 15-22'!K246</f>
        <v>1915</v>
      </c>
      <c r="C1487" s="2" t="s">
        <v>594</v>
      </c>
      <c r="D1487" s="2" t="str">
        <f t="shared" si="22"/>
        <v>Error?</v>
      </c>
    </row>
    <row r="1488" spans="1:4" x14ac:dyDescent="0.2">
      <c r="A1488" s="5">
        <v>1427</v>
      </c>
      <c r="B1488" s="138">
        <f>'Expenditures 15-22'!K257</f>
        <v>4805</v>
      </c>
      <c r="C1488" s="2" t="s">
        <v>594</v>
      </c>
      <c r="D1488" s="2" t="str">
        <f t="shared" si="22"/>
        <v>Error?</v>
      </c>
    </row>
    <row r="1489" spans="1:4" x14ac:dyDescent="0.2">
      <c r="A1489" s="5">
        <v>1428</v>
      </c>
      <c r="B1489" s="138">
        <f>'Expenditures 15-22'!K259</f>
        <v>11305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11305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6383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14295</v>
      </c>
      <c r="C1495" s="2" t="s">
        <v>594</v>
      </c>
      <c r="D1495" s="2" t="str">
        <f t="shared" si="22"/>
        <v>Error?</v>
      </c>
    </row>
    <row r="1496" spans="1:4" x14ac:dyDescent="0.2">
      <c r="A1496" s="5">
        <v>1435</v>
      </c>
      <c r="B1496" s="138">
        <f>'Expenditures 15-22'!K267</f>
        <v>11823</v>
      </c>
      <c r="C1496" s="2" t="s">
        <v>594</v>
      </c>
      <c r="D1496" s="2" t="str">
        <f t="shared" si="22"/>
        <v>Error?</v>
      </c>
    </row>
    <row r="1497" spans="1:4" x14ac:dyDescent="0.2">
      <c r="A1497" s="5">
        <v>1436</v>
      </c>
      <c r="B1497" s="138">
        <f>'Expenditures 15-22'!K268</f>
        <v>5265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37766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63429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98801</v>
      </c>
      <c r="C1517" s="2" t="s">
        <v>594</v>
      </c>
      <c r="D1517" s="2" t="str">
        <f t="shared" si="22"/>
        <v>Error?</v>
      </c>
    </row>
    <row r="1518" spans="1:4" x14ac:dyDescent="0.2">
      <c r="A1518" s="5">
        <v>1457</v>
      </c>
      <c r="B1518" s="138">
        <f>'Expenditures 15-22'!K296</f>
        <v>56054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763945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985097</v>
      </c>
      <c r="C1630" s="2" t="s">
        <v>594</v>
      </c>
      <c r="D1630" s="2" t="str">
        <f t="shared" si="24"/>
        <v>Error?</v>
      </c>
    </row>
    <row r="1631" spans="1:4" x14ac:dyDescent="0.2">
      <c r="A1631" s="5">
        <v>1570</v>
      </c>
      <c r="B1631" s="138">
        <f>'Acct Summary 7-8'!D79</f>
        <v>596623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586704</v>
      </c>
      <c r="C1644" s="2" t="s">
        <v>594</v>
      </c>
      <c r="D1644" s="2" t="str">
        <f t="shared" si="24"/>
        <v>Error?</v>
      </c>
    </row>
    <row r="1645" spans="1:4" x14ac:dyDescent="0.2">
      <c r="A1645" s="5">
        <v>1584</v>
      </c>
      <c r="B1645" s="138">
        <f>'Acct Summary 7-8'!E79</f>
        <v>86679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90415</v>
      </c>
      <c r="C1658" s="2" t="s">
        <v>594</v>
      </c>
      <c r="D1658" s="2" t="str">
        <f t="shared" si="24"/>
        <v>Error?</v>
      </c>
    </row>
    <row r="1659" spans="1:4" x14ac:dyDescent="0.2">
      <c r="A1659" s="5">
        <v>1598</v>
      </c>
      <c r="B1659" s="138">
        <f>'Acct Summary 7-8'!F79</f>
        <v>529387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545595</v>
      </c>
      <c r="C1672" s="2" t="s">
        <v>594</v>
      </c>
      <c r="D1672" s="2" t="str">
        <f t="shared" si="25"/>
        <v>Error?</v>
      </c>
    </row>
    <row r="1673" spans="1:4" x14ac:dyDescent="0.2">
      <c r="A1673" s="5">
        <v>1612</v>
      </c>
      <c r="B1673" s="138">
        <f>'Acct Summary 7-8'!G79</f>
        <v>132454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188508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1960783</v>
      </c>
      <c r="C1744" s="2" t="s">
        <v>594</v>
      </c>
      <c r="D1744" s="2" t="str">
        <f t="shared" si="26"/>
        <v>Error?</v>
      </c>
    </row>
    <row r="1745" spans="1:5" x14ac:dyDescent="0.2">
      <c r="A1745" s="5">
        <v>1684</v>
      </c>
      <c r="B1745" s="138">
        <f>'Tax Sched 23'!B5</f>
        <v>245098</v>
      </c>
      <c r="C1745" s="2" t="s">
        <v>594</v>
      </c>
      <c r="D1745" s="2" t="str">
        <f t="shared" si="26"/>
        <v>Error?</v>
      </c>
    </row>
    <row r="1746" spans="1:5" x14ac:dyDescent="0.2">
      <c r="A1746" s="5">
        <v>1685</v>
      </c>
      <c r="B1746" s="138">
        <f>'Tax Sched 23'!B6</f>
        <v>269225</v>
      </c>
      <c r="C1746" s="2" t="s">
        <v>594</v>
      </c>
      <c r="D1746" s="2" t="str">
        <f t="shared" si="26"/>
        <v>Error?</v>
      </c>
    </row>
    <row r="1747" spans="1:5" x14ac:dyDescent="0.2">
      <c r="A1747" s="5">
        <v>1686</v>
      </c>
      <c r="B1747" s="138">
        <f>'Tax Sched 23'!B7</f>
        <v>98040</v>
      </c>
      <c r="C1747" s="2" t="s">
        <v>594</v>
      </c>
      <c r="D1747" s="2" t="str">
        <f t="shared" si="26"/>
        <v>Error?</v>
      </c>
    </row>
    <row r="1748" spans="1:5" x14ac:dyDescent="0.2">
      <c r="A1748" s="5">
        <v>1687</v>
      </c>
      <c r="B1748" s="138">
        <f>'Tax Sched 23'!B8</f>
        <v>60139</v>
      </c>
      <c r="C1748" s="2" t="s">
        <v>594</v>
      </c>
      <c r="D1748" s="2" t="str">
        <f t="shared" si="26"/>
        <v>Error?</v>
      </c>
    </row>
    <row r="1749" spans="1:5" x14ac:dyDescent="0.2">
      <c r="A1749" s="5">
        <v>1688</v>
      </c>
      <c r="B1749" s="138">
        <f>'Tax Sched 23'!B10</f>
        <v>24510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209481</v>
      </c>
      <c r="C1752" s="2" t="s">
        <v>594</v>
      </c>
      <c r="D1752" s="2" t="str">
        <f t="shared" si="26"/>
        <v>Error?</v>
      </c>
    </row>
    <row r="1753" spans="1:5" x14ac:dyDescent="0.2">
      <c r="A1753" s="5">
        <v>1692</v>
      </c>
      <c r="B1753" s="138">
        <f>'Tax Sched 23'!B12</f>
        <v>24510</v>
      </c>
      <c r="C1753" s="2" t="s">
        <v>594</v>
      </c>
      <c r="D1753" s="2" t="str">
        <f t="shared" si="26"/>
        <v>Error?</v>
      </c>
    </row>
    <row r="1754" spans="1:5" x14ac:dyDescent="0.2">
      <c r="A1754" s="5">
        <v>1693</v>
      </c>
      <c r="B1754" s="138">
        <f>'Tax Sched 23'!B14</f>
        <v>19608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3021765</v>
      </c>
      <c r="C1759" s="2" t="s">
        <v>594</v>
      </c>
      <c r="D1759" s="2" t="str">
        <f t="shared" si="26"/>
        <v>Error?</v>
      </c>
    </row>
    <row r="1760" spans="1:5" x14ac:dyDescent="0.2">
      <c r="A1760" s="5">
        <v>1699</v>
      </c>
      <c r="B1760" s="138">
        <f>'Tax Sched 23'!D4</f>
        <v>1700390</v>
      </c>
      <c r="C1760" s="2" t="s">
        <v>594</v>
      </c>
      <c r="D1760" s="2" t="str">
        <f t="shared" si="26"/>
        <v>Error?</v>
      </c>
    </row>
    <row r="1761" spans="1:5" x14ac:dyDescent="0.2">
      <c r="A1761" s="5">
        <v>1700</v>
      </c>
      <c r="B1761" s="138">
        <f>'Tax Sched 23'!D5</f>
        <v>212549</v>
      </c>
      <c r="C1761" s="2" t="s">
        <v>594</v>
      </c>
      <c r="D1761" s="2" t="str">
        <f t="shared" si="26"/>
        <v>Error?</v>
      </c>
    </row>
    <row r="1762" spans="1:5" s="8" customFormat="1" x14ac:dyDescent="0.2">
      <c r="A1762" s="5">
        <v>1701</v>
      </c>
      <c r="B1762" s="138">
        <f>'Tax Sched 23'!D6</f>
        <v>233502</v>
      </c>
      <c r="C1762" s="2" t="s">
        <v>594</v>
      </c>
      <c r="D1762" s="2" t="str">
        <f t="shared" si="26"/>
        <v>Error?</v>
      </c>
      <c r="E1762" s="9"/>
    </row>
    <row r="1763" spans="1:5" x14ac:dyDescent="0.2">
      <c r="A1763" s="5">
        <v>1702</v>
      </c>
      <c r="B1763" s="138">
        <f>'Tax Sched 23'!D7</f>
        <v>85020</v>
      </c>
      <c r="C1763" s="2" t="s">
        <v>594</v>
      </c>
      <c r="D1763" s="2" t="str">
        <f t="shared" si="26"/>
        <v>Error?</v>
      </c>
    </row>
    <row r="1764" spans="1:5" x14ac:dyDescent="0.2">
      <c r="A1764" s="5">
        <v>1703</v>
      </c>
      <c r="B1764" s="138">
        <f>'Tax Sched 23'!D8</f>
        <v>54455</v>
      </c>
      <c r="C1764" s="2" t="s">
        <v>594</v>
      </c>
      <c r="D1764" s="2" t="str">
        <f t="shared" si="26"/>
        <v>Error?</v>
      </c>
    </row>
    <row r="1765" spans="1:5" x14ac:dyDescent="0.2">
      <c r="A1765" s="5">
        <v>1704</v>
      </c>
      <c r="B1765" s="138">
        <f>'Tax Sched 23'!D10</f>
        <v>21255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176539</v>
      </c>
      <c r="C1768" s="2" t="s">
        <v>594</v>
      </c>
      <c r="D1768" s="2" t="str">
        <f t="shared" si="26"/>
        <v>Error?</v>
      </c>
    </row>
    <row r="1769" spans="1:5" x14ac:dyDescent="0.2">
      <c r="A1769" s="5">
        <v>1708</v>
      </c>
      <c r="B1769" s="138">
        <f>'Tax Sched 23'!D12</f>
        <v>21255</v>
      </c>
      <c r="C1769" s="2" t="s">
        <v>594</v>
      </c>
      <c r="D1769" s="2" t="str">
        <f t="shared" si="26"/>
        <v>Error?</v>
      </c>
    </row>
    <row r="1770" spans="1:5" x14ac:dyDescent="0.2">
      <c r="A1770" s="5">
        <v>1709</v>
      </c>
      <c r="B1770" s="138">
        <f>'Tax Sched 23'!D14</f>
        <v>17004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2620558</v>
      </c>
      <c r="C1775" s="2" t="s">
        <v>594</v>
      </c>
      <c r="D1775" s="2" t="str">
        <f t="shared" si="26"/>
        <v>Error?</v>
      </c>
    </row>
    <row r="1776" spans="1:5" x14ac:dyDescent="0.2">
      <c r="A1776" s="5">
        <v>1715</v>
      </c>
      <c r="B1776" s="138">
        <f>'Tax Sched 23'!C4</f>
        <v>260393</v>
      </c>
      <c r="D1776" s="2" t="str">
        <f t="shared" si="26"/>
        <v>Error?</v>
      </c>
    </row>
    <row r="1777" spans="1:4" x14ac:dyDescent="0.2">
      <c r="A1777" s="5">
        <v>1716</v>
      </c>
      <c r="B1777" s="138">
        <f>'Tax Sched 23'!C5</f>
        <v>32549</v>
      </c>
      <c r="D1777" s="2" t="str">
        <f t="shared" si="26"/>
        <v>Error?</v>
      </c>
    </row>
    <row r="1778" spans="1:4" x14ac:dyDescent="0.2">
      <c r="A1778" s="5">
        <v>1717</v>
      </c>
      <c r="B1778" s="138">
        <f>'Tax Sched 23'!C6</f>
        <v>35723</v>
      </c>
      <c r="D1778" s="2" t="str">
        <f t="shared" si="26"/>
        <v>Error?</v>
      </c>
    </row>
    <row r="1779" spans="1:4" x14ac:dyDescent="0.2">
      <c r="A1779" s="5">
        <v>1718</v>
      </c>
      <c r="B1779" s="138">
        <f>'Tax Sched 23'!C7</f>
        <v>13020</v>
      </c>
      <c r="D1779" s="2" t="str">
        <f t="shared" si="26"/>
        <v>Error?</v>
      </c>
    </row>
    <row r="1780" spans="1:4" x14ac:dyDescent="0.2">
      <c r="A1780" s="5">
        <v>1719</v>
      </c>
      <c r="B1780" s="138">
        <f>'Tax Sched 23'!C8</f>
        <v>5684</v>
      </c>
      <c r="D1780" s="2" t="str">
        <f t="shared" si="26"/>
        <v>Error?</v>
      </c>
    </row>
    <row r="1781" spans="1:4" x14ac:dyDescent="0.2">
      <c r="A1781" s="5">
        <v>1720</v>
      </c>
      <c r="B1781" s="138">
        <f>'Tax Sched 23'!C10</f>
        <v>3255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32942</v>
      </c>
      <c r="D1784" s="2" t="str">
        <f t="shared" si="26"/>
        <v>Error?</v>
      </c>
    </row>
    <row r="1785" spans="1:4" x14ac:dyDescent="0.2">
      <c r="A1785" s="5">
        <v>1724</v>
      </c>
      <c r="B1785" s="138">
        <f>'Tax Sched 23'!C12</f>
        <v>3255</v>
      </c>
      <c r="D1785" s="2" t="str">
        <f t="shared" si="26"/>
        <v>Error?</v>
      </c>
    </row>
    <row r="1786" spans="1:4" x14ac:dyDescent="0.2">
      <c r="A1786" s="5">
        <v>1725</v>
      </c>
      <c r="B1786" s="138">
        <f>'Tax Sched 23'!C14</f>
        <v>2604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401207</v>
      </c>
      <c r="C1791" s="2" t="s">
        <v>594</v>
      </c>
      <c r="D1791" s="2" t="str">
        <f t="shared" ref="D1791:D1854" si="27">IF(ISBLANK(B1791),"OK",IF(A1791-B1791=0,"OK","Error?"))</f>
        <v>Error?</v>
      </c>
    </row>
    <row r="1792" spans="1:4" x14ac:dyDescent="0.2">
      <c r="A1792" s="5">
        <v>1731</v>
      </c>
      <c r="B1792" s="138">
        <f>'Tax Sched 23'!F4</f>
        <v>1755279</v>
      </c>
      <c r="C1792" s="2" t="s">
        <v>594</v>
      </c>
      <c r="D1792" s="2" t="str">
        <f t="shared" si="27"/>
        <v>Error?</v>
      </c>
    </row>
    <row r="1793" spans="1:4" x14ac:dyDescent="0.2">
      <c r="A1793" s="5">
        <v>1732</v>
      </c>
      <c r="B1793" s="138">
        <f>'Tax Sched 23'!F5</f>
        <v>219410</v>
      </c>
      <c r="C1793" s="2" t="s">
        <v>594</v>
      </c>
      <c r="D1793" s="2" t="str">
        <f t="shared" si="27"/>
        <v>Error?</v>
      </c>
    </row>
    <row r="1794" spans="1:4" x14ac:dyDescent="0.2">
      <c r="A1794" s="5">
        <v>1733</v>
      </c>
      <c r="B1794" s="138">
        <f>'Tax Sched 23'!F6</f>
        <v>240802</v>
      </c>
      <c r="C1794" s="2" t="s">
        <v>594</v>
      </c>
      <c r="D1794" s="2" t="str">
        <f t="shared" si="27"/>
        <v>Error?</v>
      </c>
    </row>
    <row r="1795" spans="1:4" x14ac:dyDescent="0.2">
      <c r="A1795" s="5">
        <v>1734</v>
      </c>
      <c r="B1795" s="138">
        <f>'Tax Sched 23'!F7</f>
        <v>87764</v>
      </c>
      <c r="C1795" s="2" t="s">
        <v>594</v>
      </c>
      <c r="D1795" s="2" t="str">
        <f t="shared" si="27"/>
        <v>Error?</v>
      </c>
    </row>
    <row r="1796" spans="1:4" x14ac:dyDescent="0.2">
      <c r="A1796" s="5">
        <v>1735</v>
      </c>
      <c r="B1796" s="138">
        <f>'Tax Sched 23'!F8</f>
        <v>38318</v>
      </c>
      <c r="C1796" s="2" t="s">
        <v>594</v>
      </c>
      <c r="D1796" s="2" t="str">
        <f t="shared" si="27"/>
        <v>Error?</v>
      </c>
    </row>
    <row r="1797" spans="1:4" x14ac:dyDescent="0.2">
      <c r="A1797" s="5">
        <v>1736</v>
      </c>
      <c r="B1797" s="138">
        <f>'Tax Sched 23'!F10</f>
        <v>21941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222061</v>
      </c>
      <c r="C1800" s="2" t="s">
        <v>594</v>
      </c>
      <c r="D1800" s="2" t="str">
        <f t="shared" si="27"/>
        <v>Error?</v>
      </c>
    </row>
    <row r="1801" spans="1:4" x14ac:dyDescent="0.2">
      <c r="A1801" s="5">
        <v>1740</v>
      </c>
      <c r="B1801" s="138">
        <f>'Tax Sched 23'!F12</f>
        <v>21941</v>
      </c>
      <c r="C1801" s="2" t="s">
        <v>594</v>
      </c>
      <c r="D1801" s="2" t="str">
        <f t="shared" si="27"/>
        <v>Error?</v>
      </c>
    </row>
    <row r="1802" spans="1:4" x14ac:dyDescent="0.2">
      <c r="A1802" s="5">
        <v>1741</v>
      </c>
      <c r="B1802" s="138">
        <f>'Tax Sched 23'!F14</f>
        <v>17553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2704486</v>
      </c>
      <c r="C1807" s="2" t="s">
        <v>594</v>
      </c>
      <c r="D1807" s="2" t="str">
        <f t="shared" si="27"/>
        <v>Error?</v>
      </c>
    </row>
    <row r="1808" spans="1:4" x14ac:dyDescent="0.2">
      <c r="A1808" s="5">
        <v>1747</v>
      </c>
      <c r="B1808" s="138">
        <f>'Tax Sched 23'!E4</f>
        <v>2015672</v>
      </c>
      <c r="D1808" s="2" t="str">
        <f t="shared" si="27"/>
        <v>Error?</v>
      </c>
    </row>
    <row r="1809" spans="1:4" x14ac:dyDescent="0.2">
      <c r="A1809" s="5">
        <v>1748</v>
      </c>
      <c r="B1809" s="138">
        <f>'Tax Sched 23'!E5</f>
        <v>251959</v>
      </c>
      <c r="D1809" s="2" t="str">
        <f t="shared" si="27"/>
        <v>Error?</v>
      </c>
    </row>
    <row r="1810" spans="1:4" x14ac:dyDescent="0.2">
      <c r="A1810" s="5">
        <v>1749</v>
      </c>
      <c r="B1810" s="138">
        <f>'Tax Sched 23'!E6</f>
        <v>276525</v>
      </c>
      <c r="D1810" s="2" t="str">
        <f t="shared" si="27"/>
        <v>Error?</v>
      </c>
    </row>
    <row r="1811" spans="1:4" x14ac:dyDescent="0.2">
      <c r="A1811" s="5">
        <v>1750</v>
      </c>
      <c r="B1811" s="138">
        <f>'Tax Sched 23'!E7</f>
        <v>100784</v>
      </c>
      <c r="D1811" s="2" t="str">
        <f t="shared" si="27"/>
        <v>Error?</v>
      </c>
    </row>
    <row r="1812" spans="1:4" x14ac:dyDescent="0.2">
      <c r="A1812" s="5">
        <v>1751</v>
      </c>
      <c r="B1812" s="138">
        <f>'Tax Sched 23'!E8</f>
        <v>44002</v>
      </c>
      <c r="D1812" s="2" t="str">
        <f t="shared" si="27"/>
        <v>Error?</v>
      </c>
    </row>
    <row r="1813" spans="1:4" x14ac:dyDescent="0.2">
      <c r="A1813" s="5">
        <v>1752</v>
      </c>
      <c r="B1813" s="138">
        <f>'Tax Sched 23'!E10</f>
        <v>25196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255003</v>
      </c>
      <c r="D1816" s="2" t="str">
        <f t="shared" si="27"/>
        <v>Error?</v>
      </c>
    </row>
    <row r="1817" spans="1:4" x14ac:dyDescent="0.2">
      <c r="A1817" s="5">
        <v>1756</v>
      </c>
      <c r="B1817" s="138">
        <f>'Tax Sched 23'!E12</f>
        <v>25196</v>
      </c>
      <c r="D1817" s="2" t="str">
        <f t="shared" si="27"/>
        <v>Error?</v>
      </c>
    </row>
    <row r="1818" spans="1:4" x14ac:dyDescent="0.2">
      <c r="A1818" s="5">
        <v>1757</v>
      </c>
      <c r="B1818" s="138">
        <f>'Tax Sched 23'!E14</f>
        <v>20157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3105693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2205000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19608</v>
      </c>
      <c r="D1972" s="2" t="str">
        <f t="shared" si="29"/>
        <v>Error?</v>
      </c>
    </row>
    <row r="1973" spans="1:5" x14ac:dyDescent="0.2">
      <c r="A1973" s="5">
        <v>1912</v>
      </c>
      <c r="B1973" s="138">
        <f>'Rest Tax Levies-Tort Im 25'!H6</f>
        <v>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19617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19617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136694</v>
      </c>
      <c r="D2008" s="2" t="str">
        <f t="shared" si="30"/>
        <v>Error?</v>
      </c>
    </row>
    <row r="2009" spans="1:4" x14ac:dyDescent="0.2">
      <c r="A2009" s="5">
        <v>1948</v>
      </c>
      <c r="B2009" s="138">
        <f>'Cap Outlay Deprec 26'!C8</f>
        <v>4259455</v>
      </c>
      <c r="D2009" s="2" t="str">
        <f t="shared" si="30"/>
        <v>Error?</v>
      </c>
    </row>
    <row r="2010" spans="1:4" x14ac:dyDescent="0.2">
      <c r="A2010" s="5">
        <v>1949</v>
      </c>
      <c r="B2010" s="138">
        <f>'Cap Outlay Deprec 26'!C10</f>
        <v>3042399</v>
      </c>
      <c r="D2010" s="2" t="str">
        <f t="shared" si="30"/>
        <v>Error?</v>
      </c>
    </row>
    <row r="2011" spans="1:4" x14ac:dyDescent="0.2">
      <c r="A2011" s="5">
        <v>1950</v>
      </c>
      <c r="B2011" s="138">
        <f>'Cap Outlay Deprec 26'!C12</f>
        <v>117134</v>
      </c>
      <c r="D2011" s="2" t="str">
        <f t="shared" si="30"/>
        <v>Error?</v>
      </c>
    </row>
    <row r="2012" spans="1:4" x14ac:dyDescent="0.2">
      <c r="A2012" s="5">
        <v>1951</v>
      </c>
      <c r="B2012" s="138">
        <f>'Cap Outlay Deprec 26'!C13</f>
        <v>752396</v>
      </c>
      <c r="D2012" s="2" t="str">
        <f t="shared" si="30"/>
        <v>Error?</v>
      </c>
    </row>
    <row r="2013" spans="1:4" x14ac:dyDescent="0.2">
      <c r="A2013" s="5">
        <v>1952</v>
      </c>
      <c r="B2013" s="138">
        <f>'Cap Outlay Deprec 26'!C16</f>
        <v>8327674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11115</v>
      </c>
      <c r="D2015" s="2" t="str">
        <f t="shared" si="30"/>
        <v>Error?</v>
      </c>
    </row>
    <row r="2016" spans="1:4" x14ac:dyDescent="0.2">
      <c r="A2016" s="5">
        <v>1955</v>
      </c>
      <c r="B2016" s="138">
        <f>'Cap Outlay Deprec 26'!D10</f>
        <v>7526</v>
      </c>
      <c r="D2016" s="2" t="str">
        <f t="shared" si="30"/>
        <v>Error?</v>
      </c>
    </row>
    <row r="2017" spans="1:4" x14ac:dyDescent="0.2">
      <c r="A2017" s="5">
        <v>1956</v>
      </c>
      <c r="B2017" s="138">
        <f>'Cap Outlay Deprec 26'!D12</f>
        <v>30206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48847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4600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4600</v>
      </c>
      <c r="C2025" s="2" t="s">
        <v>594</v>
      </c>
      <c r="D2025" s="2" t="str">
        <f t="shared" si="30"/>
        <v>Error?</v>
      </c>
    </row>
    <row r="2026" spans="1:4" x14ac:dyDescent="0.2">
      <c r="A2026" s="5">
        <v>1965</v>
      </c>
      <c r="B2026" s="138">
        <f>'Cap Outlay Deprec 26'!F5</f>
        <v>136694</v>
      </c>
      <c r="C2026" s="2" t="s">
        <v>594</v>
      </c>
      <c r="D2026" s="2" t="str">
        <f t="shared" si="30"/>
        <v>Error?</v>
      </c>
    </row>
    <row r="2027" spans="1:4" x14ac:dyDescent="0.2">
      <c r="A2027" s="5">
        <v>1966</v>
      </c>
      <c r="B2027" s="138">
        <f>'Cap Outlay Deprec 26'!F8</f>
        <v>4270570</v>
      </c>
      <c r="C2027" s="2" t="s">
        <v>594</v>
      </c>
      <c r="D2027" s="2" t="str">
        <f t="shared" si="30"/>
        <v>Error?</v>
      </c>
    </row>
    <row r="2028" spans="1:4" x14ac:dyDescent="0.2">
      <c r="A2028" s="5">
        <v>1967</v>
      </c>
      <c r="B2028" s="138">
        <f>'Cap Outlay Deprec 26'!F10</f>
        <v>3049925</v>
      </c>
      <c r="C2028" s="2" t="s">
        <v>594</v>
      </c>
      <c r="D2028" s="2" t="str">
        <f t="shared" si="30"/>
        <v>Error?</v>
      </c>
    </row>
    <row r="2029" spans="1:4" x14ac:dyDescent="0.2">
      <c r="A2029" s="5">
        <v>1968</v>
      </c>
      <c r="B2029" s="138">
        <f>'Cap Outlay Deprec 26'!F12</f>
        <v>142740</v>
      </c>
      <c r="C2029" s="2" t="s">
        <v>594</v>
      </c>
      <c r="D2029" s="2" t="str">
        <f t="shared" si="30"/>
        <v>Error?</v>
      </c>
    </row>
    <row r="2030" spans="1:4" x14ac:dyDescent="0.2">
      <c r="A2030" s="5">
        <v>1969</v>
      </c>
      <c r="B2030" s="138">
        <f>'Cap Outlay Deprec 26'!F13</f>
        <v>752396</v>
      </c>
      <c r="C2030" s="2" t="s">
        <v>594</v>
      </c>
      <c r="D2030" s="2" t="str">
        <f t="shared" si="30"/>
        <v>Error?</v>
      </c>
    </row>
    <row r="2031" spans="1:4" x14ac:dyDescent="0.2">
      <c r="A2031" s="5">
        <v>1970</v>
      </c>
      <c r="B2031" s="138">
        <f>'Cap Outlay Deprec 26'!F16</f>
        <v>8371921</v>
      </c>
      <c r="C2031" s="2" t="s">
        <v>594</v>
      </c>
      <c r="D2031" s="2" t="str">
        <f t="shared" si="30"/>
        <v>Error?</v>
      </c>
    </row>
    <row r="2032" spans="1:4" x14ac:dyDescent="0.2">
      <c r="A2032" s="10">
        <v>1971</v>
      </c>
      <c r="D2032" s="2" t="str">
        <f t="shared" si="30"/>
        <v>OK</v>
      </c>
    </row>
    <row r="2033" spans="1:4" x14ac:dyDescent="0.2">
      <c r="A2033" s="5">
        <v>1972</v>
      </c>
      <c r="B2033" s="138">
        <f>'Cap Outlay Deprec 26'!H8</f>
        <v>2291710</v>
      </c>
      <c r="D2033" s="2" t="str">
        <f t="shared" si="30"/>
        <v>Error?</v>
      </c>
    </row>
    <row r="2034" spans="1:4" x14ac:dyDescent="0.2">
      <c r="A2034" s="5">
        <v>1973</v>
      </c>
      <c r="B2034" s="138">
        <f>'Cap Outlay Deprec 26'!H10</f>
        <v>887970</v>
      </c>
      <c r="D2034" s="2" t="str">
        <f t="shared" si="30"/>
        <v>Error?</v>
      </c>
    </row>
    <row r="2035" spans="1:4" x14ac:dyDescent="0.2">
      <c r="A2035" s="5">
        <v>1974</v>
      </c>
      <c r="B2035" s="138">
        <f>'Cap Outlay Deprec 26'!H12</f>
        <v>38004</v>
      </c>
      <c r="D2035" s="2" t="str">
        <f t="shared" si="30"/>
        <v>Error?</v>
      </c>
    </row>
    <row r="2036" spans="1:4" x14ac:dyDescent="0.2">
      <c r="A2036" s="5">
        <v>1975</v>
      </c>
      <c r="B2036" s="138">
        <f>'Cap Outlay Deprec 26'!H13</f>
        <v>708351</v>
      </c>
      <c r="D2036" s="2" t="str">
        <f t="shared" si="30"/>
        <v>Error?</v>
      </c>
    </row>
    <row r="2037" spans="1:4" x14ac:dyDescent="0.2">
      <c r="A2037" s="5">
        <v>1976</v>
      </c>
      <c r="B2037" s="138">
        <f>'Cap Outlay Deprec 26'!H16</f>
        <v>3945631</v>
      </c>
      <c r="C2037" s="2" t="s">
        <v>594</v>
      </c>
      <c r="D2037" s="2" t="str">
        <f t="shared" si="30"/>
        <v>Error?</v>
      </c>
    </row>
    <row r="2038" spans="1:4" x14ac:dyDescent="0.2">
      <c r="A2038" s="10">
        <v>1977</v>
      </c>
      <c r="D2038" s="2" t="str">
        <f t="shared" si="30"/>
        <v>OK</v>
      </c>
    </row>
    <row r="2039" spans="1:4" x14ac:dyDescent="0.2">
      <c r="A2039" s="5">
        <v>1978</v>
      </c>
      <c r="B2039" s="138">
        <f>'Cap Outlay Deprec 26'!I8</f>
        <v>60739</v>
      </c>
      <c r="D2039" s="2" t="str">
        <f t="shared" si="30"/>
        <v>Error?</v>
      </c>
    </row>
    <row r="2040" spans="1:4" x14ac:dyDescent="0.2">
      <c r="A2040" s="5">
        <v>1979</v>
      </c>
      <c r="B2040" s="138">
        <f>'Cap Outlay Deprec 26'!I10</f>
        <v>146095</v>
      </c>
      <c r="D2040" s="2" t="str">
        <f t="shared" si="30"/>
        <v>Error?</v>
      </c>
    </row>
    <row r="2041" spans="1:4" x14ac:dyDescent="0.2">
      <c r="A2041" s="5">
        <v>1980</v>
      </c>
      <c r="B2041" s="138">
        <f>'Cap Outlay Deprec 26'!I12</f>
        <v>13476</v>
      </c>
      <c r="D2041" s="2" t="str">
        <f t="shared" si="30"/>
        <v>Error?</v>
      </c>
    </row>
    <row r="2042" spans="1:4" x14ac:dyDescent="0.2">
      <c r="A2042" s="5">
        <v>1981</v>
      </c>
      <c r="B2042" s="138">
        <f>'Cap Outlay Deprec 26'!I13</f>
        <v>20215</v>
      </c>
      <c r="D2042" s="2" t="str">
        <f t="shared" si="30"/>
        <v>Error?</v>
      </c>
    </row>
    <row r="2043" spans="1:4" x14ac:dyDescent="0.2">
      <c r="A2043" s="5">
        <v>1982</v>
      </c>
      <c r="B2043" s="138">
        <f>'Cap Outlay Deprec 26'!I16</f>
        <v>240525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4600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4600</v>
      </c>
      <c r="C2049" s="2" t="s">
        <v>594</v>
      </c>
      <c r="D2049" s="2" t="str">
        <f t="shared" si="31"/>
        <v>Error?</v>
      </c>
    </row>
    <row r="2050" spans="1:4" x14ac:dyDescent="0.2">
      <c r="A2050" s="10">
        <v>1989</v>
      </c>
      <c r="D2050" s="2" t="str">
        <f t="shared" si="31"/>
        <v>OK</v>
      </c>
    </row>
    <row r="2051" spans="1:4" x14ac:dyDescent="0.2">
      <c r="A2051" s="5">
        <v>1990</v>
      </c>
      <c r="B2051" s="138">
        <f>'Cap Outlay Deprec 26'!K8</f>
        <v>2352449</v>
      </c>
      <c r="C2051" s="2" t="s">
        <v>594</v>
      </c>
      <c r="D2051" s="2" t="str">
        <f t="shared" si="31"/>
        <v>Error?</v>
      </c>
    </row>
    <row r="2052" spans="1:4" x14ac:dyDescent="0.2">
      <c r="A2052" s="5">
        <v>1991</v>
      </c>
      <c r="B2052" s="138">
        <f>'Cap Outlay Deprec 26'!K10</f>
        <v>1034065</v>
      </c>
      <c r="C2052" s="2" t="s">
        <v>594</v>
      </c>
      <c r="D2052" s="2" t="str">
        <f t="shared" si="31"/>
        <v>Error?</v>
      </c>
    </row>
    <row r="2053" spans="1:4" x14ac:dyDescent="0.2">
      <c r="A2053" s="5">
        <v>1992</v>
      </c>
      <c r="B2053" s="138">
        <f>'Cap Outlay Deprec 26'!K12</f>
        <v>46880</v>
      </c>
      <c r="C2053" s="2" t="s">
        <v>594</v>
      </c>
      <c r="D2053" s="2" t="str">
        <f t="shared" si="31"/>
        <v>Error?</v>
      </c>
    </row>
    <row r="2054" spans="1:4" x14ac:dyDescent="0.2">
      <c r="A2054" s="5">
        <v>1993</v>
      </c>
      <c r="B2054" s="138">
        <f>'Cap Outlay Deprec 26'!K13</f>
        <v>728566</v>
      </c>
      <c r="C2054" s="2" t="s">
        <v>594</v>
      </c>
      <c r="D2054" s="2" t="str">
        <f t="shared" si="31"/>
        <v>Error?</v>
      </c>
    </row>
    <row r="2055" spans="1:4" x14ac:dyDescent="0.2">
      <c r="A2055" s="5">
        <v>1994</v>
      </c>
      <c r="B2055" s="138">
        <f>'Cap Outlay Deprec 26'!K16</f>
        <v>4181556</v>
      </c>
      <c r="C2055" s="2" t="s">
        <v>594</v>
      </c>
      <c r="D2055" s="2" t="str">
        <f t="shared" si="31"/>
        <v>Error?</v>
      </c>
    </row>
    <row r="2056" spans="1:4" x14ac:dyDescent="0.2">
      <c r="A2056" s="5">
        <v>1995</v>
      </c>
      <c r="B2056" s="138">
        <f>'Cap Outlay Deprec 26'!L5</f>
        <v>136694</v>
      </c>
      <c r="C2056" s="2" t="s">
        <v>594</v>
      </c>
      <c r="D2056" s="2" t="str">
        <f t="shared" si="31"/>
        <v>Error?</v>
      </c>
    </row>
    <row r="2057" spans="1:4" x14ac:dyDescent="0.2">
      <c r="A2057" s="5">
        <v>1996</v>
      </c>
      <c r="B2057" s="138">
        <f>'Cap Outlay Deprec 26'!L8</f>
        <v>1918121</v>
      </c>
      <c r="C2057" s="2" t="s">
        <v>594</v>
      </c>
      <c r="D2057" s="2" t="str">
        <f t="shared" si="31"/>
        <v>Error?</v>
      </c>
    </row>
    <row r="2058" spans="1:4" x14ac:dyDescent="0.2">
      <c r="A2058" s="5">
        <v>1997</v>
      </c>
      <c r="B2058" s="138">
        <f>'Cap Outlay Deprec 26'!L10</f>
        <v>2015860</v>
      </c>
      <c r="C2058" s="2" t="s">
        <v>594</v>
      </c>
      <c r="D2058" s="2" t="str">
        <f t="shared" si="31"/>
        <v>Error?</v>
      </c>
    </row>
    <row r="2059" spans="1:4" x14ac:dyDescent="0.2">
      <c r="A2059" s="5">
        <v>1998</v>
      </c>
      <c r="B2059" s="138">
        <f>'Cap Outlay Deprec 26'!L12</f>
        <v>95860</v>
      </c>
      <c r="C2059" s="2" t="s">
        <v>594</v>
      </c>
      <c r="D2059" s="2" t="str">
        <f t="shared" si="31"/>
        <v>Error?</v>
      </c>
    </row>
    <row r="2060" spans="1:4" x14ac:dyDescent="0.2">
      <c r="A2060" s="5">
        <v>1999</v>
      </c>
      <c r="B2060" s="138">
        <f>'Cap Outlay Deprec 26'!L13</f>
        <v>23830</v>
      </c>
      <c r="C2060" s="2" t="s">
        <v>594</v>
      </c>
      <c r="D2060" s="2" t="str">
        <f t="shared" si="31"/>
        <v>Error?</v>
      </c>
    </row>
    <row r="2061" spans="1:4" x14ac:dyDescent="0.2">
      <c r="A2061" s="5">
        <v>2000</v>
      </c>
      <c r="B2061" s="138">
        <f>'Cap Outlay Deprec 26'!L16</f>
        <v>4190365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93222</v>
      </c>
      <c r="C2088" s="2" t="s">
        <v>594</v>
      </c>
      <c r="D2088" s="2" t="str">
        <f t="shared" si="31"/>
        <v>Error?</v>
      </c>
    </row>
    <row r="2089" spans="1:4" x14ac:dyDescent="0.2">
      <c r="A2089" s="5">
        <v>2028</v>
      </c>
      <c r="B2089" s="138">
        <f>'Expenditures 15-22'!K92</f>
        <v>118884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42369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82730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2202730</v>
      </c>
      <c r="C2551" s="2" t="s">
        <v>594</v>
      </c>
      <c r="D2551" s="2" t="str">
        <f t="shared" si="38"/>
        <v>Error?</v>
      </c>
    </row>
    <row r="2552" spans="1:4" x14ac:dyDescent="0.2">
      <c r="A2552" s="10">
        <v>2491</v>
      </c>
      <c r="D2552" s="2" t="str">
        <f t="shared" si="38"/>
        <v>OK</v>
      </c>
    </row>
    <row r="2553" spans="1:4" x14ac:dyDescent="0.2">
      <c r="A2553" s="5">
        <v>2492</v>
      </c>
      <c r="B2553" s="138">
        <f>'Acct Summary 7-8'!C6</f>
        <v>409473</v>
      </c>
      <c r="C2553" s="2" t="s">
        <v>594</v>
      </c>
      <c r="D2553" s="2" t="str">
        <f t="shared" si="38"/>
        <v>Error?</v>
      </c>
    </row>
    <row r="2554" spans="1:4" x14ac:dyDescent="0.2">
      <c r="A2554" s="5">
        <v>2493</v>
      </c>
      <c r="B2554" s="138">
        <f>'Acct Summary 7-8'!C7</f>
        <v>221030</v>
      </c>
      <c r="C2554" s="2" t="s">
        <v>594</v>
      </c>
      <c r="D2554" s="2" t="str">
        <f t="shared" si="38"/>
        <v>Error?</v>
      </c>
    </row>
    <row r="2555" spans="1:4" x14ac:dyDescent="0.2">
      <c r="A2555" s="5">
        <v>2494</v>
      </c>
      <c r="B2555" s="138">
        <f>'Acct Summary 7-8'!C8</f>
        <v>2833233</v>
      </c>
      <c r="C2555" s="2" t="s">
        <v>594</v>
      </c>
      <c r="D2555" s="2" t="str">
        <f t="shared" si="38"/>
        <v>Error?</v>
      </c>
    </row>
    <row r="2556" spans="1:4" x14ac:dyDescent="0.2">
      <c r="A2556" s="5">
        <v>2495</v>
      </c>
      <c r="B2556" s="138">
        <f>'Acct Summary 7-8'!C12</f>
        <v>1718214</v>
      </c>
      <c r="C2556" s="2" t="s">
        <v>594</v>
      </c>
      <c r="D2556" s="2" t="str">
        <f t="shared" si="38"/>
        <v>Error?</v>
      </c>
    </row>
    <row r="2557" spans="1:4" x14ac:dyDescent="0.2">
      <c r="A2557" s="5">
        <v>2496</v>
      </c>
      <c r="B2557" s="138">
        <f>'Acct Summary 7-8'!C13</f>
        <v>681761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212106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2612081</v>
      </c>
      <c r="C2561" s="2" t="s">
        <v>594</v>
      </c>
      <c r="D2561" s="2" t="str">
        <f t="shared" si="39"/>
        <v>Error?</v>
      </c>
    </row>
    <row r="2562" spans="1:4" x14ac:dyDescent="0.2">
      <c r="A2562" s="5">
        <v>2501</v>
      </c>
      <c r="B2562" s="138">
        <f>'Acct Summary 7-8'!C20</f>
        <v>221152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258677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258677</v>
      </c>
      <c r="C2568" s="2" t="s">
        <v>594</v>
      </c>
      <c r="D2568" s="2" t="str">
        <f t="shared" si="39"/>
        <v>Error?</v>
      </c>
    </row>
    <row r="2569" spans="1:4" x14ac:dyDescent="0.2">
      <c r="A2569" s="5">
        <v>2508</v>
      </c>
      <c r="B2569" s="138">
        <f>'Acct Summary 7-8'!D13</f>
        <v>268596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268596</v>
      </c>
      <c r="C2573" s="2" t="s">
        <v>594</v>
      </c>
      <c r="D2573" s="2" t="str">
        <f t="shared" si="39"/>
        <v>Error?</v>
      </c>
    </row>
    <row r="2574" spans="1:4" x14ac:dyDescent="0.2">
      <c r="A2574" s="5">
        <v>2513</v>
      </c>
      <c r="B2574" s="138">
        <f>'Acct Summary 7-8'!D20</f>
        <v>-9919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102144</v>
      </c>
      <c r="C2591" s="2" t="s">
        <v>594</v>
      </c>
      <c r="D2591" s="2" t="str">
        <f t="shared" si="39"/>
        <v>Error?</v>
      </c>
    </row>
    <row r="2592" spans="1:4" x14ac:dyDescent="0.2">
      <c r="A2592" s="10">
        <v>2531</v>
      </c>
      <c r="D2592" s="2" t="str">
        <f t="shared" si="39"/>
        <v>OK</v>
      </c>
    </row>
    <row r="2593" spans="1:4" x14ac:dyDescent="0.2">
      <c r="A2593" s="5">
        <v>2532</v>
      </c>
      <c r="B2593" s="138">
        <f>'Acct Summary 7-8'!F6</f>
        <v>107646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209790</v>
      </c>
      <c r="C2595" s="2" t="s">
        <v>594</v>
      </c>
      <c r="D2595" s="2" t="str">
        <f t="shared" si="39"/>
        <v>Error?</v>
      </c>
    </row>
    <row r="2596" spans="1:4" x14ac:dyDescent="0.2">
      <c r="A2596" s="5">
        <v>2535</v>
      </c>
      <c r="B2596" s="138">
        <f>'Acct Summary 7-8'!F13</f>
        <v>193582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193582</v>
      </c>
      <c r="C2600" s="2" t="s">
        <v>594</v>
      </c>
      <c r="D2600" s="2" t="str">
        <f t="shared" si="39"/>
        <v>Error?</v>
      </c>
    </row>
    <row r="2601" spans="1:4" x14ac:dyDescent="0.2">
      <c r="A2601" s="5">
        <v>2540</v>
      </c>
      <c r="B2601" s="138">
        <f>'Acct Summary 7-8'!F20</f>
        <v>16208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154855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154855</v>
      </c>
      <c r="C2606" s="2" t="s">
        <v>594</v>
      </c>
      <c r="D2606" s="2" t="str">
        <f t="shared" si="39"/>
        <v>Error?</v>
      </c>
    </row>
    <row r="2607" spans="1:4" x14ac:dyDescent="0.2">
      <c r="A2607" s="5">
        <v>2546</v>
      </c>
      <c r="B2607" s="138">
        <f>'Acct Summary 7-8'!G12</f>
        <v>35372</v>
      </c>
      <c r="C2607" s="2" t="s">
        <v>594</v>
      </c>
      <c r="D2607" s="2" t="str">
        <f t="shared" si="39"/>
        <v>Error?</v>
      </c>
    </row>
    <row r="2608" spans="1:4" x14ac:dyDescent="0.2">
      <c r="A2608" s="5">
        <v>2547</v>
      </c>
      <c r="B2608" s="138">
        <f>'Acct Summary 7-8'!G13</f>
        <v>63429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98801</v>
      </c>
      <c r="C2612" s="2" t="s">
        <v>594</v>
      </c>
      <c r="D2612" s="2" t="str">
        <f t="shared" si="39"/>
        <v>Error?</v>
      </c>
    </row>
    <row r="2613" spans="1:4" x14ac:dyDescent="0.2">
      <c r="A2613" s="5">
        <v>2552</v>
      </c>
      <c r="B2613" s="138">
        <f>'Acct Summary 7-8'!G20</f>
        <v>56054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269406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269406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265670</v>
      </c>
      <c r="C2634" s="2" t="s">
        <v>594</v>
      </c>
      <c r="D2634" s="2" t="str">
        <f t="shared" si="40"/>
        <v>Error?</v>
      </c>
    </row>
    <row r="2635" spans="1:4" x14ac:dyDescent="0.2">
      <c r="A2635" s="5">
        <v>2574</v>
      </c>
      <c r="B2635" s="138">
        <f>'Acct Summary 7-8'!E17</f>
        <v>265670</v>
      </c>
      <c r="C2635" s="2" t="s">
        <v>594</v>
      </c>
      <c r="D2635" s="2" t="str">
        <f t="shared" si="40"/>
        <v>Error?</v>
      </c>
    </row>
    <row r="2636" spans="1:4" x14ac:dyDescent="0.2">
      <c r="A2636" s="5">
        <v>2575</v>
      </c>
      <c r="B2636" s="138">
        <f>'Acct Summary 7-8'!E20</f>
        <v>3736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93222</v>
      </c>
      <c r="C2789" s="2" t="s">
        <v>594</v>
      </c>
      <c r="D2789" s="2" t="str">
        <f t="shared" si="42"/>
        <v>Error?</v>
      </c>
    </row>
    <row r="2790" spans="1:4" x14ac:dyDescent="0.2">
      <c r="A2790" s="5">
        <v>2729</v>
      </c>
      <c r="B2790" s="138">
        <f>'Expenditures 15-22'!E102</f>
        <v>93222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762446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877848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125457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877848</v>
      </c>
      <c r="D2912" s="2" t="str">
        <f t="shared" si="44"/>
        <v>Error?</v>
      </c>
    </row>
    <row r="2913" spans="1:4" x14ac:dyDescent="0.2">
      <c r="A2913" s="5">
        <v>2852</v>
      </c>
      <c r="B2913" s="138">
        <f>'Assets-Liab 5-6'!I41</f>
        <v>877848</v>
      </c>
      <c r="C2913" s="2" t="s">
        <v>594</v>
      </c>
      <c r="D2913" s="2" t="str">
        <f t="shared" si="44"/>
        <v>Error?</v>
      </c>
    </row>
    <row r="2914" spans="1:4" x14ac:dyDescent="0.2">
      <c r="A2914" s="5">
        <v>2853</v>
      </c>
      <c r="B2914" s="138">
        <f>'Assets-Liab 5-6'!L33</f>
        <v>46299</v>
      </c>
      <c r="D2914" s="2" t="str">
        <f t="shared" si="44"/>
        <v>Error?</v>
      </c>
    </row>
    <row r="2915" spans="1:4" x14ac:dyDescent="0.2">
      <c r="A2915" s="10">
        <v>2854</v>
      </c>
      <c r="D2915" s="2" t="str">
        <f t="shared" si="44"/>
        <v>OK</v>
      </c>
    </row>
    <row r="2916" spans="1:4" x14ac:dyDescent="0.2">
      <c r="A2916" s="5">
        <v>2855</v>
      </c>
      <c r="B2916" s="138">
        <f>'Assets-Liab 5-6'!L34</f>
        <v>46299</v>
      </c>
      <c r="C2916" s="2" t="s">
        <v>594</v>
      </c>
      <c r="D2916" s="2" t="str">
        <f t="shared" si="44"/>
        <v>Error?</v>
      </c>
    </row>
    <row r="2917" spans="1:4" x14ac:dyDescent="0.2">
      <c r="A2917" s="5">
        <v>2856</v>
      </c>
      <c r="B2917" s="138">
        <f>'Assets-Liab 5-6'!L41</f>
        <v>125457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66041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27181</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66041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27181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45720</v>
      </c>
      <c r="D3055" s="2" t="str">
        <f t="shared" si="46"/>
        <v>Error?</v>
      </c>
    </row>
    <row r="3056" spans="1:4" x14ac:dyDescent="0.2">
      <c r="A3056" s="5">
        <v>2995</v>
      </c>
      <c r="B3056" s="138">
        <f>'Expenditures 15-22'!D10</f>
        <v>3714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2823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52257</v>
      </c>
      <c r="C3062" s="2" t="s">
        <v>594</v>
      </c>
      <c r="D3062" s="2" t="str">
        <f t="shared" si="46"/>
        <v>Error?</v>
      </c>
    </row>
    <row r="3063" spans="1:4" x14ac:dyDescent="0.2">
      <c r="A3063" s="10">
        <v>3002</v>
      </c>
      <c r="D3063" s="2" t="str">
        <f t="shared" si="46"/>
        <v>OK</v>
      </c>
    </row>
    <row r="3064" spans="1:4" x14ac:dyDescent="0.2">
      <c r="A3064" s="5">
        <v>3003</v>
      </c>
      <c r="B3064" s="138">
        <f>'Expenditures 15-22'!D219</f>
        <v>4514</v>
      </c>
      <c r="D3064" s="2" t="str">
        <f t="shared" si="46"/>
        <v>Error?</v>
      </c>
    </row>
    <row r="3065" spans="1:4" x14ac:dyDescent="0.2">
      <c r="A3065" s="5">
        <v>3004</v>
      </c>
      <c r="B3065" s="138">
        <f>'Expenditures 15-22'!K219</f>
        <v>4514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79158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34043</v>
      </c>
      <c r="C3225" s="2" t="s">
        <v>594</v>
      </c>
      <c r="D3225" s="2" t="str">
        <f t="shared" si="49"/>
        <v>Error?</v>
      </c>
    </row>
    <row r="3226" spans="1:4" x14ac:dyDescent="0.2">
      <c r="A3226" s="5">
        <v>3165</v>
      </c>
      <c r="B3226" s="138">
        <f>'Acct Summary 7-8'!I8</f>
        <v>34043</v>
      </c>
      <c r="C3226" s="2" t="s">
        <v>594</v>
      </c>
      <c r="D3226" s="2" t="str">
        <f t="shared" si="49"/>
        <v>Error?</v>
      </c>
    </row>
    <row r="3227" spans="1:4" x14ac:dyDescent="0.2">
      <c r="A3227" s="5">
        <v>3166</v>
      </c>
      <c r="B3227" s="138">
        <f>'Acct Summary 7-8'!I20</f>
        <v>34043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221152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-9919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16208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56054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3736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34043</v>
      </c>
      <c r="C3320" s="2" t="s">
        <v>594</v>
      </c>
      <c r="D3320" s="2" t="str">
        <f t="shared" si="50"/>
        <v>Error?</v>
      </c>
    </row>
    <row r="3321" spans="1:4" x14ac:dyDescent="0.2">
      <c r="A3321" s="5">
        <v>3260</v>
      </c>
      <c r="B3321" s="138">
        <f>'Acct Summary 7-8'!I79</f>
        <v>843805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877848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256589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64486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27357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18135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372206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16096</v>
      </c>
      <c r="D3387" s="2" t="str">
        <f t="shared" si="51"/>
        <v>Error?</v>
      </c>
    </row>
    <row r="3388" spans="1:4" x14ac:dyDescent="0.2">
      <c r="A3388" s="5">
        <v>3327</v>
      </c>
      <c r="B3388" s="138">
        <f>'Expenditures 15-22'!D217</f>
        <v>12972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16096</v>
      </c>
      <c r="C3390" s="2" t="s">
        <v>594</v>
      </c>
      <c r="D3390" s="2" t="str">
        <f t="shared" si="51"/>
        <v>Error?</v>
      </c>
    </row>
    <row r="3391" spans="1:4" x14ac:dyDescent="0.2">
      <c r="A3391" s="5">
        <v>3330</v>
      </c>
      <c r="B3391" s="138">
        <f>'Expenditures 15-22'!K217</f>
        <v>12972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415607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90415</v>
      </c>
      <c r="D3417" s="2" t="str">
        <f t="shared" si="52"/>
        <v>Error?</v>
      </c>
    </row>
    <row r="3418" spans="1:4" x14ac:dyDescent="0.2">
      <c r="A3418" s="10">
        <v>3357</v>
      </c>
      <c r="D3418" s="2" t="str">
        <f t="shared" si="52"/>
        <v>OK</v>
      </c>
    </row>
    <row r="3419" spans="1:4" x14ac:dyDescent="0.2">
      <c r="A3419" s="5">
        <v>3358</v>
      </c>
      <c r="B3419" s="138">
        <f>'Assets-Liab 5-6'!F4</f>
        <v>221261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116731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115402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125457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85861</v>
      </c>
      <c r="C3446" s="2" t="s">
        <v>594</v>
      </c>
      <c r="D3446" s="2" t="str">
        <f t="shared" si="52"/>
        <v>Error?</v>
      </c>
    </row>
    <row r="3447" spans="1:4" x14ac:dyDescent="0.2">
      <c r="A3447" s="5">
        <v>3386</v>
      </c>
      <c r="B3447" s="138">
        <f>'Tax Sched 23'!D16</f>
        <v>77334</v>
      </c>
      <c r="C3447" s="2" t="s">
        <v>594</v>
      </c>
      <c r="D3447" s="2" t="str">
        <f t="shared" si="52"/>
        <v>Error?</v>
      </c>
    </row>
    <row r="3448" spans="1:4" x14ac:dyDescent="0.2">
      <c r="A3448" s="5">
        <v>3387</v>
      </c>
      <c r="B3448" s="138">
        <f>'Tax Sched 23'!C16</f>
        <v>8527</v>
      </c>
      <c r="D3448" s="2" t="str">
        <f t="shared" si="52"/>
        <v>Error?</v>
      </c>
    </row>
    <row r="3449" spans="1:4" x14ac:dyDescent="0.2">
      <c r="A3449" s="5">
        <v>3388</v>
      </c>
      <c r="B3449" s="138">
        <f>'Tax Sched 23'!F16</f>
        <v>57476</v>
      </c>
      <c r="C3449" s="2" t="s">
        <v>594</v>
      </c>
      <c r="D3449" s="2" t="str">
        <f t="shared" si="52"/>
        <v>Error?</v>
      </c>
    </row>
    <row r="3450" spans="1:4" x14ac:dyDescent="0.2">
      <c r="A3450" s="5">
        <v>3389</v>
      </c>
      <c r="B3450" s="138">
        <f>'Tax Sched 23'!E16</f>
        <v>66003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56586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56586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56586</v>
      </c>
      <c r="D3567" s="2" t="str">
        <f t="shared" si="54"/>
        <v>Error?</v>
      </c>
    </row>
    <row r="3568" spans="1:4" x14ac:dyDescent="0.2">
      <c r="A3568" s="5">
        <v>3507</v>
      </c>
      <c r="B3568" s="138">
        <f>'Assets-Liab 5-6'!K41</f>
        <v>56586</v>
      </c>
      <c r="C3568" s="2" t="s">
        <v>594</v>
      </c>
      <c r="D3568" s="2" t="str">
        <f t="shared" si="54"/>
        <v>Error?</v>
      </c>
    </row>
    <row r="3569" spans="1:4" x14ac:dyDescent="0.2">
      <c r="A3569" s="5">
        <v>3508</v>
      </c>
      <c r="B3569" s="138">
        <f>'Acct Summary 7-8'!K4</f>
        <v>24528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24528</v>
      </c>
      <c r="C3571" s="2" t="s">
        <v>594</v>
      </c>
      <c r="D3571" s="2" t="str">
        <f t="shared" si="54"/>
        <v>Error?</v>
      </c>
    </row>
    <row r="3572" spans="1:4" x14ac:dyDescent="0.2">
      <c r="A3572" s="5">
        <v>3511</v>
      </c>
      <c r="B3572" s="138">
        <f>'Acct Summary 7-8'!K13</f>
        <v>38925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38925</v>
      </c>
      <c r="C3575" s="2" t="s">
        <v>594</v>
      </c>
      <c r="D3575" s="2" t="str">
        <f t="shared" si="54"/>
        <v>Error?</v>
      </c>
    </row>
    <row r="3576" spans="1:4" x14ac:dyDescent="0.2">
      <c r="A3576" s="5">
        <v>3515</v>
      </c>
      <c r="B3576" s="138">
        <f>'Acct Summary 7-8'!K20</f>
        <v>-14397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-14397</v>
      </c>
      <c r="C3588" s="2" t="s">
        <v>594</v>
      </c>
      <c r="D3588" s="2" t="str">
        <f t="shared" si="55"/>
        <v>Error?</v>
      </c>
    </row>
    <row r="3589" spans="1:4" x14ac:dyDescent="0.2">
      <c r="A3589" s="5">
        <v>3528</v>
      </c>
      <c r="B3589" s="138">
        <f>'Acct Summary 7-8'!K79</f>
        <v>70983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56586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38925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38925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38925</v>
      </c>
      <c r="C3649" s="2" t="s">
        <v>594</v>
      </c>
      <c r="D3649" s="2" t="str">
        <f t="shared" si="56"/>
        <v>Error?</v>
      </c>
    </row>
    <row r="3650" spans="1:4" x14ac:dyDescent="0.2">
      <c r="A3650" s="5">
        <v>3589</v>
      </c>
      <c r="B3650" s="138">
        <f>'Expenditures 15-22'!G367</f>
        <v>38925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38925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38925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38925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38925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-14397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24510</v>
      </c>
      <c r="C3725" s="2" t="s">
        <v>594</v>
      </c>
      <c r="D3725" s="2" t="str">
        <f t="shared" si="57"/>
        <v>Error?</v>
      </c>
    </row>
    <row r="3726" spans="1:4" x14ac:dyDescent="0.2">
      <c r="A3726" s="5">
        <v>3665</v>
      </c>
      <c r="B3726" s="138">
        <f>'Tax Sched 23'!D13</f>
        <v>21255</v>
      </c>
      <c r="C3726" s="2" t="s">
        <v>594</v>
      </c>
      <c r="D3726" s="2" t="str">
        <f t="shared" si="57"/>
        <v>Error?</v>
      </c>
    </row>
    <row r="3727" spans="1:4" x14ac:dyDescent="0.2">
      <c r="A3727" s="5">
        <v>3666</v>
      </c>
      <c r="B3727" s="138">
        <f>'Tax Sched 23'!C13</f>
        <v>3255</v>
      </c>
      <c r="D3727" s="2" t="str">
        <f t="shared" si="57"/>
        <v>Error?</v>
      </c>
    </row>
    <row r="3728" spans="1:4" x14ac:dyDescent="0.2">
      <c r="A3728" s="5">
        <v>3667</v>
      </c>
      <c r="B3728" s="138">
        <f>'Tax Sched 23'!F13</f>
        <v>21941</v>
      </c>
      <c r="C3728" s="2" t="s">
        <v>594</v>
      </c>
      <c r="D3728" s="2" t="str">
        <f t="shared" si="57"/>
        <v>Error?</v>
      </c>
    </row>
    <row r="3729" spans="1:4" x14ac:dyDescent="0.2">
      <c r="A3729" s="5">
        <v>3668</v>
      </c>
      <c r="B3729" s="138">
        <f>'Tax Sched 23'!E13</f>
        <v>25196</v>
      </c>
      <c r="D3729" s="2" t="str">
        <f t="shared" si="57"/>
        <v>Error?</v>
      </c>
    </row>
    <row r="3730" spans="1:4" x14ac:dyDescent="0.2">
      <c r="A3730" s="5">
        <v>3669</v>
      </c>
      <c r="B3730" s="138">
        <f>'ICR Computation 30'!E10</f>
        <v>41273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1089844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3923077</v>
      </c>
      <c r="C4122" s="2" t="s">
        <v>594</v>
      </c>
      <c r="D4122" s="2" t="str">
        <f t="shared" si="63"/>
        <v>Error?</v>
      </c>
    </row>
    <row r="4123" spans="1:4" x14ac:dyDescent="0.2">
      <c r="A4123" s="5">
        <v>4062</v>
      </c>
      <c r="B4123" s="138">
        <f>'Acct Summary 7-8'!D10</f>
        <v>258677</v>
      </c>
      <c r="C4123" s="2" t="s">
        <v>594</v>
      </c>
      <c r="D4123" s="2" t="str">
        <f t="shared" si="63"/>
        <v>Error?</v>
      </c>
    </row>
    <row r="4124" spans="1:4" x14ac:dyDescent="0.2">
      <c r="A4124" s="5">
        <v>4063</v>
      </c>
      <c r="B4124" s="138">
        <f>'Acct Summary 7-8'!E10</f>
        <v>269406</v>
      </c>
      <c r="C4124" s="2" t="s">
        <v>594</v>
      </c>
      <c r="D4124" s="2" t="str">
        <f t="shared" si="63"/>
        <v>Error?</v>
      </c>
    </row>
    <row r="4125" spans="1:4" x14ac:dyDescent="0.2">
      <c r="A4125" s="5">
        <v>4064</v>
      </c>
      <c r="B4125" s="138">
        <f>'Acct Summary 7-8'!F10</f>
        <v>209790</v>
      </c>
      <c r="C4125" s="2" t="s">
        <v>594</v>
      </c>
      <c r="D4125" s="2" t="str">
        <f t="shared" si="63"/>
        <v>Error?</v>
      </c>
    </row>
    <row r="4126" spans="1:4" x14ac:dyDescent="0.2">
      <c r="A4126" s="5">
        <v>4065</v>
      </c>
      <c r="B4126" s="138">
        <f>'Acct Summary 7-8'!G10</f>
        <v>154855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34043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24528</v>
      </c>
      <c r="C4130" s="2" t="s">
        <v>594</v>
      </c>
      <c r="D4130" s="2" t="str">
        <f t="shared" si="63"/>
        <v>Error?</v>
      </c>
    </row>
    <row r="4131" spans="1:4" x14ac:dyDescent="0.2">
      <c r="A4131" s="5">
        <v>4070</v>
      </c>
      <c r="B4131" s="138">
        <f>'Acct Summary 7-8'!C18</f>
        <v>1089844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3701925</v>
      </c>
      <c r="C4136" s="2" t="s">
        <v>594</v>
      </c>
      <c r="D4136" s="2" t="str">
        <f t="shared" si="63"/>
        <v>Error?</v>
      </c>
    </row>
    <row r="4137" spans="1:4" x14ac:dyDescent="0.2">
      <c r="A4137" s="5">
        <v>4076</v>
      </c>
      <c r="B4137" s="138">
        <f>'Acct Summary 7-8'!D19</f>
        <v>268596</v>
      </c>
      <c r="C4137" s="2" t="s">
        <v>594</v>
      </c>
      <c r="D4137" s="2" t="str">
        <f t="shared" si="63"/>
        <v>Error?</v>
      </c>
    </row>
    <row r="4138" spans="1:4" x14ac:dyDescent="0.2">
      <c r="A4138" s="5">
        <v>4077</v>
      </c>
      <c r="B4138" s="138">
        <f>'Acct Summary 7-8'!E19</f>
        <v>265670</v>
      </c>
      <c r="C4138" s="2" t="s">
        <v>594</v>
      </c>
      <c r="D4138" s="2" t="str">
        <f t="shared" si="63"/>
        <v>Error?</v>
      </c>
    </row>
    <row r="4139" spans="1:4" x14ac:dyDescent="0.2">
      <c r="A4139" s="5">
        <v>4078</v>
      </c>
      <c r="B4139" s="138">
        <f>'Acct Summary 7-8'!F19</f>
        <v>193582</v>
      </c>
      <c r="C4139" s="2" t="s">
        <v>594</v>
      </c>
      <c r="D4139" s="2" t="str">
        <f t="shared" si="63"/>
        <v>Error?</v>
      </c>
    </row>
    <row r="4140" spans="1:4" x14ac:dyDescent="0.2">
      <c r="A4140" s="5">
        <v>4079</v>
      </c>
      <c r="B4140" s="138">
        <f>'Acct Summary 7-8'!G19</f>
        <v>98801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38925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1990000</v>
      </c>
      <c r="C4171" s="2" t="s">
        <v>594</v>
      </c>
      <c r="D4171" s="2" t="str">
        <f t="shared" si="64"/>
        <v>Error?</v>
      </c>
    </row>
    <row r="4172" spans="1:4" x14ac:dyDescent="0.2">
      <c r="A4172" s="5">
        <v>4111</v>
      </c>
      <c r="B4172" s="138">
        <f>'Short-Term Long-Term Debt 24'!J49</f>
        <v>1899585</v>
      </c>
      <c r="C4172" s="2" t="s">
        <v>594</v>
      </c>
      <c r="D4172" s="2" t="str">
        <f t="shared" si="64"/>
        <v>Error?</v>
      </c>
    </row>
    <row r="4173" spans="1:4" x14ac:dyDescent="0.2">
      <c r="A4173" s="5">
        <v>4112</v>
      </c>
      <c r="B4173" s="138">
        <f>'Short-Term Long-Term Debt 24'!H49</f>
        <v>215000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4700</v>
      </c>
      <c r="C4268" s="2" t="s">
        <v>594</v>
      </c>
      <c r="D4268" s="2" t="str">
        <f t="shared" si="65"/>
        <v>Error?</v>
      </c>
    </row>
    <row r="4269" spans="1:5" x14ac:dyDescent="0.2">
      <c r="A4269" s="12">
        <v>4208</v>
      </c>
      <c r="B4269" s="138">
        <f>'FP Info 3'!J16</f>
        <v>2995244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475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5081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3545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1973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53719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50391812</v>
      </c>
      <c r="D4995" s="2" t="str">
        <f t="shared" si="77"/>
        <v>Error?</v>
      </c>
    </row>
    <row r="4996" spans="1:4" x14ac:dyDescent="0.2">
      <c r="A4996" s="12">
        <v>4935</v>
      </c>
      <c r="B4996" s="138">
        <f>'FP Info 3'!H31</f>
        <v>6954070.0560000008</v>
      </c>
      <c r="D4996" s="2" t="str">
        <f t="shared" si="77"/>
        <v>Error?</v>
      </c>
    </row>
    <row r="4997" spans="1:4" x14ac:dyDescent="0.2">
      <c r="A4997" s="12">
        <v>4936</v>
      </c>
      <c r="B4997" s="138">
        <f>'FP Info 3'!H37</f>
        <v>1990000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24510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1960783</v>
      </c>
      <c r="D5061" s="2" t="str">
        <f t="shared" si="78"/>
        <v>Error?</v>
      </c>
    </row>
    <row r="5062" spans="1:4" x14ac:dyDescent="0.2">
      <c r="A5062" s="10">
        <v>5001</v>
      </c>
      <c r="D5062" s="2" t="str">
        <f t="shared" si="78"/>
        <v>OK</v>
      </c>
    </row>
    <row r="5063" spans="1:4" x14ac:dyDescent="0.2">
      <c r="A5063" s="5">
        <v>5002</v>
      </c>
      <c r="B5063" s="138">
        <f>'Revenues 9-14'!C7</f>
        <v>19608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2004901</v>
      </c>
      <c r="C5066" s="2" t="s">
        <v>594</v>
      </c>
      <c r="D5066" s="2" t="str">
        <f t="shared" si="78"/>
        <v>Error?</v>
      </c>
    </row>
    <row r="5067" spans="1:4" x14ac:dyDescent="0.2">
      <c r="A5067" s="5">
        <v>5006</v>
      </c>
      <c r="B5067" s="138">
        <f>'Revenues 9-14'!C14</f>
        <v>146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74447</v>
      </c>
      <c r="D5069" s="2" t="str">
        <f t="shared" si="78"/>
        <v>Error?</v>
      </c>
    </row>
    <row r="5070" spans="1:4" x14ac:dyDescent="0.2">
      <c r="A5070" s="5">
        <v>5009</v>
      </c>
      <c r="B5070" s="138">
        <f>'Revenues 9-14'!C17</f>
        <v>381</v>
      </c>
      <c r="D5070" s="2" t="str">
        <f t="shared" si="78"/>
        <v>Error?</v>
      </c>
    </row>
    <row r="5071" spans="1:4" x14ac:dyDescent="0.2">
      <c r="A5071" s="5">
        <v>5010</v>
      </c>
      <c r="B5071" s="138">
        <f>'Revenues 9-14'!C18</f>
        <v>74974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10319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10319</v>
      </c>
      <c r="C5087" s="2" t="s">
        <v>594</v>
      </c>
      <c r="D5087" s="2" t="str">
        <f t="shared" si="78"/>
        <v>Error?</v>
      </c>
    </row>
    <row r="5088" spans="1:4" x14ac:dyDescent="0.2">
      <c r="A5088" s="5">
        <v>5027</v>
      </c>
      <c r="B5088" s="138">
        <f>'Revenues 9-14'!C65</f>
        <v>12594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12594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33507</v>
      </c>
      <c r="C5096" s="2" t="s">
        <v>594</v>
      </c>
      <c r="D5096" s="2" t="str">
        <f t="shared" si="78"/>
        <v>Error?</v>
      </c>
    </row>
    <row r="5097" spans="1:4" x14ac:dyDescent="0.2">
      <c r="A5097" s="5">
        <v>5036</v>
      </c>
      <c r="B5097" s="138">
        <f>'Revenues 9-14'!C77</f>
        <v>5791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32597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11640</v>
      </c>
      <c r="D5101" s="2" t="str">
        <f t="shared" si="78"/>
        <v>Error?</v>
      </c>
    </row>
    <row r="5102" spans="1:4" x14ac:dyDescent="0.2">
      <c r="A5102" s="5">
        <v>5041</v>
      </c>
      <c r="B5102" s="138">
        <f>'Revenues 9-14'!C82</f>
        <v>50028</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1108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10679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15299</v>
      </c>
      <c r="C5120" s="2" t="s">
        <v>594</v>
      </c>
      <c r="D5120" s="2" t="str">
        <f t="shared" si="79"/>
        <v>Error?</v>
      </c>
    </row>
    <row r="5121" spans="1:4" x14ac:dyDescent="0.2">
      <c r="A5121" s="5">
        <v>5060</v>
      </c>
      <c r="B5121" s="138">
        <f>'Revenues 9-14'!C109</f>
        <v>2202730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332718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332718</v>
      </c>
      <c r="C5132" s="2" t="s">
        <v>594</v>
      </c>
      <c r="D5132" s="2" t="str">
        <f t="shared" si="79"/>
        <v>Error?</v>
      </c>
    </row>
    <row r="5133" spans="1:4" x14ac:dyDescent="0.2">
      <c r="A5133" s="5">
        <v>5072</v>
      </c>
      <c r="B5133" s="138">
        <f>'Revenues 9-14'!C124</f>
        <v>15996</v>
      </c>
      <c r="D5133" s="2" t="str">
        <f t="shared" si="79"/>
        <v>Error?</v>
      </c>
    </row>
    <row r="5134" spans="1:4" x14ac:dyDescent="0.2">
      <c r="A5134" s="5">
        <v>5073</v>
      </c>
      <c r="B5134" s="138">
        <f>'Revenues 9-14'!C125</f>
        <v>17674</v>
      </c>
      <c r="D5134" s="2" t="str">
        <f t="shared" si="79"/>
        <v>Error?</v>
      </c>
    </row>
    <row r="5135" spans="1:4" x14ac:dyDescent="0.2">
      <c r="A5135" s="5">
        <v>5074</v>
      </c>
      <c r="B5135" s="138">
        <f>'Revenues 9-14'!C126</f>
        <v>35855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69525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1590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1590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924</v>
      </c>
      <c r="D5167" s="2" t="str">
        <f t="shared" si="79"/>
        <v>Error?</v>
      </c>
    </row>
    <row r="5168" spans="1:4" x14ac:dyDescent="0.2">
      <c r="A5168" s="5">
        <v>5107</v>
      </c>
      <c r="B5168" s="138">
        <f>'Revenues 9-14'!C147</f>
        <v>2743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76755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409473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53719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45789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18262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64051</v>
      </c>
      <c r="C5246" s="2" t="s">
        <v>594</v>
      </c>
      <c r="D5246" s="2" t="str">
        <f t="shared" si="80"/>
        <v>Error?</v>
      </c>
    </row>
    <row r="5247" spans="1:4" x14ac:dyDescent="0.2">
      <c r="A5247" s="5">
        <v>5186</v>
      </c>
      <c r="B5247" s="138">
        <f>'Revenues 9-14'!C203</f>
        <v>25315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25315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58844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58844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167311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221030</v>
      </c>
      <c r="C5326" s="2" t="s">
        <v>594</v>
      </c>
      <c r="D5326" s="2" t="str">
        <f t="shared" si="82"/>
        <v>Error?</v>
      </c>
    </row>
    <row r="5327" spans="1:4" x14ac:dyDescent="0.2">
      <c r="A5327" s="5">
        <v>5266</v>
      </c>
      <c r="B5327" s="138">
        <f>'Revenues 9-14'!C275</f>
        <v>2833233</v>
      </c>
      <c r="C5327" s="2" t="s">
        <v>594</v>
      </c>
      <c r="D5327" s="2" t="str">
        <f t="shared" si="82"/>
        <v>Error?</v>
      </c>
    </row>
    <row r="5328" spans="1:4" x14ac:dyDescent="0.2">
      <c r="A5328" s="5">
        <v>5267</v>
      </c>
      <c r="B5328" s="138">
        <f>'Revenues 9-14'!D5</f>
        <v>245098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245098</v>
      </c>
      <c r="C5334" s="2" t="s">
        <v>594</v>
      </c>
      <c r="D5334" s="2" t="str">
        <f t="shared" si="82"/>
        <v>Error?</v>
      </c>
    </row>
    <row r="5335" spans="1:4" x14ac:dyDescent="0.2">
      <c r="A5335" s="5">
        <v>5274</v>
      </c>
      <c r="B5335" s="138">
        <f>'Revenues 9-14'!D14</f>
        <v>18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47</v>
      </c>
      <c r="D5338" s="2" t="str">
        <f t="shared" si="82"/>
        <v>Error?</v>
      </c>
    </row>
    <row r="5339" spans="1:4" x14ac:dyDescent="0.2">
      <c r="A5339" s="5">
        <v>5278</v>
      </c>
      <c r="B5339" s="138">
        <f>'Revenues 9-14'!D18</f>
        <v>65</v>
      </c>
      <c r="C5339" s="2" t="s">
        <v>594</v>
      </c>
      <c r="D5339" s="2" t="str">
        <f t="shared" si="82"/>
        <v>Error?</v>
      </c>
    </row>
    <row r="5340" spans="1:4" x14ac:dyDescent="0.2">
      <c r="A5340" s="5">
        <v>5279</v>
      </c>
      <c r="B5340" s="138">
        <f>'Revenues 9-14'!D65</f>
        <v>4136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4136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9378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9378</v>
      </c>
      <c r="C5355" s="2" t="s">
        <v>594</v>
      </c>
      <c r="D5355" s="2" t="str">
        <f t="shared" si="82"/>
        <v>Error?</v>
      </c>
    </row>
    <row r="5356" spans="1:4" x14ac:dyDescent="0.2">
      <c r="A5356" s="5">
        <v>5295</v>
      </c>
      <c r="B5356" s="138">
        <f>'Revenues 9-14'!D109</f>
        <v>258677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258677</v>
      </c>
      <c r="C5508" s="2" t="s">
        <v>594</v>
      </c>
      <c r="D5508" s="2" t="str">
        <f t="shared" si="85"/>
        <v>Error?</v>
      </c>
    </row>
    <row r="5509" spans="1:4" x14ac:dyDescent="0.2">
      <c r="A5509" s="5">
        <v>5448</v>
      </c>
      <c r="B5509" s="138">
        <f>'Revenues 9-14'!E5</f>
        <v>269225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269225</v>
      </c>
      <c r="C5513" s="2" t="s">
        <v>594</v>
      </c>
      <c r="D5513" s="2" t="str">
        <f t="shared" si="85"/>
        <v>Error?</v>
      </c>
    </row>
    <row r="5514" spans="1:4" x14ac:dyDescent="0.2">
      <c r="A5514" s="5">
        <v>5453</v>
      </c>
      <c r="B5514" s="138">
        <f>'Revenues 9-14'!E14</f>
        <v>20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51</v>
      </c>
      <c r="D5517" s="2" t="str">
        <f t="shared" si="85"/>
        <v>Error?</v>
      </c>
    </row>
    <row r="5518" spans="1:4" x14ac:dyDescent="0.2">
      <c r="A5518" s="5">
        <v>5457</v>
      </c>
      <c r="B5518" s="138">
        <f>'Revenues 9-14'!E18</f>
        <v>71</v>
      </c>
      <c r="C5518" s="2" t="s">
        <v>594</v>
      </c>
      <c r="D5518" s="2" t="str">
        <f t="shared" si="85"/>
        <v>Error?</v>
      </c>
    </row>
    <row r="5519" spans="1:4" x14ac:dyDescent="0.2">
      <c r="A5519" s="5">
        <v>5458</v>
      </c>
      <c r="B5519" s="138">
        <f>'Revenues 9-14'!E65</f>
        <v>110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269406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269406</v>
      </c>
      <c r="C5552" s="2" t="s">
        <v>594</v>
      </c>
      <c r="D5552" s="2" t="str">
        <f t="shared" si="85"/>
        <v>Error?</v>
      </c>
    </row>
    <row r="5553" spans="1:4" x14ac:dyDescent="0.2">
      <c r="A5553" s="5">
        <v>5492</v>
      </c>
      <c r="B5553" s="138">
        <f>'Revenues 9-14'!F5</f>
        <v>98040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98040</v>
      </c>
      <c r="C5557" s="2" t="s">
        <v>594</v>
      </c>
      <c r="D5557" s="2" t="str">
        <f t="shared" si="85"/>
        <v>Error?</v>
      </c>
    </row>
    <row r="5558" spans="1:4" x14ac:dyDescent="0.2">
      <c r="A5558" s="5">
        <v>5497</v>
      </c>
      <c r="B5558" s="138">
        <f>'Revenues 9-14'!F14</f>
        <v>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19</v>
      </c>
      <c r="D5561" s="2" t="str">
        <f t="shared" si="85"/>
        <v>Error?</v>
      </c>
    </row>
    <row r="5562" spans="1:4" x14ac:dyDescent="0.2">
      <c r="A5562" s="5">
        <v>5501</v>
      </c>
      <c r="B5562" s="138">
        <f>'Revenues 9-14'!F18</f>
        <v>26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4078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4078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102144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34458</v>
      </c>
      <c r="D5615" s="2" t="str">
        <f t="shared" si="86"/>
        <v>Error?</v>
      </c>
    </row>
    <row r="5616" spans="1:4" x14ac:dyDescent="0.2">
      <c r="A5616" s="10">
        <v>5555</v>
      </c>
      <c r="D5616" s="2" t="str">
        <f t="shared" si="86"/>
        <v>OK</v>
      </c>
    </row>
    <row r="5617" spans="1:4" x14ac:dyDescent="0.2">
      <c r="A5617" s="5">
        <v>5556</v>
      </c>
      <c r="B5617" s="138">
        <f>'Revenues 9-14'!F152</f>
        <v>73188</v>
      </c>
      <c r="D5617" s="2" t="str">
        <f t="shared" si="86"/>
        <v>Error?</v>
      </c>
    </row>
    <row r="5618" spans="1:4" x14ac:dyDescent="0.2">
      <c r="A5618" s="5">
        <v>5557</v>
      </c>
      <c r="B5618" s="138">
        <f>'Revenues 9-14'!F154</f>
        <v>107646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107646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107646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209790</v>
      </c>
      <c r="C5720" s="2" t="s">
        <v>594</v>
      </c>
      <c r="D5720" s="2" t="str">
        <f t="shared" si="88"/>
        <v>Error?</v>
      </c>
    </row>
    <row r="5721" spans="1:4" x14ac:dyDescent="0.2">
      <c r="A5721" s="5">
        <v>5660</v>
      </c>
      <c r="B5721" s="138">
        <f>'Revenues 9-14'!G5</f>
        <v>60139</v>
      </c>
      <c r="D5721" s="2" t="str">
        <f t="shared" si="88"/>
        <v>Error?</v>
      </c>
    </row>
    <row r="5722" spans="1:4" x14ac:dyDescent="0.2">
      <c r="A5722" s="5">
        <v>5661</v>
      </c>
      <c r="B5722" s="138">
        <f>'Revenues 9-14'!G7</f>
        <v>0</v>
      </c>
      <c r="D5722" s="2" t="str">
        <f t="shared" si="88"/>
        <v>Error?</v>
      </c>
    </row>
    <row r="5723" spans="1:4" x14ac:dyDescent="0.2">
      <c r="A5723" s="5">
        <v>5662</v>
      </c>
      <c r="B5723" s="138">
        <f>'Revenues 9-14'!G8</f>
        <v>85861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146000</v>
      </c>
      <c r="C5725" s="2" t="s">
        <v>594</v>
      </c>
      <c r="D5725" s="2" t="str">
        <f t="shared" si="88"/>
        <v>Error?</v>
      </c>
    </row>
    <row r="5726" spans="1:4" x14ac:dyDescent="0.2">
      <c r="A5726" s="5">
        <v>5665</v>
      </c>
      <c r="B5726" s="138">
        <f>'Revenues 9-14'!G14</f>
        <v>11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7600</v>
      </c>
      <c r="D5728" s="2" t="str">
        <f t="shared" si="88"/>
        <v>Error?</v>
      </c>
    </row>
    <row r="5729" spans="1:4" x14ac:dyDescent="0.2">
      <c r="A5729" s="5">
        <v>5668</v>
      </c>
      <c r="B5729" s="138">
        <f>'Revenues 9-14'!G17</f>
        <v>29</v>
      </c>
      <c r="D5729" s="2" t="str">
        <f t="shared" si="88"/>
        <v>Error?</v>
      </c>
    </row>
    <row r="5730" spans="1:4" x14ac:dyDescent="0.2">
      <c r="A5730" s="5">
        <v>5669</v>
      </c>
      <c r="B5730" s="138">
        <f>'Revenues 9-14'!G18</f>
        <v>7640</v>
      </c>
      <c r="C5730" s="2" t="s">
        <v>594</v>
      </c>
      <c r="D5730" s="2" t="str">
        <f t="shared" si="88"/>
        <v>Error?</v>
      </c>
    </row>
    <row r="5731" spans="1:4" x14ac:dyDescent="0.2">
      <c r="A5731" s="5">
        <v>5670</v>
      </c>
      <c r="B5731" s="138">
        <f>'Revenues 9-14'!G65</f>
        <v>1215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1215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154855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24510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24510</v>
      </c>
      <c r="C5918" s="2" t="s">
        <v>594</v>
      </c>
      <c r="D5918" s="2" t="str">
        <f t="shared" si="91"/>
        <v>Error?</v>
      </c>
    </row>
    <row r="5919" spans="1:4" x14ac:dyDescent="0.2">
      <c r="A5919" s="5">
        <v>5858</v>
      </c>
      <c r="B5919" s="138">
        <f>'Revenues 9-14'!I14</f>
        <v>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5</v>
      </c>
      <c r="D5922" s="2" t="str">
        <f t="shared" si="91"/>
        <v>Error?</v>
      </c>
    </row>
    <row r="5923" spans="1:4" x14ac:dyDescent="0.2">
      <c r="A5923" s="5">
        <v>5862</v>
      </c>
      <c r="B5923" s="138">
        <f>'Revenues 9-14'!I18</f>
        <v>7</v>
      </c>
      <c r="C5923" s="2" t="s">
        <v>594</v>
      </c>
      <c r="D5923" s="2" t="str">
        <f t="shared" si="91"/>
        <v>Error?</v>
      </c>
    </row>
    <row r="5924" spans="1:4" x14ac:dyDescent="0.2">
      <c r="A5924" s="5">
        <v>5863</v>
      </c>
      <c r="B5924" s="138">
        <f>'Revenues 9-14'!I65</f>
        <v>9526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9526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34043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24510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24510</v>
      </c>
      <c r="C5987" s="2" t="s">
        <v>594</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5</v>
      </c>
      <c r="D5991" s="2" t="str">
        <f t="shared" si="92"/>
        <v>Error?</v>
      </c>
    </row>
    <row r="5992" spans="1:4" x14ac:dyDescent="0.2">
      <c r="A5992" s="5">
        <v>5931</v>
      </c>
      <c r="B5992" s="138">
        <f>'Revenues 9-14'!K18</f>
        <v>7</v>
      </c>
      <c r="C5992" s="2" t="s">
        <v>594</v>
      </c>
      <c r="D5992" s="2" t="str">
        <f t="shared" si="92"/>
        <v>Error?</v>
      </c>
    </row>
    <row r="5993" spans="1:4" x14ac:dyDescent="0.2">
      <c r="A5993" s="5">
        <v>5932</v>
      </c>
      <c r="B5993" s="138">
        <f>'Revenues 9-14'!K65</f>
        <v>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24528</v>
      </c>
      <c r="C6023" s="2" t="s">
        <v>594</v>
      </c>
      <c r="D6023" s="2" t="str">
        <f t="shared" si="93"/>
        <v>Error?</v>
      </c>
    </row>
    <row r="6024" spans="1:5" x14ac:dyDescent="0.2">
      <c r="A6024" s="5">
        <v>5963</v>
      </c>
      <c r="B6024" s="138">
        <f>'Revenues 9-14'!G109</f>
        <v>154855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34043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24528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33507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10487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251.33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84847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84847</v>
      </c>
      <c r="D6215" s="2" t="str">
        <f t="shared" si="96"/>
        <v>Error?</v>
      </c>
      <c r="E6215" s="2" t="s">
        <v>199</v>
      </c>
    </row>
    <row r="6216" spans="1:5" x14ac:dyDescent="0.2">
      <c r="A6216">
        <v>6155</v>
      </c>
      <c r="B6216" s="138">
        <f>'Assets-Liab 5-6'!J41</f>
        <v>84847</v>
      </c>
      <c r="D6216" s="2" t="str">
        <f t="shared" si="96"/>
        <v>Error?</v>
      </c>
      <c r="E6216" s="2" t="s">
        <v>199</v>
      </c>
    </row>
    <row r="6217" spans="1:5" x14ac:dyDescent="0.2">
      <c r="A6217">
        <v>6156</v>
      </c>
      <c r="B6217" s="138">
        <f>'Assets-Liab 5-6'!J4</f>
        <v>84847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209618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209618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209618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246979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246979</v>
      </c>
      <c r="D6229" s="2" t="str">
        <f t="shared" si="96"/>
        <v>Error?</v>
      </c>
      <c r="E6229" s="2" t="s">
        <v>199</v>
      </c>
    </row>
    <row r="6230" spans="1:5" x14ac:dyDescent="0.2">
      <c r="A6230">
        <v>6169</v>
      </c>
      <c r="B6230" s="138">
        <f>'Acct Summary 7-8'!J20</f>
        <v>-37361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-37361</v>
      </c>
      <c r="D6263" s="2" t="str">
        <f t="shared" si="96"/>
        <v>Error?</v>
      </c>
      <c r="E6263" s="2" t="s">
        <v>199</v>
      </c>
    </row>
    <row r="6264" spans="1:5" x14ac:dyDescent="0.2">
      <c r="A6264">
        <v>6203</v>
      </c>
      <c r="B6264" s="138">
        <f>'Acct Summary 7-8'!J79</f>
        <v>122208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84847</v>
      </c>
      <c r="D6266" s="2" t="str">
        <f t="shared" si="96"/>
        <v>Error?</v>
      </c>
      <c r="E6266" s="2" t="s">
        <v>199</v>
      </c>
    </row>
    <row r="6267" spans="1:5" x14ac:dyDescent="0.2">
      <c r="A6267">
        <v>6206</v>
      </c>
      <c r="B6267" s="138">
        <f>'Acct Summary 7-8'!C82</f>
        <v>221152</v>
      </c>
      <c r="D6267" s="2" t="str">
        <f t="shared" si="96"/>
        <v>Error?</v>
      </c>
      <c r="E6267" s="2" t="s">
        <v>199</v>
      </c>
    </row>
    <row r="6268" spans="1:5" x14ac:dyDescent="0.2">
      <c r="A6268">
        <v>6207</v>
      </c>
      <c r="B6268" s="138">
        <f>'Acct Summary 7-8'!D82</f>
        <v>-9919</v>
      </c>
      <c r="D6268" s="2" t="str">
        <f t="shared" si="96"/>
        <v>Error?</v>
      </c>
      <c r="E6268" s="2" t="s">
        <v>199</v>
      </c>
    </row>
    <row r="6269" spans="1:5" x14ac:dyDescent="0.2">
      <c r="A6269">
        <v>6208</v>
      </c>
      <c r="B6269" s="138">
        <f>'Acct Summary 7-8'!E82</f>
        <v>3736</v>
      </c>
      <c r="D6269" s="2" t="str">
        <f t="shared" si="96"/>
        <v>Error?</v>
      </c>
      <c r="E6269" s="2" t="s">
        <v>199</v>
      </c>
    </row>
    <row r="6270" spans="1:5" x14ac:dyDescent="0.2">
      <c r="A6270">
        <v>6209</v>
      </c>
      <c r="B6270" s="138">
        <f>'Acct Summary 7-8'!F82</f>
        <v>16208</v>
      </c>
      <c r="D6270" s="2" t="str">
        <f t="shared" si="96"/>
        <v>Error?</v>
      </c>
      <c r="E6270" s="2" t="s">
        <v>199</v>
      </c>
    </row>
    <row r="6271" spans="1:5" x14ac:dyDescent="0.2">
      <c r="A6271">
        <v>6210</v>
      </c>
      <c r="B6271" s="138">
        <f>'Acct Summary 7-8'!G82</f>
        <v>56054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34043</v>
      </c>
      <c r="D6273" s="2" t="str">
        <f t="shared" si="97"/>
        <v>Error?</v>
      </c>
      <c r="E6273" s="2" t="s">
        <v>199</v>
      </c>
    </row>
    <row r="6274" spans="1:5" x14ac:dyDescent="0.2">
      <c r="A6274">
        <v>6213</v>
      </c>
      <c r="B6274" s="138">
        <f>'Acct Summary 7-8'!J82</f>
        <v>-37361</v>
      </c>
      <c r="D6274" s="2" t="str">
        <f t="shared" si="97"/>
        <v>Error?</v>
      </c>
      <c r="E6274" s="2" t="s">
        <v>199</v>
      </c>
    </row>
    <row r="6275" spans="1:5" x14ac:dyDescent="0.2">
      <c r="A6275">
        <v>6214</v>
      </c>
      <c r="B6275" s="138">
        <f>'Acct Summary 7-8'!K82</f>
        <v>-14397</v>
      </c>
      <c r="D6275" s="2" t="str">
        <f t="shared" si="97"/>
        <v>Error?</v>
      </c>
      <c r="E6275" s="2" t="s">
        <v>199</v>
      </c>
    </row>
    <row r="6276" spans="1:5" x14ac:dyDescent="0.2">
      <c r="A6276">
        <v>6215</v>
      </c>
      <c r="B6276" s="138">
        <f>'Acct Summary 7-8'!C83</f>
        <v>0.22449768906006209</v>
      </c>
      <c r="D6276" s="2" t="str">
        <f t="shared" si="97"/>
        <v>Error?</v>
      </c>
      <c r="E6276" s="2" t="s">
        <v>199</v>
      </c>
    </row>
    <row r="6277" spans="1:5" x14ac:dyDescent="0.2">
      <c r="A6277">
        <v>6216</v>
      </c>
      <c r="B6277" s="138">
        <f>'Acct Summary 7-8'!D83</f>
        <v>-1.6906310507513157E-2</v>
      </c>
      <c r="D6277" s="2" t="str">
        <f t="shared" si="97"/>
        <v>Error?</v>
      </c>
      <c r="E6277" s="2" t="s">
        <v>199</v>
      </c>
    </row>
    <row r="6278" spans="1:5" x14ac:dyDescent="0.2">
      <c r="A6278">
        <v>6217</v>
      </c>
      <c r="B6278" s="138">
        <f>'Acct Summary 7-8'!E83</f>
        <v>4.1320577337831114E-2</v>
      </c>
      <c r="D6278" s="2" t="str">
        <f t="shared" si="97"/>
        <v>Error?</v>
      </c>
      <c r="E6278" s="2" t="s">
        <v>199</v>
      </c>
    </row>
    <row r="6279" spans="1:5" x14ac:dyDescent="0.2">
      <c r="A6279">
        <v>6218</v>
      </c>
      <c r="B6279" s="138">
        <f>'Acct Summary 7-8'!F83</f>
        <v>2.9707017109760904E-2</v>
      </c>
      <c r="D6279" s="2" t="str">
        <f t="shared" si="97"/>
        <v>Error?</v>
      </c>
      <c r="E6279" s="2" t="s">
        <v>199</v>
      </c>
    </row>
    <row r="6280" spans="1:5" x14ac:dyDescent="0.2">
      <c r="A6280">
        <v>6219</v>
      </c>
      <c r="B6280" s="138">
        <f>'Acct Summary 7-8'!G83</f>
        <v>0.29735608037855155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3.8780062151989869E-2</v>
      </c>
      <c r="D6282" s="2" t="str">
        <f t="shared" si="97"/>
        <v>Error?</v>
      </c>
      <c r="E6282" s="2" t="s">
        <v>199</v>
      </c>
    </row>
    <row r="6283" spans="1:5" x14ac:dyDescent="0.2">
      <c r="A6283">
        <v>6222</v>
      </c>
      <c r="B6283" s="138">
        <f>'Acct Summary 7-8'!J83</f>
        <v>-0.44033377726967365</v>
      </c>
      <c r="D6283" s="2" t="str">
        <f t="shared" si="97"/>
        <v>Error?</v>
      </c>
      <c r="E6283" s="2" t="s">
        <v>199</v>
      </c>
    </row>
    <row r="6284" spans="1:5" x14ac:dyDescent="0.2">
      <c r="A6284">
        <v>6223</v>
      </c>
      <c r="B6284" s="138">
        <f>'Acct Summary 7-8'!K83</f>
        <v>-0.25442689004347363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209481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209481</v>
      </c>
      <c r="D6301" s="2" t="str">
        <f t="shared" si="97"/>
        <v>Error?</v>
      </c>
      <c r="E6301" s="2" t="s">
        <v>199</v>
      </c>
    </row>
    <row r="6302" spans="1:5" x14ac:dyDescent="0.2">
      <c r="A6302">
        <v>6241</v>
      </c>
      <c r="B6302" s="138">
        <f>'Revenues 9-14'!J14</f>
        <v>15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39</v>
      </c>
      <c r="D6305" s="2" t="str">
        <f t="shared" si="97"/>
        <v>Error?</v>
      </c>
      <c r="E6305" s="2" t="s">
        <v>199</v>
      </c>
    </row>
    <row r="6306" spans="1:5" x14ac:dyDescent="0.2">
      <c r="A6306">
        <v>6245</v>
      </c>
      <c r="B6306" s="138">
        <f>'Revenues 9-14'!J18</f>
        <v>54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2070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209618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7722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108968</v>
      </c>
      <c r="D6880" s="2" t="str">
        <f t="shared" si="106"/>
        <v>Error?</v>
      </c>
    </row>
    <row r="6881" spans="1:4" x14ac:dyDescent="0.2">
      <c r="A6881">
        <v>6820</v>
      </c>
      <c r="B6881" s="138">
        <f>'Expenditures 15-22'!K22</f>
        <v>108968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59523</v>
      </c>
      <c r="D6983" s="2" t="str">
        <f t="shared" si="108"/>
        <v>Error?</v>
      </c>
    </row>
    <row r="6984" spans="1:4" x14ac:dyDescent="0.2">
      <c r="A6984">
        <v>6923</v>
      </c>
      <c r="B6984" s="138">
        <f>'Expenditures 15-22'!K86</f>
        <v>59523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52983</v>
      </c>
      <c r="D6987" s="2" t="str">
        <f t="shared" si="108"/>
        <v>Error?</v>
      </c>
    </row>
    <row r="6988" spans="1:4" x14ac:dyDescent="0.2">
      <c r="A6988">
        <v>6927</v>
      </c>
      <c r="B6988" s="138">
        <f>'Expenditures 15-22'!K88</f>
        <v>52983</v>
      </c>
      <c r="D6988" s="2" t="str">
        <f t="shared" si="108"/>
        <v>Error?</v>
      </c>
    </row>
    <row r="6989" spans="1:4" x14ac:dyDescent="0.2">
      <c r="A6989">
        <v>6928</v>
      </c>
      <c r="B6989" s="138">
        <f>'Expenditures 15-22'!H89</f>
        <v>6378</v>
      </c>
      <c r="D6989" s="2" t="str">
        <f t="shared" si="108"/>
        <v>Error?</v>
      </c>
    </row>
    <row r="6990" spans="1:4" x14ac:dyDescent="0.2">
      <c r="A6990">
        <v>6929</v>
      </c>
      <c r="B6990" s="138">
        <f>'Expenditures 15-22'!K89</f>
        <v>6378</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118884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246979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209618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2773</v>
      </c>
      <c r="D7093" s="2" t="str">
        <f t="shared" si="109"/>
        <v>Error?</v>
      </c>
    </row>
    <row r="7094" spans="1:4" x14ac:dyDescent="0.2">
      <c r="A7094">
        <v>7033</v>
      </c>
      <c r="B7094" s="138">
        <f>'Expenditures 15-22'!K254</f>
        <v>2773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28203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28203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10271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10271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41754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41754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3739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3739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93103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42378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135481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27531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27531</v>
      </c>
      <c r="D7198" s="2" t="str">
        <f t="shared" si="111"/>
        <v>Error?</v>
      </c>
    </row>
    <row r="7199" spans="1:4" x14ac:dyDescent="0.2">
      <c r="A7199">
        <v>7138</v>
      </c>
      <c r="B7199" s="138">
        <f>'Expenditures 15-22'!C330</f>
        <v>93103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153876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246979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93103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153876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246979</v>
      </c>
      <c r="D7224" s="2" t="str">
        <f t="shared" si="111"/>
        <v>Error?</v>
      </c>
    </row>
    <row r="7225" spans="1:4" x14ac:dyDescent="0.2">
      <c r="A7225">
        <v>7164</v>
      </c>
      <c r="B7225" s="138">
        <f>'Expenditures 15-22'!K343</f>
        <v>-37361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6712</v>
      </c>
      <c r="D7263" s="2" t="str">
        <f t="shared" si="112"/>
        <v>Error?</v>
      </c>
    </row>
    <row r="7264" spans="1:4" x14ac:dyDescent="0.2">
      <c r="A7264">
        <f t="shared" si="113"/>
        <v>7203</v>
      </c>
      <c r="B7264" s="138">
        <f>'Expenditures 15-22'!D17</f>
        <v>728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282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19596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19596</v>
      </c>
      <c r="D7618" s="2" t="str">
        <f t="shared" si="124"/>
        <v>Error?</v>
      </c>
      <c r="E7618" s="2" t="s">
        <v>19</v>
      </c>
    </row>
    <row r="7619" spans="1:5" x14ac:dyDescent="0.2">
      <c r="A7619">
        <f t="shared" si="123"/>
        <v>7558</v>
      </c>
      <c r="B7619" s="138">
        <f>'Cap Outlay Deprec 26'!H14</f>
        <v>19596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19596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240525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2070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2743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4813</v>
      </c>
      <c r="D7719" s="2" t="str">
        <f t="shared" si="126"/>
        <v>Error?</v>
      </c>
      <c r="E7719" s="2" t="s">
        <v>881</v>
      </c>
    </row>
    <row r="7720" spans="1:6" x14ac:dyDescent="0.2">
      <c r="A7720">
        <v>7659</v>
      </c>
      <c r="B7720" s="138">
        <f>'Rest Tax Levies-Tort Im 25'!H14</f>
        <v>19617</v>
      </c>
      <c r="D7720" s="2" t="str">
        <f t="shared" si="126"/>
        <v>Error?</v>
      </c>
      <c r="E7720" s="2" t="s">
        <v>881</v>
      </c>
    </row>
    <row r="7721" spans="1:6" x14ac:dyDescent="0.2">
      <c r="A7721">
        <v>7660</v>
      </c>
      <c r="B7721" s="138">
        <f>'Rest Tax Levies-Tort Im 25'!K14</f>
        <v>4813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0" t="str">
        <f>COVER!A17</f>
        <v>Leland CUSD 1</v>
      </c>
      <c r="B7" s="2421"/>
      <c r="C7" s="2421"/>
      <c r="D7" s="2422"/>
      <c r="E7" s="2423">
        <f>COVER!A13</f>
        <v>35050001026</v>
      </c>
      <c r="F7" s="2424"/>
      <c r="G7" s="2430" t="str">
        <f>COVER!T23</f>
        <v>066-005027</v>
      </c>
      <c r="H7" s="2431"/>
      <c r="I7" s="2431"/>
      <c r="J7" s="2431"/>
      <c r="K7" s="2431"/>
      <c r="L7" s="243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3"/>
      <c r="B9" s="2434"/>
      <c r="C9" s="2434"/>
      <c r="D9" s="2434"/>
      <c r="E9" s="2434"/>
      <c r="F9" s="2435"/>
      <c r="G9" s="2404" t="str">
        <f>COVER!T13</f>
        <v>Gorenz and Associates, Ltd.</v>
      </c>
      <c r="H9" s="2436"/>
      <c r="I9" s="2436"/>
      <c r="J9" s="2436"/>
      <c r="K9" s="2436"/>
      <c r="L9" s="2437"/>
    </row>
    <row r="10" spans="1:29" ht="13.5" customHeight="1" x14ac:dyDescent="0.2">
      <c r="A10" s="2410" t="str">
        <f>COVER!A38</f>
        <v>Jodi Moore</v>
      </c>
      <c r="B10" s="2411"/>
      <c r="C10" s="2411"/>
      <c r="D10" s="2411"/>
      <c r="E10" s="2411"/>
      <c r="F10" s="2412"/>
      <c r="G10" s="2404" t="str">
        <f>COVER!T17</f>
        <v>4200 N Knoxville Ave</v>
      </c>
      <c r="H10" s="2405"/>
      <c r="I10" s="2405"/>
      <c r="J10" s="2405"/>
      <c r="K10" s="2405"/>
      <c r="L10" s="2406"/>
    </row>
    <row r="11" spans="1:29" ht="13.5" customHeight="1" x14ac:dyDescent="0.2">
      <c r="A11" s="1183" t="s">
        <v>1599</v>
      </c>
      <c r="B11" s="1184"/>
      <c r="C11" s="1185"/>
      <c r="D11" s="1190"/>
      <c r="E11" s="1185"/>
      <c r="F11" s="1189"/>
      <c r="G11" s="2404" t="str">
        <f>COVER!T19</f>
        <v>Peoria</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tpeffer@gorenzcpa.com</v>
      </c>
      <c r="J13" s="2417"/>
      <c r="K13" s="2417"/>
      <c r="L13" s="2418"/>
    </row>
    <row r="14" spans="1:29" ht="13.5" customHeight="1" x14ac:dyDescent="0.2">
      <c r="A14" s="2404" t="str">
        <f>COVER!A19</f>
        <v>370 North Main Street</v>
      </c>
      <c r="B14" s="2405"/>
      <c r="C14" s="2405"/>
      <c r="D14" s="2405"/>
      <c r="E14" s="2405"/>
      <c r="F14" s="2406"/>
      <c r="G14" s="1194" t="s">
        <v>1247</v>
      </c>
      <c r="H14" s="1192"/>
      <c r="I14" s="1192"/>
      <c r="J14" s="1192"/>
      <c r="K14" s="1192"/>
      <c r="L14" s="1193"/>
    </row>
    <row r="15" spans="1:29" ht="13.5" customHeight="1" x14ac:dyDescent="0.2">
      <c r="A15" s="2404" t="str">
        <f>COVER!A21</f>
        <v>Leland</v>
      </c>
      <c r="B15" s="2405"/>
      <c r="C15" s="2405"/>
      <c r="D15" s="2405"/>
      <c r="E15" s="2405"/>
      <c r="F15" s="2406"/>
      <c r="G15" s="2401" t="str">
        <f>COVER!T15</f>
        <v>Thomas R. Peffer, CPA</v>
      </c>
      <c r="H15" s="2402"/>
      <c r="I15" s="2402"/>
      <c r="J15" s="2402"/>
      <c r="K15" s="2402"/>
      <c r="L15" s="2403"/>
    </row>
    <row r="16" spans="1:29" ht="12.2" customHeight="1" x14ac:dyDescent="0.2">
      <c r="A16" s="2426">
        <f>COVER!A25</f>
        <v>60531</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4" t="s">
        <v>1246</v>
      </c>
      <c r="H17" s="1192"/>
      <c r="I17" s="1192"/>
      <c r="J17" s="1192"/>
      <c r="K17" s="1196" t="s">
        <v>1245</v>
      </c>
      <c r="L17" s="1189"/>
      <c r="M17" s="1182"/>
    </row>
    <row r="18" spans="1:13" ht="12.2" customHeight="1" x14ac:dyDescent="0.2">
      <c r="A18" s="2410"/>
      <c r="B18" s="2411"/>
      <c r="C18" s="2411"/>
      <c r="D18" s="2411"/>
      <c r="E18" s="2411"/>
      <c r="F18" s="2412"/>
      <c r="G18" s="2420" t="str">
        <f>COVER!T21</f>
        <v>309-685-7621</v>
      </c>
      <c r="H18" s="2421"/>
      <c r="I18" s="2421"/>
      <c r="J18" s="2421"/>
      <c r="K18" s="2420" t="str">
        <f>COVER!X21</f>
        <v>309-685-4758</v>
      </c>
      <c r="L18" s="242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2" t="str">
        <f>'Single Audit Cover'!A7</f>
        <v>Leland CUSD 1</v>
      </c>
      <c r="B1" s="2419"/>
      <c r="C1" s="2419"/>
      <c r="D1" s="2419"/>
    </row>
    <row r="2" spans="1:11" s="1213" customFormat="1" ht="12.75" x14ac:dyDescent="0.2">
      <c r="A2" s="2443">
        <f>'Single Audit Cover'!E7</f>
        <v>35050001026</v>
      </c>
      <c r="B2" s="2444"/>
      <c r="C2" s="2444"/>
      <c r="D2" s="2444"/>
    </row>
    <row r="3" spans="1:11" s="1213" customFormat="1" ht="12.75" x14ac:dyDescent="0.2">
      <c r="A3" s="2442" t="s">
        <v>1593</v>
      </c>
      <c r="B3" s="2419"/>
      <c r="C3" s="2419"/>
      <c r="D3" s="241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6" t="str">
        <f>'Single Audit Cover'!A7</f>
        <v>Leland CUSD 1</v>
      </c>
      <c r="B1" s="2446"/>
      <c r="C1" s="2446"/>
      <c r="D1" s="2446"/>
      <c r="E1" s="2446"/>
    </row>
    <row r="2" spans="1:5" x14ac:dyDescent="0.2">
      <c r="A2" s="2447">
        <f>'Single Audit Cover'!E7</f>
        <v>35050001026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8" t="s">
        <v>1305</v>
      </c>
    </row>
    <row r="10" spans="1:5" x14ac:dyDescent="0.2">
      <c r="A10" s="1259" t="s">
        <v>1304</v>
      </c>
      <c r="B10" s="1260" t="s">
        <v>1303</v>
      </c>
      <c r="C10" s="1260"/>
      <c r="D10" s="1261">
        <f>SUM('Acct Summary 7-8'!C7:K7)</f>
        <v>221030</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10487</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-5081</v>
      </c>
    </row>
    <row r="19" spans="1:4" ht="13.5" thickBot="1" x14ac:dyDescent="0.25">
      <c r="A19" s="1263" t="s">
        <v>1297</v>
      </c>
      <c r="D19" s="1264">
        <f>SUM(D10:D17)</f>
        <v>226436</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8"/>
      <c r="B24" s="2448"/>
      <c r="D24" s="1266"/>
    </row>
    <row r="25" spans="1:4" x14ac:dyDescent="0.2">
      <c r="A25" s="2445"/>
      <c r="B25" s="2445"/>
      <c r="D25" s="1266"/>
    </row>
    <row r="26" spans="1:4" x14ac:dyDescent="0.2">
      <c r="A26" s="2445"/>
      <c r="B26" s="2445"/>
      <c r="D26" s="1266"/>
    </row>
    <row r="27" spans="1:4" x14ac:dyDescent="0.2">
      <c r="A27" s="2445"/>
      <c r="B27" s="2445"/>
      <c r="D27" s="1266"/>
    </row>
    <row r="28" spans="1:4" x14ac:dyDescent="0.2">
      <c r="A28" s="2445"/>
      <c r="B28" s="2445"/>
      <c r="D28" s="1266"/>
    </row>
    <row r="29" spans="1:4" x14ac:dyDescent="0.2">
      <c r="A29" s="2445"/>
      <c r="B29" s="2445"/>
      <c r="D29" s="1266"/>
    </row>
    <row r="30" spans="1:4" x14ac:dyDescent="0.2">
      <c r="A30" s="2445"/>
      <c r="B30" s="2445"/>
      <c r="D30" s="1266"/>
    </row>
    <row r="32" spans="1:4" x14ac:dyDescent="0.2">
      <c r="A32" s="1258" t="s">
        <v>1295</v>
      </c>
      <c r="D32" s="1261">
        <f>SUM(D19:D30)</f>
        <v>226436</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5"/>
      <c r="B40" s="2445"/>
      <c r="D40" s="1266"/>
    </row>
    <row r="41" spans="1:4" x14ac:dyDescent="0.2">
      <c r="A41" s="2445"/>
      <c r="B41" s="2445"/>
      <c r="D41" s="1269"/>
    </row>
    <row r="42" spans="1:4" x14ac:dyDescent="0.2">
      <c r="A42" s="2445"/>
      <c r="B42" s="2445"/>
      <c r="D42" s="1269"/>
    </row>
    <row r="43" spans="1:4" x14ac:dyDescent="0.2">
      <c r="A43" s="2445"/>
      <c r="B43" s="2445"/>
      <c r="D43" s="1269"/>
    </row>
    <row r="44" spans="1:4" x14ac:dyDescent="0.2">
      <c r="A44" s="2445"/>
      <c r="B44" s="2445"/>
      <c r="D44" s="1269"/>
    </row>
    <row r="45" spans="1:4" x14ac:dyDescent="0.2">
      <c r="A45" s="2445"/>
      <c r="B45" s="2445"/>
      <c r="D45" s="1269"/>
    </row>
    <row r="47" spans="1:4" x14ac:dyDescent="0.2">
      <c r="B47" s="1270" t="s">
        <v>1289</v>
      </c>
      <c r="C47" s="1270"/>
      <c r="D47" s="1271">
        <f>SUM(D35:D45)</f>
        <v>0</v>
      </c>
    </row>
    <row r="49" spans="2:4" x14ac:dyDescent="0.2">
      <c r="B49" s="1270" t="s">
        <v>1288</v>
      </c>
      <c r="C49" s="1270"/>
      <c r="D49" s="1271">
        <f>D32-D47</f>
        <v>226436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Leland CUSD 1</v>
      </c>
      <c r="B1" s="2459"/>
      <c r="C1" s="2459"/>
      <c r="D1" s="2459"/>
      <c r="E1" s="2459"/>
      <c r="F1" s="2459"/>
    </row>
    <row r="2" spans="1:7" ht="13.5" customHeight="1" x14ac:dyDescent="0.2">
      <c r="A2" s="2460">
        <f>'Single Audit Cover'!E7</f>
        <v>35050001026</v>
      </c>
      <c r="B2" s="2460"/>
      <c r="C2" s="2460"/>
      <c r="D2" s="2460"/>
      <c r="E2" s="2460"/>
      <c r="F2" s="2460"/>
      <c r="G2" s="1273"/>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4" t="s">
        <v>1831</v>
      </c>
      <c r="C6" s="317"/>
      <c r="D6" s="317"/>
    </row>
    <row r="7" spans="1:7" ht="60.95" customHeight="1" x14ac:dyDescent="0.2">
      <c r="A7" s="2458" t="s">
        <v>1832</v>
      </c>
      <c r="B7" s="2458"/>
      <c r="C7" s="2458"/>
      <c r="D7" s="2458"/>
      <c r="E7" s="2458"/>
      <c r="F7" s="245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8" t="s">
        <v>1834</v>
      </c>
      <c r="B13" s="2458"/>
      <c r="C13" s="2458"/>
      <c r="D13" s="2458"/>
      <c r="E13" s="2458"/>
      <c r="F13" s="2458"/>
    </row>
    <row r="14" spans="1:7" ht="9.75" customHeight="1" x14ac:dyDescent="0.2">
      <c r="C14" s="1258"/>
      <c r="D14" s="1258"/>
    </row>
    <row r="15" spans="1:7" ht="13.5" customHeight="1" x14ac:dyDescent="0.2">
      <c r="C15" s="1869" t="s">
        <v>1332</v>
      </c>
      <c r="D15" s="2456" t="s">
        <v>1331</v>
      </c>
      <c r="E15" s="2456"/>
      <c r="F15" s="2456"/>
    </row>
    <row r="16" spans="1:7" ht="13.5" customHeight="1" x14ac:dyDescent="0.2">
      <c r="A16" s="1280"/>
      <c r="B16" s="1274" t="s">
        <v>1330</v>
      </c>
      <c r="C16" s="1869" t="s">
        <v>1329</v>
      </c>
      <c r="D16" s="2457" t="s">
        <v>1670</v>
      </c>
      <c r="E16" s="2457"/>
      <c r="F16" s="2457"/>
    </row>
    <row r="17" spans="1:6" ht="20.45" customHeight="1" x14ac:dyDescent="0.2">
      <c r="A17" s="1281"/>
      <c r="B17" s="1282"/>
      <c r="C17" s="1283"/>
      <c r="D17" s="2451"/>
      <c r="E17" s="2451"/>
      <c r="F17" s="2451"/>
    </row>
    <row r="18" spans="1:6" ht="20.65" customHeight="1" x14ac:dyDescent="0.2">
      <c r="A18" s="1281"/>
      <c r="B18" s="1282"/>
      <c r="C18" s="1283"/>
      <c r="D18" s="2451"/>
      <c r="E18" s="2451"/>
      <c r="F18" s="2451"/>
    </row>
    <row r="19" spans="1:6" ht="20.65" customHeight="1" x14ac:dyDescent="0.2">
      <c r="A19" s="1281"/>
      <c r="B19" s="1282"/>
      <c r="C19" s="1283"/>
      <c r="D19" s="2451"/>
      <c r="E19" s="2451"/>
      <c r="F19" s="2451"/>
    </row>
    <row r="20" spans="1:6" ht="20.65" customHeight="1" x14ac:dyDescent="0.2">
      <c r="A20" s="1281"/>
      <c r="B20" s="1282"/>
      <c r="C20" s="1283"/>
      <c r="D20" s="2451"/>
      <c r="E20" s="2451"/>
      <c r="F20" s="2451"/>
    </row>
    <row r="21" spans="1:6" ht="20.65" customHeight="1" x14ac:dyDescent="0.2">
      <c r="A21" s="1281"/>
      <c r="B21" s="1282"/>
      <c r="C21" s="1283"/>
      <c r="D21" s="2451"/>
      <c r="E21" s="2451"/>
      <c r="F21" s="2451"/>
    </row>
    <row r="22" spans="1:6" ht="20.65" customHeight="1" x14ac:dyDescent="0.2">
      <c r="A22" s="1281"/>
      <c r="B22" s="1282"/>
      <c r="C22" s="1283"/>
      <c r="D22" s="2451"/>
      <c r="E22" s="2451"/>
      <c r="F22" s="2451"/>
    </row>
    <row r="23" spans="1:6" ht="20.65" customHeight="1" x14ac:dyDescent="0.2">
      <c r="A23" s="1281"/>
      <c r="B23" s="1282"/>
      <c r="C23" s="1283"/>
      <c r="D23" s="2451"/>
      <c r="E23" s="2451"/>
      <c r="F23" s="2451"/>
    </row>
    <row r="24" spans="1:6" ht="20.65" customHeight="1" x14ac:dyDescent="0.2">
      <c r="A24" s="1281"/>
      <c r="B24" s="1282"/>
      <c r="C24" s="1283"/>
      <c r="D24" s="2451"/>
      <c r="E24" s="2451"/>
      <c r="F24" s="2451"/>
    </row>
    <row r="25" spans="1:6" ht="20.65" customHeight="1" x14ac:dyDescent="0.2">
      <c r="A25" s="1281"/>
      <c r="B25" s="1282"/>
      <c r="C25" s="1283"/>
      <c r="D25" s="2451"/>
      <c r="E25" s="2451"/>
      <c r="F25" s="2451"/>
    </row>
    <row r="26" spans="1:6" ht="20.65" customHeight="1" x14ac:dyDescent="0.2">
      <c r="A26" s="1281"/>
      <c r="B26" s="1282"/>
      <c r="C26" s="1283"/>
      <c r="D26" s="2451"/>
      <c r="E26" s="2451"/>
      <c r="F26" s="2451"/>
    </row>
    <row r="27" spans="1:6" ht="20.65" customHeight="1" x14ac:dyDescent="0.2">
      <c r="A27" s="1281"/>
      <c r="B27" s="1282"/>
      <c r="C27" s="1283"/>
      <c r="D27" s="2451"/>
      <c r="E27" s="2451"/>
      <c r="F27" s="2451"/>
    </row>
    <row r="28" spans="1:6" ht="20.65" customHeight="1" x14ac:dyDescent="0.2">
      <c r="A28" s="1281"/>
      <c r="B28" s="1282"/>
      <c r="C28" s="1283"/>
      <c r="D28" s="2451"/>
      <c r="E28" s="2451"/>
      <c r="F28" s="2451"/>
    </row>
    <row r="29" spans="1:6" ht="20.65" customHeight="1" x14ac:dyDescent="0.2">
      <c r="A29" s="1281"/>
      <c r="B29" s="1282"/>
      <c r="C29" s="1283"/>
      <c r="D29" s="2451"/>
      <c r="E29" s="2451"/>
      <c r="F29" s="2451"/>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2" t="s">
        <v>1835</v>
      </c>
      <c r="B32" s="2452"/>
      <c r="C32" s="2452"/>
      <c r="D32" s="2452"/>
      <c r="E32" s="2452"/>
      <c r="F32" s="2452"/>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3">
        <f>+C33+C34</f>
        <v>0</v>
      </c>
      <c r="F34" s="2454"/>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5" t="s">
        <v>1672</v>
      </c>
      <c r="C49" s="2455"/>
      <c r="D49" s="2455"/>
      <c r="E49" s="1397"/>
    </row>
    <row r="50" spans="1:5" s="1298" customFormat="1" ht="3.75" customHeight="1" x14ac:dyDescent="0.2">
      <c r="A50" s="1297"/>
      <c r="B50" s="1868"/>
      <c r="C50" s="1868"/>
      <c r="D50" s="1868"/>
      <c r="E50" s="1397"/>
    </row>
    <row r="51" spans="1:5" s="1298" customFormat="1" ht="20.25" customHeight="1" x14ac:dyDescent="0.2">
      <c r="A51" s="1299">
        <v>6</v>
      </c>
      <c r="B51" s="2450" t="s">
        <v>1632</v>
      </c>
      <c r="C51" s="2450"/>
      <c r="D51" s="2450"/>
    </row>
    <row r="52" spans="1:5" ht="14.25" customHeight="1" x14ac:dyDescent="0.2">
      <c r="A52" s="1299"/>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9" t="str">
        <f>'Single Audit Cover'!A7</f>
        <v>Leland CUSD 1</v>
      </c>
      <c r="C1" s="2463"/>
      <c r="D1" s="2463"/>
      <c r="E1" s="2463"/>
      <c r="F1" s="2463"/>
      <c r="G1" s="2463"/>
      <c r="H1" s="2463"/>
      <c r="I1" s="2463"/>
      <c r="J1" s="2463"/>
      <c r="K1" s="2463"/>
      <c r="L1" s="2463"/>
      <c r="M1" s="2463"/>
    </row>
    <row r="2" spans="2:14" ht="15" x14ac:dyDescent="0.2">
      <c r="B2" s="2460">
        <f>'Single Audit Cover'!E7</f>
        <v>35050001026</v>
      </c>
      <c r="C2" s="2460"/>
      <c r="D2" s="2460"/>
      <c r="E2" s="2460"/>
      <c r="F2" s="2460"/>
      <c r="G2" s="2460"/>
      <c r="H2" s="2460"/>
      <c r="I2" s="2460"/>
      <c r="J2" s="2460"/>
      <c r="K2" s="2460"/>
      <c r="L2" s="2460"/>
      <c r="M2" s="2460"/>
      <c r="N2" s="1300"/>
    </row>
    <row r="3" spans="2:14" ht="15" x14ac:dyDescent="0.2">
      <c r="B3" s="2464" t="s">
        <v>1281</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2118</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t="s">
        <v>2120</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2126</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Leland CUSD 1</v>
      </c>
      <c r="C1" s="2478"/>
      <c r="D1" s="2478"/>
      <c r="E1" s="2478"/>
      <c r="F1" s="2478"/>
      <c r="G1" s="2478"/>
      <c r="H1" s="2478"/>
      <c r="I1" s="2478"/>
      <c r="J1" s="1420"/>
    </row>
    <row r="2" spans="2:10" s="317" customFormat="1" ht="12.75" customHeight="1" x14ac:dyDescent="0.2">
      <c r="B2" s="2479">
        <f>'Single Audit Cover'!E7</f>
        <v>35050001026</v>
      </c>
      <c r="C2" s="2480"/>
      <c r="D2" s="2480"/>
      <c r="E2" s="2480"/>
      <c r="F2" s="2480"/>
      <c r="G2" s="2480"/>
      <c r="H2" s="2480"/>
      <c r="I2" s="2480"/>
      <c r="J2" s="1420"/>
    </row>
    <row r="3" spans="2:10" s="317" customFormat="1" ht="12.75" customHeight="1" x14ac:dyDescent="0.2">
      <c r="B3" s="2481" t="s">
        <v>1347</v>
      </c>
      <c r="C3" s="2482"/>
      <c r="D3" s="2482"/>
      <c r="E3" s="2482"/>
      <c r="F3" s="2482"/>
      <c r="G3" s="2482"/>
      <c r="H3" s="2482"/>
      <c r="I3" s="2482"/>
      <c r="J3" s="1421"/>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1" t="s">
        <v>1346</v>
      </c>
      <c r="C7" s="2482"/>
      <c r="D7" s="2482"/>
      <c r="E7" s="2482"/>
      <c r="F7" s="2482"/>
      <c r="G7" s="2482"/>
      <c r="H7" s="2482"/>
      <c r="I7" s="2482"/>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3"/>
      <c r="D11" s="2483"/>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4"/>
      <c r="E29" s="2484"/>
      <c r="F29" s="2484"/>
      <c r="G29" s="2484"/>
      <c r="H29" s="2484"/>
      <c r="I29" s="2484"/>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5" t="s">
        <v>1854</v>
      </c>
      <c r="D37" s="2486"/>
      <c r="E37" s="2486"/>
      <c r="F37" s="2487"/>
      <c r="G37" s="2485" t="s">
        <v>1674</v>
      </c>
      <c r="H37" s="2486"/>
      <c r="I37" s="2487"/>
    </row>
    <row r="38" spans="2:9" ht="16.5" customHeight="1" x14ac:dyDescent="0.2">
      <c r="B38" s="1442"/>
      <c r="C38" s="2473"/>
      <c r="D38" s="2474"/>
      <c r="E38" s="2474"/>
      <c r="F38" s="2475"/>
      <c r="G38" s="2488"/>
      <c r="H38" s="2489"/>
      <c r="I38" s="2490"/>
    </row>
    <row r="39" spans="2:9" ht="16.5" customHeight="1" x14ac:dyDescent="0.2">
      <c r="B39" s="1442"/>
      <c r="C39" s="2473"/>
      <c r="D39" s="2474"/>
      <c r="E39" s="2474"/>
      <c r="F39" s="2475"/>
      <c r="G39" s="2476"/>
      <c r="H39" s="2476"/>
      <c r="I39" s="2476"/>
    </row>
    <row r="40" spans="2:9" ht="16.5" customHeight="1" x14ac:dyDescent="0.2">
      <c r="B40" s="1442"/>
      <c r="C40" s="2473"/>
      <c r="D40" s="2474"/>
      <c r="E40" s="2474"/>
      <c r="F40" s="2475"/>
      <c r="G40" s="2476"/>
      <c r="H40" s="2476"/>
      <c r="I40" s="2476"/>
    </row>
    <row r="41" spans="2:9" ht="16.5" customHeight="1" x14ac:dyDescent="0.2">
      <c r="B41" s="1442"/>
      <c r="C41" s="2473"/>
      <c r="D41" s="2474"/>
      <c r="E41" s="2474"/>
      <c r="F41" s="2475"/>
      <c r="G41" s="2476"/>
      <c r="H41" s="2476"/>
      <c r="I41" s="2476"/>
    </row>
    <row r="42" spans="2:9" ht="16.5" customHeight="1" x14ac:dyDescent="0.2">
      <c r="B42" s="1442"/>
      <c r="C42" s="2473"/>
      <c r="D42" s="2474"/>
      <c r="E42" s="2474"/>
      <c r="F42" s="2475"/>
      <c r="G42" s="2476"/>
      <c r="H42" s="2476"/>
      <c r="I42" s="2476"/>
    </row>
    <row r="43" spans="2:9" ht="16.5" customHeight="1" x14ac:dyDescent="0.2">
      <c r="B43" s="1442"/>
      <c r="C43" s="2466" t="s">
        <v>1675</v>
      </c>
      <c r="D43" s="2467"/>
      <c r="E43" s="2467"/>
      <c r="F43" s="2468"/>
      <c r="G43" s="2469">
        <f>SUM(G38:I42)</f>
        <v>0</v>
      </c>
      <c r="H43" s="2469"/>
      <c r="I43" s="2469"/>
    </row>
    <row r="44" spans="2:9" ht="12.75" customHeight="1" x14ac:dyDescent="0.2"/>
    <row r="45" spans="2:9" ht="12.75" customHeight="1" x14ac:dyDescent="0.2">
      <c r="B45" s="1433" t="s">
        <v>1952</v>
      </c>
      <c r="D45" s="2470">
        <v>0</v>
      </c>
      <c r="E45" s="2471"/>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2"/>
      <c r="F49" s="2472"/>
      <c r="G49" s="2472"/>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Leland CUSD 1</v>
      </c>
      <c r="C1" s="2477"/>
      <c r="D1" s="2477"/>
      <c r="E1" s="2477"/>
      <c r="F1" s="2477"/>
      <c r="G1" s="2477"/>
      <c r="H1" s="2477"/>
      <c r="I1" s="2477"/>
      <c r="J1" s="2477"/>
      <c r="K1" s="2477"/>
      <c r="L1" s="1372"/>
      <c r="M1" s="1372"/>
    </row>
    <row r="2" spans="1:13" ht="12" customHeight="1" x14ac:dyDescent="0.2">
      <c r="B2" s="2479">
        <f>'Single Audit Cover'!E7</f>
        <v>35050001026</v>
      </c>
      <c r="C2" s="2479"/>
      <c r="D2" s="2479"/>
      <c r="E2" s="2479"/>
      <c r="F2" s="2479"/>
      <c r="G2" s="2479"/>
      <c r="H2" s="2479"/>
      <c r="I2" s="2479"/>
      <c r="J2" s="2479"/>
      <c r="K2" s="2479"/>
      <c r="L2" s="1373"/>
      <c r="M2" s="1374"/>
    </row>
    <row r="3" spans="1:13" ht="10.35" customHeight="1" x14ac:dyDescent="0.2">
      <c r="B3" s="2493" t="s">
        <v>1347</v>
      </c>
      <c r="C3" s="2493"/>
      <c r="D3" s="2493"/>
      <c r="E3" s="2493"/>
      <c r="F3" s="2493"/>
      <c r="G3" s="2493"/>
      <c r="H3" s="2493"/>
      <c r="I3" s="2493"/>
      <c r="J3" s="2493"/>
      <c r="K3" s="2493"/>
      <c r="L3" s="1954"/>
      <c r="M3" s="195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1363</v>
      </c>
      <c r="C7" s="2494"/>
      <c r="D7" s="2495"/>
      <c r="E7" s="2495"/>
      <c r="F7" s="2495"/>
      <c r="G7" s="2495"/>
      <c r="H7" s="2495"/>
      <c r="I7" s="2495"/>
      <c r="J7" s="2495"/>
      <c r="K7" s="249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2015</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5.5" customHeight="1" x14ac:dyDescent="0.2">
      <c r="B14" s="2492" t="s">
        <v>2106</v>
      </c>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2" t="s">
        <v>2107</v>
      </c>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6" t="s">
        <v>2108</v>
      </c>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2" t="s">
        <v>2109</v>
      </c>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2" t="s">
        <v>2110</v>
      </c>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1" t="s">
        <v>2111</v>
      </c>
      <c r="C29" s="2491"/>
      <c r="D29" s="2492"/>
      <c r="E29" s="2492"/>
      <c r="F29" s="2492"/>
      <c r="G29" s="2492"/>
      <c r="H29" s="2492"/>
      <c r="I29" s="2492"/>
      <c r="J29" s="2492"/>
      <c r="K29" s="249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1" t="s">
        <v>2112</v>
      </c>
      <c r="C32" s="2491"/>
      <c r="D32" s="2492"/>
      <c r="E32" s="2492"/>
      <c r="F32" s="2492"/>
      <c r="G32" s="2492"/>
      <c r="H32" s="2492"/>
      <c r="I32" s="2492"/>
      <c r="J32" s="2492"/>
      <c r="K32" s="249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Leland CUSD 1</v>
      </c>
      <c r="C1" s="2477"/>
      <c r="D1" s="2477"/>
      <c r="E1" s="2477"/>
      <c r="F1" s="2477"/>
      <c r="G1" s="2477"/>
      <c r="H1" s="2477"/>
      <c r="I1" s="2477"/>
      <c r="J1" s="2477"/>
      <c r="K1" s="2477"/>
      <c r="L1" s="1372"/>
      <c r="M1" s="1372"/>
    </row>
    <row r="2" spans="1:13" ht="12" customHeight="1" x14ac:dyDescent="0.2">
      <c r="B2" s="2479">
        <f>'Single Audit Cover'!E7</f>
        <v>35050001026</v>
      </c>
      <c r="C2" s="2479"/>
      <c r="D2" s="2479"/>
      <c r="E2" s="2479"/>
      <c r="F2" s="2479"/>
      <c r="G2" s="2479"/>
      <c r="H2" s="2479"/>
      <c r="I2" s="2479"/>
      <c r="J2" s="2479"/>
      <c r="K2" s="2479"/>
      <c r="L2" s="1373"/>
      <c r="M2" s="1374"/>
    </row>
    <row r="3" spans="1:13" ht="10.35" customHeight="1" x14ac:dyDescent="0.2">
      <c r="B3" s="2493" t="s">
        <v>1347</v>
      </c>
      <c r="C3" s="2493"/>
      <c r="D3" s="2493"/>
      <c r="E3" s="2493"/>
      <c r="F3" s="2493"/>
      <c r="G3" s="2493"/>
      <c r="H3" s="2493"/>
      <c r="I3" s="2493"/>
      <c r="J3" s="2493"/>
      <c r="K3" s="2493"/>
      <c r="L3" s="1375"/>
      <c r="M3" s="1375"/>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1363</v>
      </c>
      <c r="C7" s="2494"/>
      <c r="D7" s="2495"/>
      <c r="E7" s="2495"/>
      <c r="F7" s="2495"/>
      <c r="G7" s="2495"/>
      <c r="H7" s="2495"/>
      <c r="I7" s="2495"/>
      <c r="J7" s="2495"/>
      <c r="K7" s="249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2015</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5.5" customHeight="1" x14ac:dyDescent="0.2">
      <c r="B14" s="2492"/>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2"/>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6"/>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2"/>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2"/>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1"/>
      <c r="C29" s="2491"/>
      <c r="D29" s="2492"/>
      <c r="E29" s="2492"/>
      <c r="F29" s="2492"/>
      <c r="G29" s="2492"/>
      <c r="H29" s="2492"/>
      <c r="I29" s="2492"/>
      <c r="J29" s="2492"/>
      <c r="K29" s="249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1"/>
      <c r="C32" s="2491"/>
      <c r="D32" s="2492"/>
      <c r="E32" s="2492"/>
      <c r="F32" s="2492"/>
      <c r="G32" s="2492"/>
      <c r="H32" s="2492"/>
      <c r="I32" s="2492"/>
      <c r="J32" s="2492"/>
      <c r="K32" s="249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Leland CUSD 1</v>
      </c>
      <c r="C1" s="2500"/>
      <c r="D1" s="2500"/>
      <c r="E1" s="2500"/>
      <c r="F1" s="2500"/>
      <c r="G1" s="2500"/>
      <c r="H1" s="2500"/>
      <c r="I1" s="2500"/>
      <c r="J1" s="2500"/>
      <c r="K1" s="2500"/>
      <c r="L1" s="1463"/>
    </row>
    <row r="2" spans="1:12" ht="12.75" customHeight="1" x14ac:dyDescent="0.2">
      <c r="B2" s="2501">
        <f>'Single Audit Cover'!E7</f>
        <v>35050001026</v>
      </c>
      <c r="C2" s="2501"/>
      <c r="D2" s="2501"/>
      <c r="E2" s="2501"/>
      <c r="F2" s="2501"/>
      <c r="G2" s="2501"/>
      <c r="H2" s="2501"/>
      <c r="I2" s="2501"/>
      <c r="J2" s="2501"/>
      <c r="K2" s="2501"/>
      <c r="L2" s="1464"/>
    </row>
    <row r="3" spans="1:12" ht="12.75" customHeight="1" x14ac:dyDescent="0.2">
      <c r="B3" s="2493" t="s">
        <v>1347</v>
      </c>
      <c r="C3" s="2493"/>
      <c r="D3" s="2493"/>
      <c r="E3" s="2493"/>
      <c r="F3" s="2493"/>
      <c r="G3" s="2493"/>
      <c r="H3" s="2493"/>
      <c r="I3" s="2493"/>
      <c r="J3" s="2493"/>
      <c r="K3" s="2493"/>
      <c r="L3" s="1375"/>
    </row>
    <row r="4" spans="1:12" ht="12.75" customHeight="1" x14ac:dyDescent="0.2">
      <c r="B4" s="2493" t="str">
        <f>'Single Audit Cover'!A4</f>
        <v>Year Ending June 30, 2018</v>
      </c>
      <c r="C4" s="2493"/>
      <c r="D4" s="2493"/>
      <c r="E4" s="2493"/>
      <c r="F4" s="2493"/>
      <c r="G4" s="2493"/>
      <c r="H4" s="2493"/>
      <c r="I4" s="2493"/>
      <c r="J4" s="2493"/>
      <c r="K4" s="2493"/>
      <c r="L4" s="1375"/>
    </row>
    <row r="5" spans="1:12" ht="5.25" customHeight="1" x14ac:dyDescent="0.2">
      <c r="B5" s="1258" t="s">
        <v>1231</v>
      </c>
      <c r="C5" s="1258"/>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4"/>
      <c r="G12" s="2484"/>
      <c r="H12" s="2484"/>
      <c r="I12" s="2484"/>
      <c r="J12" s="2484"/>
      <c r="K12" s="2484"/>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7"/>
      <c r="E14" s="2497"/>
      <c r="F14" s="2497"/>
      <c r="H14" s="1473" t="s">
        <v>1370</v>
      </c>
      <c r="I14" s="2498"/>
      <c r="J14" s="2498"/>
      <c r="K14" s="249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8"/>
      <c r="E16" s="2498"/>
      <c r="F16" s="2498"/>
      <c r="G16" s="2498"/>
      <c r="H16" s="2498"/>
      <c r="I16" s="2498"/>
      <c r="J16" s="2498"/>
      <c r="K16" s="2498"/>
      <c r="L16" s="322"/>
    </row>
    <row r="17" spans="2:12" ht="13.5" customHeight="1" x14ac:dyDescent="0.2">
      <c r="B17" s="1385" t="s">
        <v>1368</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2"/>
      <c r="C20" s="2492"/>
      <c r="D20" s="2492"/>
      <c r="E20" s="2492"/>
      <c r="F20" s="2492"/>
      <c r="G20" s="2492"/>
      <c r="H20" s="2492"/>
      <c r="I20" s="2492"/>
      <c r="J20" s="2492"/>
      <c r="K20" s="249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7" t="str">
        <f>'Single Audit Cover'!A7</f>
        <v>Leland CUSD 1</v>
      </c>
      <c r="C1" s="2477"/>
      <c r="D1" s="2477"/>
      <c r="E1" s="1489"/>
    </row>
    <row r="2" spans="2:5" s="1280" customFormat="1" ht="12.75" customHeight="1" x14ac:dyDescent="0.2">
      <c r="B2" s="2479">
        <f>'Single Audit Cover'!E7</f>
        <v>35050001026</v>
      </c>
      <c r="C2" s="2479"/>
      <c r="D2" s="2479"/>
      <c r="E2" s="1490"/>
    </row>
    <row r="3" spans="2:5" ht="12.75" customHeight="1" x14ac:dyDescent="0.2">
      <c r="B3" s="2493" t="s">
        <v>1869</v>
      </c>
      <c r="C3" s="2493"/>
      <c r="D3" s="2493"/>
      <c r="E3" s="1272"/>
    </row>
    <row r="4" spans="2:5" s="1280" customFormat="1" ht="12.75" customHeight="1" x14ac:dyDescent="0.2">
      <c r="B4" s="2503" t="str">
        <f>'Single Audit Cover'!A4</f>
        <v>Year Ending June 30, 2018</v>
      </c>
      <c r="C4" s="2503"/>
      <c r="D4" s="2503"/>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2104</v>
      </c>
      <c r="C7" s="324" t="s">
        <v>2105</v>
      </c>
      <c r="D7" s="324" t="s">
        <v>2119</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50391812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0.04</v>
      </c>
      <c r="E10" s="356" t="s">
        <v>1062</v>
      </c>
      <c r="F10" s="355">
        <v>5.0000000000000001E-3</v>
      </c>
      <c r="G10" s="356" t="s">
        <v>1062</v>
      </c>
      <c r="H10" s="355">
        <v>2E-3</v>
      </c>
      <c r="I10" s="356" t="s">
        <v>1063</v>
      </c>
      <c r="J10" s="1752">
        <f>ROUND(D10+F10+H10,5)</f>
        <v>4.7E-2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3335743</v>
      </c>
      <c r="E16" s="356"/>
      <c r="F16" s="1753">
        <f>SUM('Acct Summary 7-8'!C17,'Acct Summary 7-8'!D17,'Acct Summary 7-8'!F17)</f>
        <v>3074259</v>
      </c>
      <c r="G16" s="356"/>
      <c r="H16" s="1753">
        <f>SUM(D16-F16)</f>
        <v>261484</v>
      </c>
      <c r="I16" s="222"/>
      <c r="J16" s="1753">
        <f>SUM('Acct Summary 7-8'!C81,'Acct Summary 7-8'!D81,'Acct Summary 7-8'!F81,'Acct Summary 7-8'!I81)</f>
        <v>2995244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6954070.0560000008</v>
      </c>
      <c r="I31" s="368"/>
      <c r="J31" s="222"/>
      <c r="K31" s="222"/>
      <c r="L31" s="222"/>
      <c r="M31" s="222"/>
    </row>
    <row r="32" spans="1:13" ht="13.35" customHeight="1" x14ac:dyDescent="0.2">
      <c r="B32" s="369" t="s">
        <v>2086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1990000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Leland CUSD 1</v>
      </c>
      <c r="E7" s="391"/>
      <c r="G7" s="252"/>
      <c r="H7" s="387"/>
      <c r="I7" s="387"/>
      <c r="J7" s="387"/>
      <c r="K7" s="387"/>
      <c r="L7" s="329"/>
      <c r="M7" s="329"/>
      <c r="N7" s="329"/>
      <c r="O7" s="329"/>
      <c r="P7" s="329"/>
    </row>
    <row r="8" spans="1:18" ht="12.75" x14ac:dyDescent="0.2">
      <c r="A8" s="329"/>
      <c r="B8" s="329"/>
      <c r="C8" s="389" t="s">
        <v>1187</v>
      </c>
      <c r="D8" s="392">
        <f>COVER!A13</f>
        <v>35050001026</v>
      </c>
      <c r="E8" s="393"/>
      <c r="G8" s="329"/>
      <c r="H8" s="329"/>
      <c r="I8" s="329"/>
      <c r="J8" s="329"/>
      <c r="K8" s="329"/>
      <c r="L8" s="329"/>
      <c r="M8" s="329"/>
      <c r="N8" s="329"/>
      <c r="O8" s="329"/>
      <c r="P8" s="329"/>
    </row>
    <row r="9" spans="1:18" ht="12.75" x14ac:dyDescent="0.2">
      <c r="A9" s="329"/>
      <c r="B9" s="329"/>
      <c r="C9" s="389" t="s">
        <v>737</v>
      </c>
      <c r="D9" s="394" t="str">
        <f>COVER!A15</f>
        <v>LaSalle/Dekalb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2995244</v>
      </c>
      <c r="I12" s="404"/>
      <c r="J12" s="404"/>
      <c r="K12" s="405">
        <f>TRUNC((H12/H13*100000),5)/100000</f>
        <v>0.8979240906</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3335743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3074259</v>
      </c>
      <c r="I17" s="404"/>
      <c r="J17" s="416"/>
      <c r="K17" s="405">
        <f>TRUNC((H17/H18*100000),5)/100000</f>
        <v>0.92161146699999996</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3335743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2995244</v>
      </c>
      <c r="I24" s="422"/>
      <c r="J24" s="422"/>
      <c r="K24" s="423">
        <f>TRUNC(((H24/H25*100000)/100000),2)</f>
        <v>350.74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8539.6083299999991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2013152.8894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1990000</v>
      </c>
      <c r="I32" s="420"/>
      <c r="J32" s="420"/>
      <c r="K32" s="423">
        <f>TRUNC(100-((((H32/H33*100))*100)/100),2)</f>
        <v>71.38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6954070.0560000008</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79"/>
      <c r="D3" s="1580"/>
      <c r="E3" s="1580"/>
      <c r="F3" s="1580"/>
      <c r="G3" s="1580"/>
      <c r="H3" s="1580"/>
      <c r="I3" s="1580"/>
      <c r="J3" s="1580"/>
      <c r="K3" s="1580"/>
      <c r="L3" s="1580"/>
      <c r="M3" s="1581"/>
      <c r="N3" s="1582"/>
    </row>
    <row r="4" spans="1:14" ht="13.5" customHeight="1" x14ac:dyDescent="0.2">
      <c r="A4" s="463" t="s">
        <v>1750</v>
      </c>
      <c r="B4" s="464"/>
      <c r="C4" s="465">
        <v>415607</v>
      </c>
      <c r="D4" s="465">
        <v>0</v>
      </c>
      <c r="E4" s="466">
        <v>90415</v>
      </c>
      <c r="F4" s="466">
        <v>221261</v>
      </c>
      <c r="G4" s="466">
        <v>116731</v>
      </c>
      <c r="H4" s="466">
        <v>0</v>
      </c>
      <c r="I4" s="466">
        <v>115402</v>
      </c>
      <c r="J4" s="467">
        <v>84847</v>
      </c>
      <c r="K4" s="466">
        <v>56586</v>
      </c>
      <c r="L4" s="466">
        <v>125457</v>
      </c>
      <c r="M4" s="468"/>
      <c r="N4" s="469"/>
    </row>
    <row r="5" spans="1:14" x14ac:dyDescent="0.2">
      <c r="A5" s="463" t="s">
        <v>1049</v>
      </c>
      <c r="B5" s="470">
        <v>120</v>
      </c>
      <c r="C5" s="465">
        <v>569490</v>
      </c>
      <c r="D5" s="466">
        <v>586704</v>
      </c>
      <c r="E5" s="466">
        <v>0</v>
      </c>
      <c r="F5" s="466">
        <v>324334</v>
      </c>
      <c r="G5" s="466">
        <v>71777</v>
      </c>
      <c r="H5" s="466">
        <v>0</v>
      </c>
      <c r="I5" s="466">
        <v>762446</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985097</v>
      </c>
      <c r="D13" s="1757">
        <f t="shared" ref="D13:L13" si="0">SUM(D4:D12)</f>
        <v>586704</v>
      </c>
      <c r="E13" s="1757">
        <f t="shared" si="0"/>
        <v>90415</v>
      </c>
      <c r="F13" s="1757">
        <f t="shared" si="0"/>
        <v>545595</v>
      </c>
      <c r="G13" s="1757">
        <f t="shared" si="0"/>
        <v>188508</v>
      </c>
      <c r="H13" s="1757">
        <f t="shared" si="0"/>
        <v>0</v>
      </c>
      <c r="I13" s="1757">
        <f t="shared" si="0"/>
        <v>877848</v>
      </c>
      <c r="J13" s="1757">
        <f t="shared" si="0"/>
        <v>84847</v>
      </c>
      <c r="K13" s="1757">
        <f t="shared" si="0"/>
        <v>56586</v>
      </c>
      <c r="L13" s="1757">
        <f t="shared" si="0"/>
        <v>125457</v>
      </c>
      <c r="M13" s="468"/>
      <c r="N13" s="469"/>
    </row>
    <row r="14" spans="1:14" ht="18" customHeight="1" thickTop="1" x14ac:dyDescent="0.2">
      <c r="A14" s="2127" t="s">
        <v>149</v>
      </c>
      <c r="B14" s="2128"/>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136694</v>
      </c>
      <c r="N16" s="483"/>
    </row>
    <row r="17" spans="1:14" s="484" customFormat="1" ht="12.75" customHeight="1" x14ac:dyDescent="0.2">
      <c r="A17" s="481" t="s">
        <v>1470</v>
      </c>
      <c r="B17" s="482">
        <v>230</v>
      </c>
      <c r="C17" s="476"/>
      <c r="D17" s="476"/>
      <c r="E17" s="476"/>
      <c r="F17" s="476"/>
      <c r="G17" s="476"/>
      <c r="H17" s="476"/>
      <c r="I17" s="476"/>
      <c r="J17" s="476"/>
      <c r="K17" s="476"/>
      <c r="L17" s="476"/>
      <c r="M17" s="467">
        <v>4270570</v>
      </c>
      <c r="N17" s="483"/>
    </row>
    <row r="18" spans="1:14" s="484" customFormat="1" ht="12.75" customHeight="1" x14ac:dyDescent="0.2">
      <c r="A18" s="481" t="s">
        <v>1471</v>
      </c>
      <c r="B18" s="482">
        <v>240</v>
      </c>
      <c r="C18" s="476"/>
      <c r="D18" s="476"/>
      <c r="E18" s="476"/>
      <c r="F18" s="476"/>
      <c r="G18" s="476"/>
      <c r="H18" s="476"/>
      <c r="I18" s="476"/>
      <c r="J18" s="476"/>
      <c r="K18" s="476"/>
      <c r="L18" s="476"/>
      <c r="M18" s="467">
        <v>3049925</v>
      </c>
      <c r="N18" s="483"/>
    </row>
    <row r="19" spans="1:14" s="484" customFormat="1" ht="12.75" customHeight="1" x14ac:dyDescent="0.2">
      <c r="A19" s="481" t="s">
        <v>1472</v>
      </c>
      <c r="B19" s="482">
        <v>250</v>
      </c>
      <c r="C19" s="476"/>
      <c r="D19" s="476"/>
      <c r="E19" s="476"/>
      <c r="F19" s="476"/>
      <c r="G19" s="476"/>
      <c r="H19" s="476"/>
      <c r="I19" s="476"/>
      <c r="J19" s="476"/>
      <c r="K19" s="476"/>
      <c r="L19" s="476"/>
      <c r="M19" s="467">
        <v>914732</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90415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1899585</v>
      </c>
    </row>
    <row r="23" spans="1:14" ht="13.5" customHeight="1" thickBot="1" x14ac:dyDescent="0.25">
      <c r="A23" s="1756" t="s">
        <v>664</v>
      </c>
      <c r="B23" s="1761"/>
      <c r="C23" s="468"/>
      <c r="D23" s="468"/>
      <c r="E23" s="468"/>
      <c r="F23" s="468"/>
      <c r="G23" s="468"/>
      <c r="H23" s="468"/>
      <c r="I23" s="468"/>
      <c r="J23" s="468"/>
      <c r="K23" s="468"/>
      <c r="L23" s="468"/>
      <c r="M23" s="1708">
        <f>SUM(M15:M22)</f>
        <v>8371921</v>
      </c>
      <c r="N23" s="1708">
        <f>SUM(N21:N22)</f>
        <v>1990000</v>
      </c>
    </row>
    <row r="24" spans="1:14" ht="18" customHeight="1" thickTop="1" x14ac:dyDescent="0.2">
      <c r="A24" s="2129" t="s">
        <v>619</v>
      </c>
      <c r="B24" s="2130"/>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46299</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46299</v>
      </c>
      <c r="M34" s="468"/>
      <c r="N34" s="479"/>
    </row>
    <row r="35" spans="1:14" ht="18" customHeight="1" thickTop="1" x14ac:dyDescent="0.2">
      <c r="A35" s="2131" t="s">
        <v>550</v>
      </c>
      <c r="B35" s="2132"/>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1990000</v>
      </c>
    </row>
    <row r="37" spans="1:14" ht="13.5" thickBot="1" x14ac:dyDescent="0.25">
      <c r="A37" s="1756" t="s">
        <v>674</v>
      </c>
      <c r="B37" s="1761"/>
      <c r="C37" s="476"/>
      <c r="D37" s="476"/>
      <c r="E37" s="476"/>
      <c r="F37" s="476"/>
      <c r="G37" s="476"/>
      <c r="H37" s="476"/>
      <c r="I37" s="476"/>
      <c r="J37" s="476"/>
      <c r="K37" s="476"/>
      <c r="L37" s="479"/>
      <c r="M37" s="468"/>
      <c r="N37" s="1708">
        <f>SUM(N36:N36)</f>
        <v>1990000</v>
      </c>
    </row>
    <row r="38" spans="1:14" s="329" customFormat="1" ht="13.5" customHeight="1" thickTop="1" x14ac:dyDescent="0.2">
      <c r="A38" s="494" t="s">
        <v>440</v>
      </c>
      <c r="B38" s="482">
        <v>714</v>
      </c>
      <c r="C38" s="465">
        <v>42369</v>
      </c>
      <c r="D38" s="465">
        <v>0</v>
      </c>
      <c r="E38" s="465">
        <v>0</v>
      </c>
      <c r="F38" s="465">
        <v>0</v>
      </c>
      <c r="G38" s="465">
        <v>82730</v>
      </c>
      <c r="H38" s="465">
        <v>0</v>
      </c>
      <c r="I38" s="465">
        <v>0</v>
      </c>
      <c r="J38" s="465">
        <v>0</v>
      </c>
      <c r="K38" s="465">
        <v>0</v>
      </c>
      <c r="L38" s="465">
        <v>79158</v>
      </c>
      <c r="M38" s="495"/>
      <c r="N38" s="495"/>
    </row>
    <row r="39" spans="1:14" s="329" customFormat="1" ht="13.5" customHeight="1" x14ac:dyDescent="0.2">
      <c r="A39" s="494" t="s">
        <v>360</v>
      </c>
      <c r="B39" s="482">
        <v>730</v>
      </c>
      <c r="C39" s="465">
        <v>942728</v>
      </c>
      <c r="D39" s="465">
        <v>586704</v>
      </c>
      <c r="E39" s="465">
        <v>90415</v>
      </c>
      <c r="F39" s="465">
        <v>545595</v>
      </c>
      <c r="G39" s="465">
        <v>105778</v>
      </c>
      <c r="H39" s="465">
        <v>0</v>
      </c>
      <c r="I39" s="465">
        <v>877848</v>
      </c>
      <c r="J39" s="465">
        <v>84847</v>
      </c>
      <c r="K39" s="465">
        <v>56586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8371921</v>
      </c>
      <c r="N40" s="495"/>
    </row>
    <row r="41" spans="1:14" ht="13.5" customHeight="1" thickBot="1" x14ac:dyDescent="0.25">
      <c r="A41" s="1756" t="s">
        <v>676</v>
      </c>
      <c r="B41" s="1726"/>
      <c r="C41" s="1708">
        <f>(SUM(C34,C37,C38,C39))</f>
        <v>985097</v>
      </c>
      <c r="D41" s="1708">
        <f t="shared" ref="D41:L41" si="2">SUM(D34,D37,D38:D39)</f>
        <v>586704</v>
      </c>
      <c r="E41" s="1708">
        <f t="shared" si="2"/>
        <v>90415</v>
      </c>
      <c r="F41" s="1708">
        <f t="shared" si="2"/>
        <v>545595</v>
      </c>
      <c r="G41" s="1708">
        <f t="shared" si="2"/>
        <v>188508</v>
      </c>
      <c r="H41" s="1708">
        <f t="shared" si="2"/>
        <v>0</v>
      </c>
      <c r="I41" s="1708">
        <f t="shared" si="2"/>
        <v>877848</v>
      </c>
      <c r="J41" s="1708">
        <f t="shared" si="2"/>
        <v>84847</v>
      </c>
      <c r="K41" s="1708">
        <f t="shared" si="2"/>
        <v>56586</v>
      </c>
      <c r="L41" s="1708">
        <f t="shared" si="2"/>
        <v>125457</v>
      </c>
      <c r="M41" s="1708">
        <f>SUM(M40)</f>
        <v>8371921</v>
      </c>
      <c r="N41" s="1708">
        <f>SUM(N37)</f>
        <v>1990000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1"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3" t="s">
        <v>1237</v>
      </c>
      <c r="B3" s="2154"/>
      <c r="C3" s="1593"/>
      <c r="D3" s="1594"/>
      <c r="E3" s="1594"/>
      <c r="F3" s="1594"/>
      <c r="G3" s="1594"/>
      <c r="H3" s="1594"/>
      <c r="I3" s="1594"/>
      <c r="J3" s="1594"/>
      <c r="K3" s="1595"/>
      <c r="L3" s="504"/>
    </row>
    <row r="4" spans="1:13" ht="15.75" customHeight="1" x14ac:dyDescent="0.2">
      <c r="A4" s="1952" t="s">
        <v>1579</v>
      </c>
      <c r="B4" s="1953">
        <v>1000</v>
      </c>
      <c r="C4" s="1762">
        <f>'Revenues 9-14'!C109</f>
        <v>2202730</v>
      </c>
      <c r="D4" s="1762">
        <f>'Revenues 9-14'!D109</f>
        <v>258677</v>
      </c>
      <c r="E4" s="1762">
        <f>'Revenues 9-14'!E109</f>
        <v>269406</v>
      </c>
      <c r="F4" s="1762">
        <f>'Revenues 9-14'!F109</f>
        <v>102144</v>
      </c>
      <c r="G4" s="1762">
        <f>'Revenues 9-14'!G109</f>
        <v>154855</v>
      </c>
      <c r="H4" s="1762">
        <f>'Revenues 9-14'!H109</f>
        <v>0</v>
      </c>
      <c r="I4" s="1762">
        <f>'Revenues 9-14'!I109</f>
        <v>34043</v>
      </c>
      <c r="J4" s="1762">
        <f>'Revenues 9-14'!J109</f>
        <v>209618</v>
      </c>
      <c r="K4" s="1762">
        <f>'Revenues 9-14'!K109</f>
        <v>24528</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409473</v>
      </c>
      <c r="D6" s="1763">
        <f>'Revenues 9-14'!D173</f>
        <v>0</v>
      </c>
      <c r="E6" s="1763">
        <f>'Revenues 9-14'!E173</f>
        <v>0</v>
      </c>
      <c r="F6" s="1763">
        <f>'Revenues 9-14'!F173</f>
        <v>107646</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221030</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2833233</v>
      </c>
      <c r="D8" s="1708">
        <f t="shared" ref="D8:K8" si="0">SUM(D4:D7)</f>
        <v>258677</v>
      </c>
      <c r="E8" s="1708">
        <f t="shared" si="0"/>
        <v>269406</v>
      </c>
      <c r="F8" s="1708">
        <f t="shared" si="0"/>
        <v>209790</v>
      </c>
      <c r="G8" s="1708">
        <f t="shared" si="0"/>
        <v>154855</v>
      </c>
      <c r="H8" s="1708">
        <f t="shared" si="0"/>
        <v>0</v>
      </c>
      <c r="I8" s="1708">
        <f t="shared" si="0"/>
        <v>34043</v>
      </c>
      <c r="J8" s="1708">
        <f t="shared" si="0"/>
        <v>209618</v>
      </c>
      <c r="K8" s="1708">
        <f t="shared" si="0"/>
        <v>24528</v>
      </c>
      <c r="L8" s="347"/>
    </row>
    <row r="9" spans="1:13" ht="15.75" thickTop="1" x14ac:dyDescent="0.2">
      <c r="A9" s="512" t="s">
        <v>1752</v>
      </c>
      <c r="B9" s="513">
        <v>3998</v>
      </c>
      <c r="C9" s="465">
        <v>1089844</v>
      </c>
      <c r="D9" s="514"/>
      <c r="E9" s="480"/>
      <c r="F9" s="480"/>
      <c r="G9" s="515"/>
      <c r="H9" s="480"/>
      <c r="I9" s="507" t="s">
        <v>1231</v>
      </c>
      <c r="J9" s="477"/>
      <c r="K9" s="480"/>
      <c r="L9" s="347"/>
    </row>
    <row r="10" spans="1:13" s="517" customFormat="1" ht="13.5" thickBot="1" x14ac:dyDescent="0.25">
      <c r="A10" s="1756" t="s">
        <v>1235</v>
      </c>
      <c r="B10" s="1729"/>
      <c r="C10" s="1708">
        <f>SUM(C8:C9)</f>
        <v>3923077</v>
      </c>
      <c r="D10" s="1708">
        <f t="shared" ref="D10:K10" si="1">SUM(D8:D9)</f>
        <v>258677</v>
      </c>
      <c r="E10" s="1708">
        <f t="shared" si="1"/>
        <v>269406</v>
      </c>
      <c r="F10" s="1708">
        <f t="shared" si="1"/>
        <v>209790</v>
      </c>
      <c r="G10" s="1708">
        <f t="shared" si="1"/>
        <v>154855</v>
      </c>
      <c r="H10" s="1708">
        <f t="shared" si="1"/>
        <v>0</v>
      </c>
      <c r="I10" s="1708">
        <f t="shared" si="1"/>
        <v>34043</v>
      </c>
      <c r="J10" s="1708">
        <f t="shared" si="1"/>
        <v>209618</v>
      </c>
      <c r="K10" s="1708">
        <f t="shared" si="1"/>
        <v>24528</v>
      </c>
      <c r="L10" s="516"/>
    </row>
    <row r="11" spans="1:13" s="517" customFormat="1" ht="16.7" customHeight="1" thickTop="1" x14ac:dyDescent="0.2">
      <c r="A11" s="2127" t="s">
        <v>1238</v>
      </c>
      <c r="B11" s="2128"/>
      <c r="C11" s="1590"/>
      <c r="D11" s="1591"/>
      <c r="E11" s="1591"/>
      <c r="F11" s="1591"/>
      <c r="G11" s="1591"/>
      <c r="H11" s="1591"/>
      <c r="I11" s="1591"/>
      <c r="J11" s="1591"/>
      <c r="K11" s="1592"/>
      <c r="L11" s="516"/>
    </row>
    <row r="12" spans="1:13" ht="15.75" customHeight="1" x14ac:dyDescent="0.2">
      <c r="A12" s="1596" t="s">
        <v>476</v>
      </c>
      <c r="B12" s="1598">
        <v>1000</v>
      </c>
      <c r="C12" s="1762">
        <f>'Expenditures 15-22'!K33</f>
        <v>1718214</v>
      </c>
      <c r="D12" s="518" t="s">
        <v>1231</v>
      </c>
      <c r="E12" s="468" t="s">
        <v>1231</v>
      </c>
      <c r="F12" s="468" t="s">
        <v>1231</v>
      </c>
      <c r="G12" s="1762">
        <f>'Expenditures 15-22'!K229</f>
        <v>35372</v>
      </c>
      <c r="H12" s="519"/>
      <c r="I12" s="468" t="s">
        <v>1231</v>
      </c>
      <c r="J12" s="468" t="s">
        <v>1231</v>
      </c>
      <c r="K12" s="519" t="s">
        <v>1231</v>
      </c>
      <c r="L12" s="347"/>
    </row>
    <row r="13" spans="1:13" ht="15.75" customHeight="1" x14ac:dyDescent="0.2">
      <c r="A13" s="1596" t="s">
        <v>477</v>
      </c>
      <c r="B13" s="1598">
        <v>2000</v>
      </c>
      <c r="C13" s="1763">
        <f>'Expenditures 15-22'!K74</f>
        <v>681761</v>
      </c>
      <c r="D13" s="1763">
        <f>'Expenditures 15-22'!K129</f>
        <v>268596</v>
      </c>
      <c r="E13" s="469" t="s">
        <v>1231</v>
      </c>
      <c r="F13" s="1763">
        <f>'Expenditures 15-22'!K184</f>
        <v>193582</v>
      </c>
      <c r="G13" s="1763">
        <f>'Expenditures 15-22'!K279</f>
        <v>63429</v>
      </c>
      <c r="H13" s="1763">
        <f>'Expenditures 15-22'!K303</f>
        <v>0</v>
      </c>
      <c r="I13" s="468" t="s">
        <v>1231</v>
      </c>
      <c r="J13" s="1763">
        <f>'Expenditures 15-22'!K330</f>
        <v>246979</v>
      </c>
      <c r="K13" s="1767">
        <f>'Expenditures 15-22'!K352</f>
        <v>38925</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212106</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265670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2612081</v>
      </c>
      <c r="D17" s="1708">
        <f t="shared" si="2"/>
        <v>268596</v>
      </c>
      <c r="E17" s="1708">
        <f t="shared" si="2"/>
        <v>265670</v>
      </c>
      <c r="F17" s="1708">
        <f t="shared" si="2"/>
        <v>193582</v>
      </c>
      <c r="G17" s="1708">
        <f t="shared" si="2"/>
        <v>98801</v>
      </c>
      <c r="H17" s="1708">
        <f t="shared" si="2"/>
        <v>0</v>
      </c>
      <c r="I17" s="468"/>
      <c r="J17" s="1708">
        <f>SUM(J12:J16)</f>
        <v>246979</v>
      </c>
      <c r="K17" s="1708">
        <f>SUM(K12:K16)</f>
        <v>38925</v>
      </c>
      <c r="L17" s="347"/>
    </row>
    <row r="18" spans="1:12" ht="15" customHeight="1" thickTop="1" x14ac:dyDescent="0.2">
      <c r="A18" s="1764" t="s">
        <v>1753</v>
      </c>
      <c r="B18" s="1765">
        <v>4180</v>
      </c>
      <c r="C18" s="1762">
        <f t="shared" ref="C18:H18" si="3">C9</f>
        <v>1089844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3701925</v>
      </c>
      <c r="D19" s="1708">
        <f t="shared" si="4"/>
        <v>268596</v>
      </c>
      <c r="E19" s="1708">
        <f t="shared" si="4"/>
        <v>265670</v>
      </c>
      <c r="F19" s="1708">
        <f t="shared" si="4"/>
        <v>193582</v>
      </c>
      <c r="G19" s="1708">
        <f t="shared" si="4"/>
        <v>98801</v>
      </c>
      <c r="H19" s="1708">
        <f t="shared" si="4"/>
        <v>0</v>
      </c>
      <c r="I19" s="468"/>
      <c r="J19" s="1708">
        <f>SUM(J17:J18)</f>
        <v>246979</v>
      </c>
      <c r="K19" s="1708">
        <f>SUM(K17:K18)</f>
        <v>38925</v>
      </c>
      <c r="L19" s="347"/>
    </row>
    <row r="20" spans="1:12" ht="16.5" thickTop="1" thickBot="1" x14ac:dyDescent="0.25">
      <c r="A20" s="2143" t="s">
        <v>1754</v>
      </c>
      <c r="B20" s="2144"/>
      <c r="C20" s="1766">
        <f>C8-C17</f>
        <v>221152</v>
      </c>
      <c r="D20" s="1766">
        <f t="shared" ref="D20:K20" si="5">D8-D17</f>
        <v>-9919</v>
      </c>
      <c r="E20" s="1766">
        <f t="shared" si="5"/>
        <v>3736</v>
      </c>
      <c r="F20" s="1766">
        <f t="shared" si="5"/>
        <v>16208</v>
      </c>
      <c r="G20" s="1766">
        <f t="shared" si="5"/>
        <v>56054</v>
      </c>
      <c r="H20" s="1766">
        <f t="shared" si="5"/>
        <v>0</v>
      </c>
      <c r="I20" s="1766">
        <f t="shared" si="5"/>
        <v>34043</v>
      </c>
      <c r="J20" s="1766">
        <f t="shared" si="5"/>
        <v>-37361</v>
      </c>
      <c r="K20" s="1766">
        <f t="shared" si="5"/>
        <v>-14397</v>
      </c>
      <c r="L20" s="347"/>
    </row>
    <row r="21" spans="1:12" ht="16.7" customHeight="1" thickTop="1" x14ac:dyDescent="0.2">
      <c r="A21" s="2155" t="s">
        <v>616</v>
      </c>
      <c r="B21" s="2156"/>
      <c r="C21" s="1590"/>
      <c r="D21" s="1591"/>
      <c r="E21" s="1591"/>
      <c r="F21" s="1591"/>
      <c r="G21" s="1591"/>
      <c r="H21" s="1591"/>
      <c r="I21" s="1591"/>
      <c r="J21" s="1591"/>
      <c r="K21" s="1592"/>
      <c r="L21" s="522"/>
    </row>
    <row r="22" spans="1:12" ht="15.75" customHeight="1" collapsed="1" x14ac:dyDescent="0.2">
      <c r="A22" s="2151" t="s">
        <v>617</v>
      </c>
      <c r="B22" s="2152"/>
      <c r="C22" s="476"/>
      <c r="D22" s="476"/>
      <c r="E22" s="476"/>
      <c r="F22" s="476"/>
      <c r="G22" s="476"/>
      <c r="H22" s="476"/>
      <c r="I22" s="476"/>
      <c r="J22" s="476"/>
      <c r="K22" s="476"/>
      <c r="L22" s="347"/>
    </row>
    <row r="23" spans="1:12" s="484" customFormat="1" ht="15.75" customHeight="1" x14ac:dyDescent="0.2">
      <c r="A23" s="2147" t="s">
        <v>311</v>
      </c>
      <c r="B23" s="2148"/>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9" t="s">
        <v>1038</v>
      </c>
      <c r="B32" s="2150"/>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7" t="s">
        <v>392</v>
      </c>
      <c r="B44" s="2158"/>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1" t="s">
        <v>110</v>
      </c>
      <c r="B45" s="2152"/>
      <c r="C45" s="526"/>
      <c r="D45" s="526"/>
      <c r="E45" s="526"/>
      <c r="F45" s="526"/>
      <c r="G45" s="526"/>
      <c r="H45" s="526"/>
      <c r="I45" s="526"/>
      <c r="J45" s="526"/>
      <c r="K45" s="526"/>
      <c r="L45" s="347"/>
    </row>
    <row r="46" spans="1:12" s="484" customFormat="1" ht="15.75" customHeight="1" x14ac:dyDescent="0.2">
      <c r="A46" s="2159" t="s">
        <v>111</v>
      </c>
      <c r="B46" s="2160"/>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3" t="s">
        <v>460</v>
      </c>
      <c r="B76" s="2134"/>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5" t="s">
        <v>1239</v>
      </c>
      <c r="B77" s="2136"/>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9" t="s">
        <v>618</v>
      </c>
      <c r="B78" s="2140"/>
      <c r="C78" s="1722">
        <f t="shared" ref="C78:K78" si="9">C20+C77</f>
        <v>221152</v>
      </c>
      <c r="D78" s="1722">
        <f t="shared" si="9"/>
        <v>-9919</v>
      </c>
      <c r="E78" s="1722">
        <f t="shared" si="9"/>
        <v>3736</v>
      </c>
      <c r="F78" s="1722">
        <f t="shared" si="9"/>
        <v>16208</v>
      </c>
      <c r="G78" s="1722">
        <f t="shared" si="9"/>
        <v>56054</v>
      </c>
      <c r="H78" s="1722">
        <f t="shared" si="9"/>
        <v>0</v>
      </c>
      <c r="I78" s="1722">
        <f t="shared" si="9"/>
        <v>34043</v>
      </c>
      <c r="J78" s="1722">
        <f t="shared" si="9"/>
        <v>-37361</v>
      </c>
      <c r="K78" s="1722">
        <f t="shared" si="9"/>
        <v>-14397</v>
      </c>
      <c r="L78" s="531"/>
    </row>
    <row r="79" spans="1:12" ht="13.5" thickTop="1" x14ac:dyDescent="0.2">
      <c r="A79" s="1514" t="s">
        <v>2073</v>
      </c>
      <c r="B79" s="532"/>
      <c r="C79" s="467">
        <v>763945</v>
      </c>
      <c r="D79" s="467">
        <v>596623</v>
      </c>
      <c r="E79" s="467">
        <v>86679</v>
      </c>
      <c r="F79" s="467">
        <v>529387</v>
      </c>
      <c r="G79" s="467">
        <v>132454</v>
      </c>
      <c r="H79" s="467">
        <v>0</v>
      </c>
      <c r="I79" s="467">
        <v>843805</v>
      </c>
      <c r="J79" s="467">
        <v>122208</v>
      </c>
      <c r="K79" s="467">
        <v>70983</v>
      </c>
      <c r="L79" s="347"/>
    </row>
    <row r="80" spans="1:12" x14ac:dyDescent="0.2">
      <c r="A80" s="2145" t="s">
        <v>1898</v>
      </c>
      <c r="B80" s="2146"/>
      <c r="C80" s="467">
        <v>0</v>
      </c>
      <c r="D80" s="467">
        <v>0</v>
      </c>
      <c r="E80" s="467">
        <v>0</v>
      </c>
      <c r="F80" s="467">
        <v>0</v>
      </c>
      <c r="G80" s="467">
        <v>0</v>
      </c>
      <c r="H80" s="467">
        <v>0</v>
      </c>
      <c r="I80" s="467">
        <v>0</v>
      </c>
      <c r="J80" s="467">
        <v>0</v>
      </c>
      <c r="K80" s="467">
        <v>0</v>
      </c>
      <c r="L80" s="347"/>
    </row>
    <row r="81" spans="1:12" ht="13.5" thickBot="1" x14ac:dyDescent="0.25">
      <c r="A81" s="2137" t="s">
        <v>2074</v>
      </c>
      <c r="B81" s="2138"/>
      <c r="C81" s="1708">
        <f>(SUM(C78:C80))</f>
        <v>985097</v>
      </c>
      <c r="D81" s="1708">
        <f>SUM(D78:D80)</f>
        <v>586704</v>
      </c>
      <c r="E81" s="1708">
        <f t="shared" ref="E81:K81" si="10">SUM(E78:E80)</f>
        <v>90415</v>
      </c>
      <c r="F81" s="1708">
        <f t="shared" si="10"/>
        <v>545595</v>
      </c>
      <c r="G81" s="1708">
        <f t="shared" si="10"/>
        <v>188508</v>
      </c>
      <c r="H81" s="1708">
        <f t="shared" si="10"/>
        <v>0</v>
      </c>
      <c r="I81" s="1708">
        <f t="shared" si="10"/>
        <v>877848</v>
      </c>
      <c r="J81" s="1708">
        <f t="shared" si="10"/>
        <v>84847</v>
      </c>
      <c r="K81" s="1708">
        <f t="shared" si="10"/>
        <v>56586</v>
      </c>
      <c r="L81" s="347"/>
    </row>
    <row r="82" spans="1:12" ht="0.75" customHeight="1" thickTop="1" thickBot="1" x14ac:dyDescent="0.25">
      <c r="A82" s="534" t="s">
        <v>361</v>
      </c>
      <c r="B82" s="535"/>
      <c r="C82" s="536">
        <f>(C81-C79)</f>
        <v>221152</v>
      </c>
      <c r="D82" s="536">
        <f t="shared" ref="D82:K82" si="11">(D81-D79)</f>
        <v>-9919</v>
      </c>
      <c r="E82" s="536">
        <f t="shared" si="11"/>
        <v>3736</v>
      </c>
      <c r="F82" s="536">
        <f t="shared" si="11"/>
        <v>16208</v>
      </c>
      <c r="G82" s="536">
        <f t="shared" si="11"/>
        <v>56054</v>
      </c>
      <c r="H82" s="536">
        <f t="shared" si="11"/>
        <v>0</v>
      </c>
      <c r="I82" s="536">
        <f t="shared" si="11"/>
        <v>34043</v>
      </c>
      <c r="J82" s="536">
        <f t="shared" si="11"/>
        <v>-37361</v>
      </c>
      <c r="K82" s="536">
        <f t="shared" si="11"/>
        <v>-14397</v>
      </c>
    </row>
    <row r="83" spans="1:12" ht="14.25" hidden="1" thickTop="1" thickBot="1" x14ac:dyDescent="0.25">
      <c r="A83" s="537" t="s">
        <v>362</v>
      </c>
      <c r="B83" s="464"/>
      <c r="C83" s="538">
        <f>C82/C81</f>
        <v>0.22449768906006209</v>
      </c>
      <c r="D83" s="538">
        <f t="shared" ref="D83:K83" si="12">D82/D81</f>
        <v>-1.6906310507513157E-2</v>
      </c>
      <c r="E83" s="538">
        <f t="shared" si="12"/>
        <v>4.1320577337831114E-2</v>
      </c>
      <c r="F83" s="538">
        <f t="shared" si="12"/>
        <v>2.9707017109760904E-2</v>
      </c>
      <c r="G83" s="538">
        <f t="shared" si="12"/>
        <v>0.29735608037855155</v>
      </c>
      <c r="H83" s="538" t="e">
        <f t="shared" si="12"/>
        <v>#DIV/0!</v>
      </c>
      <c r="I83" s="538">
        <f t="shared" si="12"/>
        <v>3.8780062151989869E-2</v>
      </c>
      <c r="J83" s="538">
        <f t="shared" si="12"/>
        <v>-0.44033377726967365</v>
      </c>
      <c r="K83" s="538">
        <f t="shared" si="12"/>
        <v>-0.25442689004347363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1960783</v>
      </c>
      <c r="D5" s="480">
        <v>245098</v>
      </c>
      <c r="E5" s="480">
        <v>269225</v>
      </c>
      <c r="F5" s="546">
        <v>98040</v>
      </c>
      <c r="G5" s="466">
        <v>60139</v>
      </c>
      <c r="H5" s="466">
        <v>0</v>
      </c>
      <c r="I5" s="466">
        <v>24510</v>
      </c>
      <c r="J5" s="466">
        <v>209481</v>
      </c>
      <c r="K5" s="466">
        <v>24510</v>
      </c>
    </row>
    <row r="6" spans="1:12" ht="15" x14ac:dyDescent="0.2">
      <c r="A6" s="463" t="s">
        <v>1761</v>
      </c>
      <c r="B6" s="470">
        <v>1130</v>
      </c>
      <c r="C6" s="466">
        <v>24510</v>
      </c>
      <c r="D6" s="466">
        <v>0</v>
      </c>
      <c r="E6" s="475"/>
      <c r="F6" s="475"/>
      <c r="G6" s="468"/>
      <c r="H6" s="468"/>
      <c r="I6" s="468"/>
      <c r="J6" s="468"/>
      <c r="K6" s="468"/>
    </row>
    <row r="7" spans="1:12" x14ac:dyDescent="0.2">
      <c r="A7" s="463" t="s">
        <v>112</v>
      </c>
      <c r="B7" s="547">
        <v>1140</v>
      </c>
      <c r="C7" s="466">
        <v>19608</v>
      </c>
      <c r="D7" s="466">
        <v>0</v>
      </c>
      <c r="E7" s="468"/>
      <c r="F7" s="467">
        <v>0</v>
      </c>
      <c r="G7" s="467">
        <v>0</v>
      </c>
      <c r="H7" s="467">
        <v>0</v>
      </c>
      <c r="I7" s="468"/>
      <c r="J7" s="468"/>
      <c r="K7" s="468"/>
    </row>
    <row r="8" spans="1:12" x14ac:dyDescent="0.2">
      <c r="A8" s="463" t="s">
        <v>433</v>
      </c>
      <c r="B8" s="470">
        <v>1150</v>
      </c>
      <c r="C8" s="475"/>
      <c r="D8" s="475"/>
      <c r="E8" s="476"/>
      <c r="F8" s="476"/>
      <c r="G8" s="480">
        <v>85861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2004901</v>
      </c>
      <c r="D12" s="1727">
        <f t="shared" si="0"/>
        <v>245098</v>
      </c>
      <c r="E12" s="1727">
        <f t="shared" si="0"/>
        <v>269225</v>
      </c>
      <c r="F12" s="1727">
        <f t="shared" si="0"/>
        <v>98040</v>
      </c>
      <c r="G12" s="1727">
        <f t="shared" si="0"/>
        <v>146000</v>
      </c>
      <c r="H12" s="1727">
        <f t="shared" si="0"/>
        <v>0</v>
      </c>
      <c r="I12" s="1727">
        <f t="shared" si="0"/>
        <v>24510</v>
      </c>
      <c r="J12" s="1727">
        <f t="shared" si="0"/>
        <v>209481</v>
      </c>
      <c r="K12" s="1708">
        <f t="shared" si="0"/>
        <v>24510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146</v>
      </c>
      <c r="D14" s="466">
        <v>18</v>
      </c>
      <c r="E14" s="466">
        <v>20</v>
      </c>
      <c r="F14" s="466">
        <v>7</v>
      </c>
      <c r="G14" s="466">
        <v>11</v>
      </c>
      <c r="H14" s="466">
        <v>0</v>
      </c>
      <c r="I14" s="466">
        <v>2</v>
      </c>
      <c r="J14" s="467">
        <v>15</v>
      </c>
      <c r="K14" s="466">
        <v>2</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74447</v>
      </c>
      <c r="D16" s="466">
        <v>0</v>
      </c>
      <c r="E16" s="466">
        <v>0</v>
      </c>
      <c r="F16" s="466">
        <v>0</v>
      </c>
      <c r="G16" s="466">
        <v>7600</v>
      </c>
      <c r="H16" s="466">
        <v>0</v>
      </c>
      <c r="I16" s="466">
        <v>0</v>
      </c>
      <c r="J16" s="467">
        <v>0</v>
      </c>
      <c r="K16" s="466">
        <v>0</v>
      </c>
    </row>
    <row r="17" spans="1:11" ht="12.75" customHeight="1" x14ac:dyDescent="0.2">
      <c r="A17" s="463" t="s">
        <v>840</v>
      </c>
      <c r="B17" s="470">
        <v>1290</v>
      </c>
      <c r="C17" s="549">
        <v>381</v>
      </c>
      <c r="D17" s="466">
        <v>47</v>
      </c>
      <c r="E17" s="466">
        <v>51</v>
      </c>
      <c r="F17" s="466">
        <v>19</v>
      </c>
      <c r="G17" s="466">
        <v>29</v>
      </c>
      <c r="H17" s="466">
        <v>0</v>
      </c>
      <c r="I17" s="466">
        <v>5</v>
      </c>
      <c r="J17" s="467">
        <v>39</v>
      </c>
      <c r="K17" s="466">
        <v>5</v>
      </c>
    </row>
    <row r="18" spans="1:11" ht="12.75" customHeight="1" thickBot="1" x14ac:dyDescent="0.25">
      <c r="A18" s="1728" t="s">
        <v>558</v>
      </c>
      <c r="B18" s="1729"/>
      <c r="C18" s="1730">
        <f>SUM(C14:C17)</f>
        <v>74974</v>
      </c>
      <c r="D18" s="1730">
        <f t="shared" ref="D18:K18" si="1">SUM(D14:D17)</f>
        <v>65</v>
      </c>
      <c r="E18" s="1730">
        <f t="shared" si="1"/>
        <v>71</v>
      </c>
      <c r="F18" s="1730">
        <f t="shared" si="1"/>
        <v>26</v>
      </c>
      <c r="G18" s="1730">
        <f t="shared" si="1"/>
        <v>7640</v>
      </c>
      <c r="H18" s="1730">
        <f t="shared" si="1"/>
        <v>0</v>
      </c>
      <c r="I18" s="1730">
        <f t="shared" si="1"/>
        <v>7</v>
      </c>
      <c r="J18" s="1730">
        <f t="shared" si="1"/>
        <v>54</v>
      </c>
      <c r="K18" s="1731">
        <f t="shared" si="1"/>
        <v>7</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10319</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10319</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12594</v>
      </c>
      <c r="D65" s="466">
        <v>4136</v>
      </c>
      <c r="E65" s="466">
        <v>110</v>
      </c>
      <c r="F65" s="467">
        <v>4078</v>
      </c>
      <c r="G65" s="466">
        <v>1215</v>
      </c>
      <c r="H65" s="466">
        <v>0</v>
      </c>
      <c r="I65" s="466">
        <v>9526</v>
      </c>
      <c r="J65" s="467">
        <v>83</v>
      </c>
      <c r="K65" s="466">
        <v>11</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12594</v>
      </c>
      <c r="D67" s="1708">
        <f t="shared" ref="D67:K67" si="2">SUM(D65:D66)</f>
        <v>4136</v>
      </c>
      <c r="E67" s="1708">
        <f t="shared" si="2"/>
        <v>110</v>
      </c>
      <c r="F67" s="1708">
        <f t="shared" si="2"/>
        <v>4078</v>
      </c>
      <c r="G67" s="1708">
        <f t="shared" si="2"/>
        <v>1215</v>
      </c>
      <c r="H67" s="1708">
        <f t="shared" si="2"/>
        <v>0</v>
      </c>
      <c r="I67" s="1708">
        <f t="shared" si="2"/>
        <v>9526</v>
      </c>
      <c r="J67" s="1708">
        <f t="shared" si="2"/>
        <v>83</v>
      </c>
      <c r="K67" s="1708">
        <f t="shared" si="2"/>
        <v>11</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33507</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33507</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5791</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32597</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11640</v>
      </c>
      <c r="D81" s="466">
        <v>0</v>
      </c>
      <c r="E81" s="468"/>
      <c r="F81" s="468"/>
      <c r="G81" s="468"/>
      <c r="H81" s="468"/>
      <c r="I81" s="468"/>
      <c r="J81" s="468"/>
      <c r="K81" s="468"/>
    </row>
    <row r="82" spans="1:11" ht="12.75" customHeight="1" thickBot="1" x14ac:dyDescent="0.25">
      <c r="A82" s="1728" t="s">
        <v>259</v>
      </c>
      <c r="B82" s="1729"/>
      <c r="C82" s="1727">
        <f>SUM(C77:C81)</f>
        <v>50028</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1108</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1108</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2500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10679</v>
      </c>
      <c r="D99" s="466">
        <v>9378</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2070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50</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15299</v>
      </c>
      <c r="D108" s="1727">
        <f t="shared" ref="D108:K108" si="3">SUM(D95:D107)</f>
        <v>9378</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2202730</v>
      </c>
      <c r="D109" s="1735">
        <f t="shared" si="4"/>
        <v>258677</v>
      </c>
      <c r="E109" s="1735">
        <f t="shared" si="4"/>
        <v>269406</v>
      </c>
      <c r="F109" s="1735">
        <f t="shared" si="4"/>
        <v>102144</v>
      </c>
      <c r="G109" s="1735">
        <f t="shared" si="4"/>
        <v>154855</v>
      </c>
      <c r="H109" s="1735">
        <f t="shared" si="4"/>
        <v>0</v>
      </c>
      <c r="I109" s="1735">
        <f t="shared" si="4"/>
        <v>34043</v>
      </c>
      <c r="J109" s="1735">
        <f t="shared" si="4"/>
        <v>209618</v>
      </c>
      <c r="K109" s="1722">
        <f t="shared" si="4"/>
        <v>24528</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332718</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332718</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15996</v>
      </c>
      <c r="D124" s="559"/>
      <c r="E124" s="468"/>
      <c r="F124" s="546">
        <v>0</v>
      </c>
      <c r="G124" s="468"/>
      <c r="H124" s="468"/>
      <c r="I124" s="468"/>
      <c r="J124" s="468"/>
      <c r="K124" s="468"/>
    </row>
    <row r="125" spans="1:11" ht="12.75" customHeight="1" x14ac:dyDescent="0.2">
      <c r="A125" s="463" t="s">
        <v>1521</v>
      </c>
      <c r="B125" s="560">
        <v>3105</v>
      </c>
      <c r="C125" s="466">
        <v>17674</v>
      </c>
      <c r="D125" s="559"/>
      <c r="E125" s="468"/>
      <c r="F125" s="466">
        <v>0</v>
      </c>
      <c r="G125" s="468"/>
      <c r="H125" s="468"/>
      <c r="I125" s="468"/>
      <c r="J125" s="468"/>
      <c r="K125" s="468"/>
    </row>
    <row r="126" spans="1:11" ht="12.75" customHeight="1" x14ac:dyDescent="0.2">
      <c r="A126" s="463" t="s">
        <v>922</v>
      </c>
      <c r="B126" s="560">
        <v>3110</v>
      </c>
      <c r="C126" s="549">
        <v>35855</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69525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1590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1590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924</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2743</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34458</v>
      </c>
      <c r="G151" s="467">
        <v>0</v>
      </c>
      <c r="H151" s="468"/>
      <c r="I151" s="468"/>
      <c r="J151" s="468"/>
      <c r="K151" s="468"/>
    </row>
    <row r="152" spans="1:11" ht="12.75" customHeight="1" x14ac:dyDescent="0.2">
      <c r="A152" s="463" t="s">
        <v>1117</v>
      </c>
      <c r="B152" s="560">
        <v>3510</v>
      </c>
      <c r="C152" s="549">
        <v>0</v>
      </c>
      <c r="D152" s="466">
        <v>0</v>
      </c>
      <c r="E152" s="559"/>
      <c r="F152" s="466">
        <v>73188</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107646</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1973</v>
      </c>
      <c r="D171" s="578">
        <v>0</v>
      </c>
      <c r="E171" s="578">
        <v>0</v>
      </c>
      <c r="F171" s="578">
        <v>0</v>
      </c>
      <c r="G171" s="579">
        <v>0</v>
      </c>
      <c r="H171" s="580">
        <v>0</v>
      </c>
      <c r="I171" s="579">
        <v>0</v>
      </c>
      <c r="J171" s="579">
        <v>0</v>
      </c>
      <c r="K171" s="580">
        <v>0</v>
      </c>
    </row>
    <row r="172" spans="1:11" ht="12.75" customHeight="1" thickTop="1" thickBot="1" x14ac:dyDescent="0.25">
      <c r="A172" s="2161" t="s">
        <v>418</v>
      </c>
      <c r="B172" s="2162"/>
      <c r="C172" s="1742">
        <f t="shared" ref="C172:K172" si="6">SUM(C131,C140,C144,C145:C149,C154,C155:C170,C171)</f>
        <v>76755</v>
      </c>
      <c r="D172" s="1742">
        <f t="shared" si="6"/>
        <v>0</v>
      </c>
      <c r="E172" s="1742">
        <f t="shared" si="6"/>
        <v>0</v>
      </c>
      <c r="F172" s="1742">
        <f t="shared" si="6"/>
        <v>107646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409473</v>
      </c>
      <c r="D173" s="1735">
        <f>SUM(D121,D172)</f>
        <v>0</v>
      </c>
      <c r="E173" s="1735">
        <f>SUM(E121,E172)</f>
        <v>0</v>
      </c>
      <c r="F173" s="1735">
        <f t="shared" ref="F173:K173" si="7">SUM(F121,F172)</f>
        <v>107646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3" t="s">
        <v>1572</v>
      </c>
      <c r="B175" s="2164"/>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7" t="s">
        <v>1764</v>
      </c>
      <c r="B178" s="216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1" t="s">
        <v>1763</v>
      </c>
      <c r="B179" s="2172"/>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53719</v>
      </c>
      <c r="D183" s="466">
        <v>0</v>
      </c>
      <c r="E183" s="468"/>
      <c r="F183" s="466">
        <v>0</v>
      </c>
      <c r="G183" s="466">
        <v>0</v>
      </c>
      <c r="H183" s="466">
        <v>0</v>
      </c>
      <c r="I183" s="468"/>
      <c r="J183" s="468"/>
      <c r="K183" s="466">
        <v>0</v>
      </c>
    </row>
    <row r="184" spans="1:11" ht="13.5" thickBot="1" x14ac:dyDescent="0.25">
      <c r="A184" s="2169" t="s">
        <v>818</v>
      </c>
      <c r="B184" s="2170"/>
      <c r="C184" s="1727">
        <f>SUM(C180:C183)</f>
        <v>53719</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5" t="s">
        <v>1906</v>
      </c>
      <c r="B185" s="2166"/>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45789</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18262</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64051</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25315</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25315</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10000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10000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58844</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58844</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3545</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475</v>
      </c>
      <c r="D270" s="574">
        <v>0</v>
      </c>
      <c r="E270" s="468"/>
      <c r="F270" s="574">
        <v>0</v>
      </c>
      <c r="G270" s="574">
        <v>0</v>
      </c>
      <c r="H270" s="468"/>
      <c r="I270" s="468"/>
      <c r="J270" s="468"/>
      <c r="K270" s="468"/>
    </row>
    <row r="271" spans="1:11" ht="12.75" customHeight="1" thickTop="1" thickBot="1" x14ac:dyDescent="0.25">
      <c r="A271" s="463" t="s">
        <v>395</v>
      </c>
      <c r="B271" s="470">
        <v>4992</v>
      </c>
      <c r="C271" s="573">
        <v>5081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167311</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221030</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2833233</v>
      </c>
      <c r="D275" s="1735">
        <f t="shared" si="12"/>
        <v>258677</v>
      </c>
      <c r="E275" s="1735">
        <f t="shared" si="12"/>
        <v>269406</v>
      </c>
      <c r="F275" s="1735">
        <f t="shared" si="12"/>
        <v>209790</v>
      </c>
      <c r="G275" s="1735">
        <f t="shared" si="12"/>
        <v>154855</v>
      </c>
      <c r="H275" s="1735">
        <f t="shared" si="12"/>
        <v>0</v>
      </c>
      <c r="I275" s="1735">
        <f t="shared" si="12"/>
        <v>34043</v>
      </c>
      <c r="J275" s="1735">
        <f t="shared" si="12"/>
        <v>209618</v>
      </c>
      <c r="K275" s="1722">
        <f t="shared" si="12"/>
        <v>24528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9" t="s">
        <v>315</v>
      </c>
      <c r="B3" s="2180"/>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846539</v>
      </c>
      <c r="D5" s="466">
        <v>190456</v>
      </c>
      <c r="E5" s="466">
        <v>12053</v>
      </c>
      <c r="F5" s="466">
        <v>65033</v>
      </c>
      <c r="G5" s="466">
        <v>0</v>
      </c>
      <c r="H5" s="466">
        <v>0</v>
      </c>
      <c r="I5" s="467">
        <v>0</v>
      </c>
      <c r="J5" s="467">
        <v>0</v>
      </c>
      <c r="K5" s="1691">
        <f>SUM(C5:J5)</f>
        <v>1114081</v>
      </c>
      <c r="L5" s="466">
        <v>1164500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256589</v>
      </c>
      <c r="D8" s="466">
        <v>64486</v>
      </c>
      <c r="E8" s="466">
        <v>27357</v>
      </c>
      <c r="F8" s="466">
        <v>5639</v>
      </c>
      <c r="G8" s="466">
        <v>0</v>
      </c>
      <c r="H8" s="466">
        <v>18135</v>
      </c>
      <c r="I8" s="467">
        <v>0</v>
      </c>
      <c r="J8" s="467">
        <v>0</v>
      </c>
      <c r="K8" s="1691">
        <f t="shared" si="0"/>
        <v>372206</v>
      </c>
      <c r="L8" s="466">
        <v>351600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45720</v>
      </c>
      <c r="D10" s="466">
        <v>3714</v>
      </c>
      <c r="E10" s="466">
        <v>0</v>
      </c>
      <c r="F10" s="466">
        <v>2823</v>
      </c>
      <c r="G10" s="466">
        <v>0</v>
      </c>
      <c r="H10" s="466">
        <v>0</v>
      </c>
      <c r="I10" s="467">
        <v>0</v>
      </c>
      <c r="J10" s="467">
        <v>0</v>
      </c>
      <c r="K10" s="1691">
        <f t="shared" si="0"/>
        <v>52257</v>
      </c>
      <c r="L10" s="466">
        <v>52650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35112</v>
      </c>
      <c r="D14" s="466">
        <v>2396</v>
      </c>
      <c r="E14" s="466">
        <v>12314</v>
      </c>
      <c r="F14" s="466">
        <v>9375</v>
      </c>
      <c r="G14" s="466">
        <v>0</v>
      </c>
      <c r="H14" s="466">
        <v>3783</v>
      </c>
      <c r="I14" s="467">
        <v>0</v>
      </c>
      <c r="J14" s="467">
        <v>0</v>
      </c>
      <c r="K14" s="1691">
        <f t="shared" si="0"/>
        <v>62980</v>
      </c>
      <c r="L14" s="466">
        <v>64500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6712</v>
      </c>
      <c r="D17" s="467">
        <v>728</v>
      </c>
      <c r="E17" s="467">
        <v>0</v>
      </c>
      <c r="F17" s="467">
        <v>282</v>
      </c>
      <c r="G17" s="467">
        <v>0</v>
      </c>
      <c r="H17" s="467">
        <v>0</v>
      </c>
      <c r="I17" s="467">
        <v>0</v>
      </c>
      <c r="J17" s="467">
        <v>0</v>
      </c>
      <c r="K17" s="1691">
        <f t="shared" si="0"/>
        <v>7722</v>
      </c>
      <c r="L17" s="466">
        <v>4400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108968</v>
      </c>
      <c r="I22" s="615"/>
      <c r="J22" s="476"/>
      <c r="K22" s="1691">
        <f t="shared" si="0"/>
        <v>108968</v>
      </c>
      <c r="L22" s="466">
        <v>140000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1190672</v>
      </c>
      <c r="D33" s="1690">
        <f t="shared" ref="D33:L33" si="1">SUM(D5:D32)</f>
        <v>261780</v>
      </c>
      <c r="E33" s="1690">
        <f t="shared" si="1"/>
        <v>51724</v>
      </c>
      <c r="F33" s="1690">
        <f t="shared" si="1"/>
        <v>83152</v>
      </c>
      <c r="G33" s="1690">
        <f t="shared" si="1"/>
        <v>0</v>
      </c>
      <c r="H33" s="1690">
        <f t="shared" si="1"/>
        <v>130886</v>
      </c>
      <c r="I33" s="1690">
        <f t="shared" si="1"/>
        <v>0</v>
      </c>
      <c r="J33" s="1690">
        <f t="shared" si="1"/>
        <v>0</v>
      </c>
      <c r="K33" s="1690">
        <f t="shared" si="1"/>
        <v>1718214</v>
      </c>
      <c r="L33" s="1690">
        <f t="shared" si="1"/>
        <v>1777650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23175</v>
      </c>
      <c r="D36" s="480">
        <v>2664</v>
      </c>
      <c r="E36" s="480">
        <v>375</v>
      </c>
      <c r="F36" s="480">
        <v>0</v>
      </c>
      <c r="G36" s="480">
        <v>0</v>
      </c>
      <c r="H36" s="480">
        <v>0</v>
      </c>
      <c r="I36" s="467">
        <v>0</v>
      </c>
      <c r="J36" s="467">
        <v>0</v>
      </c>
      <c r="K36" s="1691">
        <f t="shared" ref="K36:K41" si="2">SUM(C36:J36)</f>
        <v>26214</v>
      </c>
      <c r="L36" s="466">
        <v>28000</v>
      </c>
    </row>
    <row r="37" spans="1:14" x14ac:dyDescent="0.2">
      <c r="A37" s="1524" t="s">
        <v>1151</v>
      </c>
      <c r="B37" s="613">
        <v>2120</v>
      </c>
      <c r="C37" s="466">
        <v>58195</v>
      </c>
      <c r="D37" s="466">
        <v>12804</v>
      </c>
      <c r="E37" s="466">
        <v>1359</v>
      </c>
      <c r="F37" s="466">
        <v>200</v>
      </c>
      <c r="G37" s="466">
        <v>0</v>
      </c>
      <c r="H37" s="466">
        <v>0</v>
      </c>
      <c r="I37" s="467">
        <v>0</v>
      </c>
      <c r="J37" s="467">
        <v>0</v>
      </c>
      <c r="K37" s="1691">
        <f t="shared" si="2"/>
        <v>72558</v>
      </c>
      <c r="L37" s="466">
        <v>75800</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81370</v>
      </c>
      <c r="D42" s="1690">
        <f t="shared" ref="D42:L42" si="3">SUM(D36:D41)</f>
        <v>15468</v>
      </c>
      <c r="E42" s="1690">
        <f t="shared" si="3"/>
        <v>1734</v>
      </c>
      <c r="F42" s="1690">
        <f t="shared" si="3"/>
        <v>200</v>
      </c>
      <c r="G42" s="1690">
        <f t="shared" si="3"/>
        <v>0</v>
      </c>
      <c r="H42" s="1690">
        <f t="shared" si="3"/>
        <v>0</v>
      </c>
      <c r="I42" s="1690">
        <f t="shared" si="3"/>
        <v>0</v>
      </c>
      <c r="J42" s="1690">
        <f t="shared" si="3"/>
        <v>0</v>
      </c>
      <c r="K42" s="1690">
        <f t="shared" si="3"/>
        <v>98772</v>
      </c>
      <c r="L42" s="1690">
        <f t="shared" si="3"/>
        <v>103800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1730</v>
      </c>
      <c r="D44" s="480">
        <v>3845</v>
      </c>
      <c r="E44" s="480">
        <v>1565</v>
      </c>
      <c r="F44" s="480">
        <v>0</v>
      </c>
      <c r="G44" s="480">
        <v>0</v>
      </c>
      <c r="H44" s="480">
        <v>0</v>
      </c>
      <c r="I44" s="467">
        <v>0</v>
      </c>
      <c r="J44" s="467">
        <v>0</v>
      </c>
      <c r="K44" s="1692">
        <f>SUM(C44:J44)</f>
        <v>7140</v>
      </c>
      <c r="L44" s="480">
        <v>10800</v>
      </c>
    </row>
    <row r="45" spans="1:14" x14ac:dyDescent="0.2">
      <c r="A45" s="1524" t="s">
        <v>869</v>
      </c>
      <c r="B45" s="613">
        <v>2220</v>
      </c>
      <c r="C45" s="467">
        <v>84138</v>
      </c>
      <c r="D45" s="466">
        <v>15871</v>
      </c>
      <c r="E45" s="466">
        <v>22622</v>
      </c>
      <c r="F45" s="466">
        <v>38145</v>
      </c>
      <c r="G45" s="466">
        <v>1676</v>
      </c>
      <c r="H45" s="466">
        <v>65</v>
      </c>
      <c r="I45" s="467">
        <v>0</v>
      </c>
      <c r="J45" s="467">
        <v>0</v>
      </c>
      <c r="K45" s="1692">
        <f>SUM(C45:J45)</f>
        <v>162517</v>
      </c>
      <c r="L45" s="466">
        <v>179800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85868</v>
      </c>
      <c r="D47" s="1690">
        <f t="shared" ref="D47:K47" si="4">SUM(D44:D46)</f>
        <v>19716</v>
      </c>
      <c r="E47" s="1690">
        <f t="shared" si="4"/>
        <v>24187</v>
      </c>
      <c r="F47" s="1690">
        <f t="shared" si="4"/>
        <v>38145</v>
      </c>
      <c r="G47" s="1690">
        <f t="shared" si="4"/>
        <v>1676</v>
      </c>
      <c r="H47" s="1690">
        <f t="shared" si="4"/>
        <v>65</v>
      </c>
      <c r="I47" s="1690">
        <f t="shared" si="4"/>
        <v>0</v>
      </c>
      <c r="J47" s="1690">
        <f t="shared" si="4"/>
        <v>0</v>
      </c>
      <c r="K47" s="1690">
        <f t="shared" si="4"/>
        <v>169657</v>
      </c>
      <c r="L47" s="1690">
        <f>SUM(L44:L46)</f>
        <v>190600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1567</v>
      </c>
      <c r="D49" s="480">
        <v>0</v>
      </c>
      <c r="E49" s="480">
        <v>20644</v>
      </c>
      <c r="F49" s="480">
        <v>922</v>
      </c>
      <c r="G49" s="480">
        <v>0</v>
      </c>
      <c r="H49" s="480">
        <v>4387</v>
      </c>
      <c r="I49" s="467">
        <v>0</v>
      </c>
      <c r="J49" s="467">
        <v>0</v>
      </c>
      <c r="K49" s="1692">
        <f>SUM(C49:J49)</f>
        <v>27520</v>
      </c>
      <c r="L49" s="466">
        <v>31300</v>
      </c>
    </row>
    <row r="50" spans="1:14" x14ac:dyDescent="0.2">
      <c r="A50" s="1524" t="s">
        <v>872</v>
      </c>
      <c r="B50" s="613">
        <v>2320</v>
      </c>
      <c r="C50" s="466">
        <v>79853</v>
      </c>
      <c r="D50" s="466">
        <v>16002</v>
      </c>
      <c r="E50" s="466">
        <v>2327</v>
      </c>
      <c r="F50" s="466">
        <v>710</v>
      </c>
      <c r="G50" s="466">
        <v>0</v>
      </c>
      <c r="H50" s="466">
        <v>840</v>
      </c>
      <c r="I50" s="467">
        <v>0</v>
      </c>
      <c r="J50" s="467">
        <v>0</v>
      </c>
      <c r="K50" s="1692">
        <f>SUM(C50:J50)</f>
        <v>99732</v>
      </c>
      <c r="L50" s="466">
        <v>97500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81420</v>
      </c>
      <c r="D53" s="1690">
        <f t="shared" ref="D53:L53" si="5">SUM(D49:D52)</f>
        <v>16002</v>
      </c>
      <c r="E53" s="1690">
        <f t="shared" si="5"/>
        <v>22971</v>
      </c>
      <c r="F53" s="1690">
        <f t="shared" si="5"/>
        <v>1632</v>
      </c>
      <c r="G53" s="1690">
        <f t="shared" si="5"/>
        <v>0</v>
      </c>
      <c r="H53" s="1690">
        <f t="shared" si="5"/>
        <v>5227</v>
      </c>
      <c r="I53" s="1690">
        <f t="shared" si="5"/>
        <v>0</v>
      </c>
      <c r="J53" s="1690">
        <f t="shared" si="5"/>
        <v>0</v>
      </c>
      <c r="K53" s="1690">
        <f t="shared" si="5"/>
        <v>127252</v>
      </c>
      <c r="L53" s="1690">
        <f t="shared" si="5"/>
        <v>128800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103064</v>
      </c>
      <c r="D55" s="480">
        <v>25392</v>
      </c>
      <c r="E55" s="480">
        <v>1083</v>
      </c>
      <c r="F55" s="480">
        <v>11835</v>
      </c>
      <c r="G55" s="480">
        <v>0</v>
      </c>
      <c r="H55" s="480">
        <v>385</v>
      </c>
      <c r="I55" s="467">
        <v>0</v>
      </c>
      <c r="J55" s="467">
        <v>0</v>
      </c>
      <c r="K55" s="1692">
        <f>SUM(C55:J55)</f>
        <v>141759</v>
      </c>
      <c r="L55" s="480">
        <v>146200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103064</v>
      </c>
      <c r="D57" s="1694">
        <f t="shared" ref="D57:K57" si="6">SUM(D55:D56)</f>
        <v>25392</v>
      </c>
      <c r="E57" s="1694">
        <f t="shared" si="6"/>
        <v>1083</v>
      </c>
      <c r="F57" s="1694">
        <f t="shared" si="6"/>
        <v>11835</v>
      </c>
      <c r="G57" s="1694">
        <f t="shared" si="6"/>
        <v>0</v>
      </c>
      <c r="H57" s="1694">
        <f t="shared" si="6"/>
        <v>385</v>
      </c>
      <c r="I57" s="1694">
        <f t="shared" si="6"/>
        <v>0</v>
      </c>
      <c r="J57" s="1694">
        <f t="shared" si="6"/>
        <v>0</v>
      </c>
      <c r="K57" s="1694">
        <f t="shared" si="6"/>
        <v>141759</v>
      </c>
      <c r="L57" s="1690">
        <f>SUM(L55:L56)</f>
        <v>146200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39603</v>
      </c>
      <c r="D60" s="466">
        <v>6311</v>
      </c>
      <c r="E60" s="466">
        <v>5022</v>
      </c>
      <c r="F60" s="466">
        <v>0</v>
      </c>
      <c r="G60" s="466">
        <v>0</v>
      </c>
      <c r="H60" s="466">
        <v>15</v>
      </c>
      <c r="I60" s="467">
        <v>0</v>
      </c>
      <c r="J60" s="467">
        <v>0</v>
      </c>
      <c r="K60" s="1692">
        <f t="shared" si="7"/>
        <v>50951</v>
      </c>
      <c r="L60" s="466">
        <v>57000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39005</v>
      </c>
      <c r="D63" s="466">
        <v>12790</v>
      </c>
      <c r="E63" s="466">
        <v>257</v>
      </c>
      <c r="F63" s="466">
        <v>41318</v>
      </c>
      <c r="G63" s="466">
        <v>0</v>
      </c>
      <c r="H63" s="466">
        <v>0</v>
      </c>
      <c r="I63" s="467">
        <v>0</v>
      </c>
      <c r="J63" s="467">
        <v>0</v>
      </c>
      <c r="K63" s="1692">
        <f t="shared" si="7"/>
        <v>93370</v>
      </c>
      <c r="L63" s="466">
        <v>104050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78608</v>
      </c>
      <c r="D65" s="1690">
        <f t="shared" ref="D65:L65" si="8">SUM(D59:D64)</f>
        <v>19101</v>
      </c>
      <c r="E65" s="1690">
        <f t="shared" si="8"/>
        <v>5279</v>
      </c>
      <c r="F65" s="1690">
        <f t="shared" si="8"/>
        <v>41318</v>
      </c>
      <c r="G65" s="1690">
        <f t="shared" si="8"/>
        <v>0</v>
      </c>
      <c r="H65" s="1690">
        <f t="shared" si="8"/>
        <v>15</v>
      </c>
      <c r="I65" s="1690">
        <f t="shared" si="8"/>
        <v>0</v>
      </c>
      <c r="J65" s="1690">
        <f t="shared" si="8"/>
        <v>0</v>
      </c>
      <c r="K65" s="1690">
        <f t="shared" si="8"/>
        <v>144321</v>
      </c>
      <c r="L65" s="1690">
        <f t="shared" si="8"/>
        <v>161050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430330</v>
      </c>
      <c r="D74" s="1697">
        <f t="shared" ref="D74:K74" si="10">SUM(D42,D47,D53,D57,D65,D72,D73)</f>
        <v>95679</v>
      </c>
      <c r="E74" s="1697">
        <f t="shared" si="10"/>
        <v>55254</v>
      </c>
      <c r="F74" s="1697">
        <f t="shared" si="10"/>
        <v>93130</v>
      </c>
      <c r="G74" s="1697">
        <f t="shared" si="10"/>
        <v>1676</v>
      </c>
      <c r="H74" s="1697">
        <f t="shared" si="10"/>
        <v>5692</v>
      </c>
      <c r="I74" s="1697">
        <f t="shared" si="10"/>
        <v>0</v>
      </c>
      <c r="J74" s="1697">
        <f t="shared" si="10"/>
        <v>0</v>
      </c>
      <c r="K74" s="1697">
        <f t="shared" si="10"/>
        <v>681761</v>
      </c>
      <c r="L74" s="1697">
        <f>SUM(L42,L47,L53,L57,L65,L72,L73)</f>
        <v>730450</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66041</v>
      </c>
      <c r="F79" s="615"/>
      <c r="G79" s="615"/>
      <c r="H79" s="466">
        <v>0</v>
      </c>
      <c r="I79" s="476"/>
      <c r="J79" s="476"/>
      <c r="K79" s="1691">
        <f t="shared" si="11"/>
        <v>66041</v>
      </c>
      <c r="L79" s="466">
        <v>32000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27181</v>
      </c>
      <c r="F81" s="615"/>
      <c r="G81" s="615"/>
      <c r="H81" s="466">
        <v>0</v>
      </c>
      <c r="I81" s="476"/>
      <c r="J81" s="476"/>
      <c r="K81" s="1691">
        <f t="shared" si="11"/>
        <v>27181</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52000</v>
      </c>
    </row>
    <row r="84" spans="1:12" ht="13.5" thickBot="1" x14ac:dyDescent="0.25">
      <c r="A84" s="1688" t="s">
        <v>1565</v>
      </c>
      <c r="B84" s="1698">
        <v>4100</v>
      </c>
      <c r="C84" s="615"/>
      <c r="D84" s="615"/>
      <c r="E84" s="1690">
        <f>SUM(E78:E83)</f>
        <v>93222</v>
      </c>
      <c r="F84" s="615"/>
      <c r="G84" s="615"/>
      <c r="H84" s="1690">
        <f>SUM(H78:H83)</f>
        <v>0</v>
      </c>
      <c r="I84" s="476"/>
      <c r="J84" s="476"/>
      <c r="K84" s="1690">
        <f>SUM(K78:K83)</f>
        <v>93222</v>
      </c>
      <c r="L84" s="1690">
        <f>SUM(L78:L83)</f>
        <v>84000</v>
      </c>
    </row>
    <row r="85" spans="1:12" ht="12.75" customHeight="1" thickTop="1" thickBot="1" x14ac:dyDescent="0.25">
      <c r="A85" s="1531" t="s">
        <v>273</v>
      </c>
      <c r="B85" s="634">
        <v>4210</v>
      </c>
      <c r="C85" s="615"/>
      <c r="D85" s="615"/>
      <c r="E85" s="635"/>
      <c r="F85" s="615"/>
      <c r="G85" s="615"/>
      <c r="H85" s="533">
        <v>0</v>
      </c>
      <c r="I85" s="476"/>
      <c r="J85" s="476"/>
      <c r="K85" s="1697">
        <f>H85</f>
        <v>0</v>
      </c>
      <c r="L85" s="528">
        <v>1000</v>
      </c>
    </row>
    <row r="86" spans="1:12" ht="12.75" customHeight="1" thickTop="1" thickBot="1" x14ac:dyDescent="0.25">
      <c r="A86" s="1532" t="s">
        <v>723</v>
      </c>
      <c r="B86" s="636">
        <v>4220</v>
      </c>
      <c r="C86" s="615"/>
      <c r="D86" s="615"/>
      <c r="E86" s="637"/>
      <c r="F86" s="615"/>
      <c r="G86" s="615"/>
      <c r="H86" s="467">
        <v>59523</v>
      </c>
      <c r="I86" s="476"/>
      <c r="J86" s="476"/>
      <c r="K86" s="1697">
        <f t="shared" ref="K86:K98" si="12">H86</f>
        <v>59523</v>
      </c>
      <c r="L86" s="528">
        <v>57500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52983</v>
      </c>
      <c r="I88" s="476"/>
      <c r="J88" s="476"/>
      <c r="K88" s="1697">
        <f t="shared" si="12"/>
        <v>52983</v>
      </c>
      <c r="L88" s="528">
        <v>47500</v>
      </c>
    </row>
    <row r="89" spans="1:12" ht="12.75" customHeight="1" thickTop="1" thickBot="1" x14ac:dyDescent="0.25">
      <c r="A89" s="1533" t="s">
        <v>725</v>
      </c>
      <c r="B89" s="638">
        <v>4270</v>
      </c>
      <c r="C89" s="615"/>
      <c r="D89" s="615"/>
      <c r="E89" s="637"/>
      <c r="F89" s="615"/>
      <c r="G89" s="615"/>
      <c r="H89" s="467">
        <v>6378</v>
      </c>
      <c r="I89" s="476"/>
      <c r="J89" s="476"/>
      <c r="K89" s="1697">
        <f t="shared" si="12"/>
        <v>6378</v>
      </c>
      <c r="L89" s="528">
        <v>1000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118884</v>
      </c>
      <c r="I92" s="476"/>
      <c r="J92" s="476"/>
      <c r="K92" s="1697">
        <f t="shared" si="12"/>
        <v>118884</v>
      </c>
      <c r="L92" s="1690">
        <f>SUM(L85:L91)</f>
        <v>107000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93222</v>
      </c>
      <c r="F102" s="615"/>
      <c r="G102" s="615"/>
      <c r="H102" s="1697">
        <f>SUM(H84,H92,H100,H101)</f>
        <v>118884</v>
      </c>
      <c r="I102" s="476"/>
      <c r="J102" s="476"/>
      <c r="K102" s="1697">
        <f>SUM(K84,K92,K100,K101)</f>
        <v>212106</v>
      </c>
      <c r="L102" s="1697">
        <f>SUM(L84,L92,L100,L101)</f>
        <v>191000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1621002</v>
      </c>
      <c r="D114" s="1690">
        <f t="shared" ref="D114:K114" si="13">SUM(D33,D74,D75,D102,D112,D113)</f>
        <v>357459</v>
      </c>
      <c r="E114" s="1690">
        <f t="shared" si="13"/>
        <v>200200</v>
      </c>
      <c r="F114" s="1690">
        <f t="shared" si="13"/>
        <v>176282</v>
      </c>
      <c r="G114" s="1690">
        <f t="shared" si="13"/>
        <v>1676</v>
      </c>
      <c r="H114" s="1690">
        <f>SUM(H33,H74,H75,H102,H112,H113)</f>
        <v>255462</v>
      </c>
      <c r="I114" s="1690">
        <f t="shared" si="13"/>
        <v>0</v>
      </c>
      <c r="J114" s="1690">
        <f t="shared" si="13"/>
        <v>0</v>
      </c>
      <c r="K114" s="1690">
        <f t="shared" si="13"/>
        <v>2612081</v>
      </c>
      <c r="L114" s="1690">
        <f>SUM(L33,L74,L75,L102,L112,L113)</f>
        <v>2699100</v>
      </c>
    </row>
    <row r="115" spans="1:14" ht="13.5" thickTop="1" x14ac:dyDescent="0.2">
      <c r="A115" s="2198" t="s">
        <v>1053</v>
      </c>
      <c r="B115" s="2199"/>
      <c r="C115" s="617"/>
      <c r="D115" s="617"/>
      <c r="E115" s="617"/>
      <c r="F115" s="617"/>
      <c r="G115" s="617"/>
      <c r="H115" s="617"/>
      <c r="I115" s="617"/>
      <c r="J115" s="617"/>
      <c r="K115" s="1704">
        <f>'Revenues 9-14'!C275-'Expenditures 15-22'!K114</f>
        <v>221152</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314</v>
      </c>
      <c r="B117" s="217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120105</v>
      </c>
      <c r="D124" s="466">
        <v>12729</v>
      </c>
      <c r="E124" s="466">
        <v>47440</v>
      </c>
      <c r="F124" s="466">
        <v>80076</v>
      </c>
      <c r="G124" s="466">
        <v>8246</v>
      </c>
      <c r="H124" s="466">
        <v>0</v>
      </c>
      <c r="I124" s="467">
        <v>0</v>
      </c>
      <c r="J124" s="467">
        <v>0</v>
      </c>
      <c r="K124" s="1690">
        <f>SUM(C124:J124)</f>
        <v>268596</v>
      </c>
      <c r="L124" s="466">
        <v>309000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120105</v>
      </c>
      <c r="D127" s="1690">
        <f t="shared" ref="D127:L127" si="14">SUM(D122:D126)</f>
        <v>12729</v>
      </c>
      <c r="E127" s="1690">
        <f t="shared" si="14"/>
        <v>47440</v>
      </c>
      <c r="F127" s="1690">
        <f t="shared" si="14"/>
        <v>80076</v>
      </c>
      <c r="G127" s="1690">
        <f t="shared" si="14"/>
        <v>8246</v>
      </c>
      <c r="H127" s="1690">
        <f t="shared" si="14"/>
        <v>0</v>
      </c>
      <c r="I127" s="1690">
        <f t="shared" si="14"/>
        <v>0</v>
      </c>
      <c r="J127" s="1690">
        <f t="shared" si="14"/>
        <v>0</v>
      </c>
      <c r="K127" s="1690">
        <f t="shared" si="14"/>
        <v>268596</v>
      </c>
      <c r="L127" s="1690">
        <f t="shared" si="14"/>
        <v>309000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120105</v>
      </c>
      <c r="D129" s="1697">
        <f t="shared" ref="D129:L129" si="15">SUM(D120,D127,D128)</f>
        <v>12729</v>
      </c>
      <c r="E129" s="1697">
        <f t="shared" si="15"/>
        <v>47440</v>
      </c>
      <c r="F129" s="1697">
        <f t="shared" si="15"/>
        <v>80076</v>
      </c>
      <c r="G129" s="1697">
        <f t="shared" si="15"/>
        <v>8246</v>
      </c>
      <c r="H129" s="1697">
        <f t="shared" si="15"/>
        <v>0</v>
      </c>
      <c r="I129" s="1697">
        <f t="shared" si="15"/>
        <v>0</v>
      </c>
      <c r="J129" s="1697">
        <f t="shared" si="15"/>
        <v>0</v>
      </c>
      <c r="K129" s="1697">
        <f t="shared" si="15"/>
        <v>268596</v>
      </c>
      <c r="L129" s="1697">
        <f t="shared" si="15"/>
        <v>309000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8" t="s">
        <v>641</v>
      </c>
      <c r="B151" s="2170"/>
      <c r="C151" s="1690">
        <f>SUM(C129,C130,C139,C149,C150)</f>
        <v>120105</v>
      </c>
      <c r="D151" s="1690">
        <f t="shared" ref="D151:K151" si="16">SUM(D129,D130,D139,D149,D150)</f>
        <v>12729</v>
      </c>
      <c r="E151" s="1690">
        <f t="shared" si="16"/>
        <v>47440</v>
      </c>
      <c r="F151" s="1690">
        <f t="shared" si="16"/>
        <v>80076</v>
      </c>
      <c r="G151" s="1690">
        <f t="shared" si="16"/>
        <v>8246</v>
      </c>
      <c r="H151" s="1690">
        <f t="shared" si="16"/>
        <v>0</v>
      </c>
      <c r="I151" s="1690">
        <f t="shared" si="16"/>
        <v>0</v>
      </c>
      <c r="J151" s="1690">
        <f t="shared" si="16"/>
        <v>0</v>
      </c>
      <c r="K151" s="1690">
        <f t="shared" si="16"/>
        <v>268596</v>
      </c>
      <c r="L151" s="1690">
        <f>SUM(L129,L130,L139,L149,L150)</f>
        <v>309000</v>
      </c>
    </row>
    <row r="152" spans="1:14" ht="12.75" customHeight="1" thickTop="1" x14ac:dyDescent="0.2">
      <c r="A152" s="2191" t="s">
        <v>1240</v>
      </c>
      <c r="B152" s="2192"/>
      <c r="C152" s="617"/>
      <c r="D152" s="617"/>
      <c r="E152" s="617"/>
      <c r="F152" s="617"/>
      <c r="G152" s="617"/>
      <c r="H152" s="617"/>
      <c r="I152" s="617"/>
      <c r="J152" s="615"/>
      <c r="K152" s="1704">
        <f>'Revenues 9-14'!D275-'Expenditures 15-22'!K151</f>
        <v>-9919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642</v>
      </c>
      <c r="B154" s="2178"/>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49770</v>
      </c>
      <c r="I169" s="615"/>
      <c r="J169" s="615"/>
      <c r="K169" s="1691">
        <f>SUM(C169:H169)</f>
        <v>49770</v>
      </c>
      <c r="L169" s="655">
        <v>49770</v>
      </c>
    </row>
    <row r="170" spans="1:14" ht="33.75" customHeight="1" x14ac:dyDescent="0.2">
      <c r="A170" s="668" t="s">
        <v>1769</v>
      </c>
      <c r="B170" s="670" t="s">
        <v>31</v>
      </c>
      <c r="C170" s="615"/>
      <c r="D170" s="615"/>
      <c r="E170" s="615"/>
      <c r="F170" s="615"/>
      <c r="G170" s="615"/>
      <c r="H170" s="567">
        <v>215000</v>
      </c>
      <c r="I170" s="615"/>
      <c r="J170" s="615"/>
      <c r="K170" s="1691">
        <f>SUM(C170:J170)</f>
        <v>215000</v>
      </c>
      <c r="L170" s="567">
        <v>215000</v>
      </c>
    </row>
    <row r="171" spans="1:14" ht="15.75" customHeight="1" x14ac:dyDescent="0.2">
      <c r="A171" s="620" t="s">
        <v>790</v>
      </c>
      <c r="B171" s="671" t="s">
        <v>86</v>
      </c>
      <c r="C171" s="615"/>
      <c r="D171" s="615"/>
      <c r="E171" s="466">
        <v>0</v>
      </c>
      <c r="F171" s="615"/>
      <c r="G171" s="615"/>
      <c r="H171" s="567">
        <v>900</v>
      </c>
      <c r="I171" s="476"/>
      <c r="J171" s="615"/>
      <c r="K171" s="1691">
        <f>SUM(C171:J171)</f>
        <v>900</v>
      </c>
      <c r="L171" s="567">
        <v>1500</v>
      </c>
    </row>
    <row r="172" spans="1:14" ht="12.75" customHeight="1" thickBot="1" x14ac:dyDescent="0.25">
      <c r="A172" s="1688" t="s">
        <v>659</v>
      </c>
      <c r="B172" s="1689" t="s">
        <v>513</v>
      </c>
      <c r="C172" s="615"/>
      <c r="D172" s="615"/>
      <c r="E172" s="1697">
        <f>SUM(E168,E169,E170,E171)</f>
        <v>0</v>
      </c>
      <c r="F172" s="615"/>
      <c r="G172" s="615"/>
      <c r="H172" s="1697">
        <f>SUM(H168,H169,H170,H171)</f>
        <v>265670</v>
      </c>
      <c r="I172" s="637"/>
      <c r="J172" s="615"/>
      <c r="K172" s="1697">
        <f>SUM(K168,K169,K170,K171)</f>
        <v>265670</v>
      </c>
      <c r="L172" s="1697">
        <f>SUM(L168,L169,L170,L171)</f>
        <v>266270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265670</v>
      </c>
      <c r="I174" s="637"/>
      <c r="J174" s="615"/>
      <c r="K174" s="1697">
        <f>SUM(K160,K172,K173)</f>
        <v>265670</v>
      </c>
      <c r="L174" s="1697">
        <f>SUM(L160,L172,L173)</f>
        <v>266270</v>
      </c>
    </row>
    <row r="175" spans="1:14" ht="13.5" thickTop="1" x14ac:dyDescent="0.2">
      <c r="A175" s="2198" t="s">
        <v>1053</v>
      </c>
      <c r="B175" s="2199"/>
      <c r="C175" s="615"/>
      <c r="D175" s="615"/>
      <c r="E175" s="615"/>
      <c r="F175" s="615"/>
      <c r="G175" s="615"/>
      <c r="H175" s="617"/>
      <c r="I175" s="615"/>
      <c r="J175" s="615"/>
      <c r="K175" s="1704">
        <f>'Revenues 9-14'!E275-'Expenditures 15-22'!K174</f>
        <v>3736</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112948</v>
      </c>
      <c r="D182" s="467">
        <v>10864</v>
      </c>
      <c r="E182" s="467">
        <v>48715</v>
      </c>
      <c r="F182" s="467">
        <v>21055</v>
      </c>
      <c r="G182" s="467">
        <v>0</v>
      </c>
      <c r="H182" s="466">
        <v>0</v>
      </c>
      <c r="I182" s="467">
        <v>0</v>
      </c>
      <c r="J182" s="467">
        <v>0</v>
      </c>
      <c r="K182" s="1691">
        <f>SUM(C182:J182)</f>
        <v>193582</v>
      </c>
      <c r="L182" s="466">
        <v>209950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112948</v>
      </c>
      <c r="D184" s="1697">
        <f t="shared" ref="D184:J184" si="17">SUM(D180,D182,D183)</f>
        <v>10864</v>
      </c>
      <c r="E184" s="1697">
        <f t="shared" si="17"/>
        <v>48715</v>
      </c>
      <c r="F184" s="1697">
        <f t="shared" si="17"/>
        <v>21055</v>
      </c>
      <c r="G184" s="1697">
        <f t="shared" si="17"/>
        <v>0</v>
      </c>
      <c r="H184" s="1697">
        <f t="shared" si="17"/>
        <v>0</v>
      </c>
      <c r="I184" s="1697">
        <f t="shared" si="17"/>
        <v>0</v>
      </c>
      <c r="J184" s="1697">
        <f t="shared" si="17"/>
        <v>0</v>
      </c>
      <c r="K184" s="1697">
        <f>SUM(K180,K182,K183)</f>
        <v>193582</v>
      </c>
      <c r="L184" s="1697">
        <f>SUM(L180, L182:L183)</f>
        <v>209950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112948</v>
      </c>
      <c r="D210" s="1690">
        <f>SUM(D184,D185)</f>
        <v>10864</v>
      </c>
      <c r="E210" s="1690">
        <f>SUM(E184,E185,E196)</f>
        <v>48715</v>
      </c>
      <c r="F210" s="1690">
        <f>SUM(F184,F185)</f>
        <v>21055</v>
      </c>
      <c r="G210" s="1690">
        <f>SUM(G184,G185)</f>
        <v>0</v>
      </c>
      <c r="H210" s="1690">
        <f>SUM(H184,H185,H196,H208,H209)</f>
        <v>0</v>
      </c>
      <c r="I210" s="1690">
        <f>SUM(I184,I185)</f>
        <v>0</v>
      </c>
      <c r="J210" s="1690">
        <f>SUM(J184,J185)</f>
        <v>0</v>
      </c>
      <c r="K210" s="1691">
        <f>SUM(K184,K185,K196,K208,K209)</f>
        <v>193582</v>
      </c>
      <c r="L210" s="1690">
        <f>SUM(L184,L185,L196,L208,L209)</f>
        <v>209950</v>
      </c>
    </row>
    <row r="211" spans="1:14" ht="13.5" thickTop="1" x14ac:dyDescent="0.2">
      <c r="A211" s="2198" t="s">
        <v>1053</v>
      </c>
      <c r="B211" s="2199"/>
      <c r="C211" s="617"/>
      <c r="D211" s="617"/>
      <c r="E211" s="617"/>
      <c r="F211" s="617"/>
      <c r="G211" s="617"/>
      <c r="H211" s="617"/>
      <c r="I211" s="615"/>
      <c r="J211" s="615"/>
      <c r="K211" s="1704">
        <f>'Revenues 9-14'!F275-'Expenditures 15-22'!K210</f>
        <v>16208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3" t="s">
        <v>1022</v>
      </c>
      <c r="B213" s="2194"/>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16096</v>
      </c>
      <c r="E215" s="615"/>
      <c r="F215" s="615"/>
      <c r="G215" s="615"/>
      <c r="H215" s="615"/>
      <c r="I215" s="615"/>
      <c r="J215" s="615"/>
      <c r="K215" s="1691">
        <f>D215</f>
        <v>16096</v>
      </c>
      <c r="L215" s="466">
        <v>16700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12972</v>
      </c>
      <c r="E217" s="615"/>
      <c r="F217" s="615"/>
      <c r="G217" s="615"/>
      <c r="H217" s="615"/>
      <c r="I217" s="615"/>
      <c r="J217" s="615"/>
      <c r="K217" s="1691">
        <f t="shared" si="19"/>
        <v>12972</v>
      </c>
      <c r="L217" s="466">
        <v>8910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4514</v>
      </c>
      <c r="E219" s="615"/>
      <c r="F219" s="615"/>
      <c r="G219" s="615"/>
      <c r="H219" s="615"/>
      <c r="I219" s="615"/>
      <c r="J219" s="615"/>
      <c r="K219" s="1691">
        <f t="shared" si="19"/>
        <v>4514</v>
      </c>
      <c r="L219" s="466">
        <v>3970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1790</v>
      </c>
      <c r="E223" s="615"/>
      <c r="F223" s="615"/>
      <c r="G223" s="615"/>
      <c r="H223" s="615"/>
      <c r="I223" s="615"/>
      <c r="J223" s="615"/>
      <c r="K223" s="1691">
        <f t="shared" si="19"/>
        <v>1790</v>
      </c>
      <c r="L223" s="466">
        <v>1945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35372</v>
      </c>
      <c r="E229" s="615"/>
      <c r="F229" s="615"/>
      <c r="G229" s="615"/>
      <c r="H229" s="615"/>
      <c r="I229" s="615"/>
      <c r="J229" s="615"/>
      <c r="K229" s="1690">
        <f>SUM(K215:K228)</f>
        <v>35372</v>
      </c>
      <c r="L229" s="1690">
        <f>SUM(L215:L228)</f>
        <v>31525</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369</v>
      </c>
      <c r="E232" s="615"/>
      <c r="F232" s="615"/>
      <c r="G232" s="615"/>
      <c r="H232" s="615"/>
      <c r="I232" s="615"/>
      <c r="J232" s="615"/>
      <c r="K232" s="1691">
        <f t="shared" ref="K232:K237" si="20">D232</f>
        <v>369</v>
      </c>
      <c r="L232" s="466">
        <v>375</v>
      </c>
    </row>
    <row r="233" spans="1:12" x14ac:dyDescent="0.2">
      <c r="A233" s="1524" t="s">
        <v>1151</v>
      </c>
      <c r="B233" s="613">
        <v>2120</v>
      </c>
      <c r="C233" s="615"/>
      <c r="D233" s="466">
        <v>909</v>
      </c>
      <c r="E233" s="615"/>
      <c r="F233" s="615"/>
      <c r="G233" s="615"/>
      <c r="H233" s="615"/>
      <c r="I233" s="615"/>
      <c r="J233" s="615"/>
      <c r="K233" s="1691">
        <f t="shared" si="20"/>
        <v>909</v>
      </c>
      <c r="L233" s="466">
        <v>845</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1278</v>
      </c>
      <c r="E238" s="615"/>
      <c r="F238" s="615"/>
      <c r="G238" s="615"/>
      <c r="H238" s="615"/>
      <c r="I238" s="615"/>
      <c r="J238" s="615"/>
      <c r="K238" s="1690">
        <f>SUM(K232:K237)</f>
        <v>1278</v>
      </c>
      <c r="L238" s="1690">
        <f>SUM(L232:L237)</f>
        <v>1220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8275</v>
      </c>
      <c r="E241" s="615"/>
      <c r="F241" s="615"/>
      <c r="G241" s="615"/>
      <c r="H241" s="615"/>
      <c r="I241" s="615"/>
      <c r="J241" s="615"/>
      <c r="K241" s="1692">
        <f>D241</f>
        <v>8275</v>
      </c>
      <c r="L241" s="466">
        <v>8560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8275</v>
      </c>
      <c r="E243" s="615"/>
      <c r="F243" s="615"/>
      <c r="G243" s="615"/>
      <c r="H243" s="615"/>
      <c r="I243" s="615"/>
      <c r="J243" s="615"/>
      <c r="K243" s="1690">
        <f>SUM(K240:K242)</f>
        <v>8275</v>
      </c>
      <c r="L243" s="1690">
        <f>SUM(L240:L242)</f>
        <v>8560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117</v>
      </c>
      <c r="E245" s="615"/>
      <c r="F245" s="615"/>
      <c r="G245" s="615"/>
      <c r="H245" s="615"/>
      <c r="I245" s="615"/>
      <c r="J245" s="615"/>
      <c r="K245" s="1692">
        <f>D245</f>
        <v>117</v>
      </c>
      <c r="L245" s="480">
        <v>100</v>
      </c>
    </row>
    <row r="246" spans="1:12" x14ac:dyDescent="0.2">
      <c r="A246" s="1524" t="s">
        <v>872</v>
      </c>
      <c r="B246" s="613">
        <v>2320</v>
      </c>
      <c r="C246" s="615"/>
      <c r="D246" s="466">
        <v>1915</v>
      </c>
      <c r="E246" s="615"/>
      <c r="F246" s="615"/>
      <c r="G246" s="615"/>
      <c r="H246" s="615"/>
      <c r="I246" s="615"/>
      <c r="J246" s="615"/>
      <c r="K246" s="1692">
        <f t="shared" ref="K246:K256" si="21">D246</f>
        <v>1915</v>
      </c>
      <c r="L246" s="466">
        <v>1781</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2773</v>
      </c>
      <c r="E254" s="615"/>
      <c r="F254" s="615"/>
      <c r="G254" s="615"/>
      <c r="H254" s="615"/>
      <c r="I254" s="615"/>
      <c r="J254" s="615"/>
      <c r="K254" s="1692">
        <f t="shared" si="21"/>
        <v>2773</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4805</v>
      </c>
      <c r="E257" s="615"/>
      <c r="F257" s="615"/>
      <c r="G257" s="615"/>
      <c r="H257" s="615"/>
      <c r="I257" s="615"/>
      <c r="J257" s="615"/>
      <c r="K257" s="1690">
        <f>SUM(K245:K256)</f>
        <v>4805</v>
      </c>
      <c r="L257" s="1690">
        <f>SUM(L245:L256)</f>
        <v>1881</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11305</v>
      </c>
      <c r="E259" s="615"/>
      <c r="F259" s="615"/>
      <c r="G259" s="615"/>
      <c r="H259" s="615"/>
      <c r="I259" s="615"/>
      <c r="J259" s="615"/>
      <c r="K259" s="1692">
        <f>D259</f>
        <v>11305</v>
      </c>
      <c r="L259" s="480">
        <v>10730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11305</v>
      </c>
      <c r="E261" s="615"/>
      <c r="F261" s="615"/>
      <c r="G261" s="615"/>
      <c r="H261" s="615"/>
      <c r="I261" s="615"/>
      <c r="J261" s="615"/>
      <c r="K261" s="1690">
        <f>SUM(K259:K260)</f>
        <v>11305</v>
      </c>
      <c r="L261" s="1690">
        <f>SUM(L259:L260)</f>
        <v>10730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6383</v>
      </c>
      <c r="E264" s="615"/>
      <c r="F264" s="615"/>
      <c r="G264" s="615"/>
      <c r="H264" s="615"/>
      <c r="I264" s="615"/>
      <c r="J264" s="615"/>
      <c r="K264" s="1692">
        <f t="shared" ref="K264:K269" si="22">D264</f>
        <v>6383</v>
      </c>
      <c r="L264" s="466">
        <v>6475</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14295</v>
      </c>
      <c r="E266" s="615"/>
      <c r="F266" s="615"/>
      <c r="G266" s="615"/>
      <c r="H266" s="615"/>
      <c r="I266" s="615"/>
      <c r="J266" s="615"/>
      <c r="K266" s="1692">
        <f t="shared" si="22"/>
        <v>14295</v>
      </c>
      <c r="L266" s="466">
        <v>13880</v>
      </c>
    </row>
    <row r="267" spans="1:14" x14ac:dyDescent="0.2">
      <c r="A267" s="1524" t="s">
        <v>1010</v>
      </c>
      <c r="B267" s="613">
        <v>2550</v>
      </c>
      <c r="C267" s="615"/>
      <c r="D267" s="466">
        <v>11823</v>
      </c>
      <c r="E267" s="615"/>
      <c r="F267" s="615"/>
      <c r="G267" s="615"/>
      <c r="H267" s="615"/>
      <c r="I267" s="615"/>
      <c r="J267" s="615"/>
      <c r="K267" s="1692">
        <f t="shared" si="22"/>
        <v>11823</v>
      </c>
      <c r="L267" s="466">
        <v>11987</v>
      </c>
    </row>
    <row r="268" spans="1:14" x14ac:dyDescent="0.2">
      <c r="A268" s="1524" t="s">
        <v>102</v>
      </c>
      <c r="B268" s="613">
        <v>2560</v>
      </c>
      <c r="C268" s="615"/>
      <c r="D268" s="466">
        <v>5265</v>
      </c>
      <c r="E268" s="615"/>
      <c r="F268" s="615"/>
      <c r="G268" s="615"/>
      <c r="H268" s="615"/>
      <c r="I268" s="615"/>
      <c r="J268" s="615"/>
      <c r="K268" s="1692">
        <f t="shared" si="22"/>
        <v>5265</v>
      </c>
      <c r="L268" s="466">
        <v>6195</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37766</v>
      </c>
      <c r="E270" s="615"/>
      <c r="F270" s="615"/>
      <c r="G270" s="615"/>
      <c r="H270" s="615"/>
      <c r="I270" s="615"/>
      <c r="J270" s="615"/>
      <c r="K270" s="1690">
        <f>SUM(K263:K269)</f>
        <v>37766</v>
      </c>
      <c r="L270" s="1690">
        <f>SUM(L263:L269)</f>
        <v>38537</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63429</v>
      </c>
      <c r="E279" s="615"/>
      <c r="F279" s="615"/>
      <c r="G279" s="615"/>
      <c r="H279" s="615"/>
      <c r="I279" s="615"/>
      <c r="J279" s="615"/>
      <c r="K279" s="1697">
        <f>SUM(K238,K243,K257,K261,K270,K277,K278)</f>
        <v>63429</v>
      </c>
      <c r="L279" s="1697">
        <f>SUM(L238,L243,L257,L261,L270,L277,L278)</f>
        <v>60928</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9" t="s">
        <v>526</v>
      </c>
      <c r="B295" s="2190"/>
      <c r="C295" s="615"/>
      <c r="D295" s="1690">
        <f>SUM(D229,D279,D280,D285)</f>
        <v>98801</v>
      </c>
      <c r="E295" s="615"/>
      <c r="F295" s="615"/>
      <c r="G295" s="615"/>
      <c r="H295" s="1690">
        <f>H293</f>
        <v>0</v>
      </c>
      <c r="I295" s="615"/>
      <c r="J295" s="615"/>
      <c r="K295" s="1690">
        <f>SUM(K229,K279,K280,K285,K293,K294)</f>
        <v>98801</v>
      </c>
      <c r="L295" s="1690">
        <f>SUM(L229,L279,L280,L285,L293,L294)</f>
        <v>92453</v>
      </c>
    </row>
    <row r="296" spans="1:14" ht="13.5" thickTop="1" x14ac:dyDescent="0.2">
      <c r="A296" s="2198" t="s">
        <v>1053</v>
      </c>
      <c r="B296" s="2199"/>
      <c r="C296" s="615"/>
      <c r="D296" s="617"/>
      <c r="E296" s="615"/>
      <c r="F296" s="615"/>
      <c r="G296" s="615"/>
      <c r="H296" s="686"/>
      <c r="I296" s="615"/>
      <c r="J296" s="615"/>
      <c r="K296" s="1704">
        <f>'Revenues 9-14'!G275-'Expenditures 15-22'!K295</f>
        <v>56054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6" t="s">
        <v>295</v>
      </c>
      <c r="B312" s="2187"/>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2" t="s">
        <v>1053</v>
      </c>
      <c r="B313" s="2183"/>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954</v>
      </c>
      <c r="B317" s="2196"/>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28203</v>
      </c>
      <c r="F320" s="467">
        <v>0</v>
      </c>
      <c r="G320" s="467">
        <v>0</v>
      </c>
      <c r="H320" s="467">
        <v>0</v>
      </c>
      <c r="I320" s="467">
        <v>0</v>
      </c>
      <c r="J320" s="467">
        <v>0</v>
      </c>
      <c r="K320" s="1691">
        <f t="shared" ref="K320:K327" si="24">SUM(C320:J320)</f>
        <v>28203</v>
      </c>
      <c r="L320" s="467">
        <v>0</v>
      </c>
      <c r="M320" s="664"/>
      <c r="N320" s="664"/>
    </row>
    <row r="321" spans="1:14" s="673" customFormat="1" x14ac:dyDescent="0.2">
      <c r="A321" s="1539" t="s">
        <v>318</v>
      </c>
      <c r="B321" s="696" t="s">
        <v>301</v>
      </c>
      <c r="C321" s="467">
        <v>0</v>
      </c>
      <c r="D321" s="467">
        <v>0</v>
      </c>
      <c r="E321" s="467">
        <v>10271</v>
      </c>
      <c r="F321" s="467">
        <v>0</v>
      </c>
      <c r="G321" s="467">
        <v>0</v>
      </c>
      <c r="H321" s="467">
        <v>0</v>
      </c>
      <c r="I321" s="467">
        <v>0</v>
      </c>
      <c r="J321" s="467">
        <v>0</v>
      </c>
      <c r="K321" s="1691">
        <f t="shared" si="24"/>
        <v>10271</v>
      </c>
      <c r="L321" s="467">
        <v>5000</v>
      </c>
      <c r="M321" s="664"/>
      <c r="N321" s="664"/>
    </row>
    <row r="322" spans="1:14" s="673" customFormat="1" x14ac:dyDescent="0.2">
      <c r="A322" s="1539" t="s">
        <v>256</v>
      </c>
      <c r="B322" s="696" t="s">
        <v>302</v>
      </c>
      <c r="C322" s="467">
        <v>0</v>
      </c>
      <c r="D322" s="467">
        <v>0</v>
      </c>
      <c r="E322" s="467">
        <v>41754</v>
      </c>
      <c r="F322" s="467">
        <v>0</v>
      </c>
      <c r="G322" s="467">
        <v>0</v>
      </c>
      <c r="H322" s="467">
        <v>0</v>
      </c>
      <c r="I322" s="467">
        <v>0</v>
      </c>
      <c r="J322" s="467">
        <v>0</v>
      </c>
      <c r="K322" s="1691">
        <f t="shared" si="24"/>
        <v>41754</v>
      </c>
      <c r="L322" s="467">
        <v>80000</v>
      </c>
      <c r="M322" s="664"/>
      <c r="N322" s="664"/>
    </row>
    <row r="323" spans="1:14" s="673" customFormat="1" x14ac:dyDescent="0.2">
      <c r="A323" s="1539" t="s">
        <v>726</v>
      </c>
      <c r="B323" s="696" t="s">
        <v>303</v>
      </c>
      <c r="C323" s="467">
        <v>0</v>
      </c>
      <c r="D323" s="467">
        <v>0</v>
      </c>
      <c r="E323" s="467">
        <v>3739</v>
      </c>
      <c r="F323" s="467">
        <v>0</v>
      </c>
      <c r="G323" s="467">
        <v>0</v>
      </c>
      <c r="H323" s="467">
        <v>0</v>
      </c>
      <c r="I323" s="467">
        <v>0</v>
      </c>
      <c r="J323" s="467">
        <v>0</v>
      </c>
      <c r="K323" s="1691">
        <f t="shared" si="24"/>
        <v>3739</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93103</v>
      </c>
      <c r="D325" s="467">
        <v>0</v>
      </c>
      <c r="E325" s="467">
        <v>42378</v>
      </c>
      <c r="F325" s="467">
        <v>0</v>
      </c>
      <c r="G325" s="467">
        <v>0</v>
      </c>
      <c r="H325" s="467">
        <v>0</v>
      </c>
      <c r="I325" s="467">
        <v>0</v>
      </c>
      <c r="J325" s="467">
        <v>0</v>
      </c>
      <c r="K325" s="1691">
        <f t="shared" si="24"/>
        <v>135481</v>
      </c>
      <c r="L325" s="467">
        <v>111000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27531</v>
      </c>
      <c r="F327" s="467">
        <v>0</v>
      </c>
      <c r="G327" s="467">
        <v>0</v>
      </c>
      <c r="H327" s="467">
        <v>0</v>
      </c>
      <c r="I327" s="467">
        <v>0</v>
      </c>
      <c r="J327" s="467">
        <v>0</v>
      </c>
      <c r="K327" s="1691">
        <f t="shared" si="24"/>
        <v>27531</v>
      </c>
      <c r="L327" s="467">
        <v>6000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93103</v>
      </c>
      <c r="D330" s="1690">
        <f t="shared" ref="D330:J330" si="25">SUM(D319:D329)</f>
        <v>0</v>
      </c>
      <c r="E330" s="1690">
        <f t="shared" si="25"/>
        <v>153876</v>
      </c>
      <c r="F330" s="1690">
        <f t="shared" si="25"/>
        <v>0</v>
      </c>
      <c r="G330" s="1690">
        <f t="shared" si="25"/>
        <v>0</v>
      </c>
      <c r="H330" s="1690">
        <f t="shared" si="25"/>
        <v>0</v>
      </c>
      <c r="I330" s="1690">
        <f t="shared" si="25"/>
        <v>0</v>
      </c>
      <c r="J330" s="1690">
        <f t="shared" si="25"/>
        <v>0</v>
      </c>
      <c r="K330" s="1690">
        <f>SUM(K319:K329)</f>
        <v>246979</v>
      </c>
      <c r="L330" s="1690">
        <f>SUM(L319:L329)</f>
        <v>202000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93103</v>
      </c>
      <c r="D342" s="1690">
        <f>SUM(D330)</f>
        <v>0</v>
      </c>
      <c r="E342" s="1690">
        <f>SUM(E330)</f>
        <v>153876</v>
      </c>
      <c r="F342" s="1690">
        <f>SUM(F330)</f>
        <v>0</v>
      </c>
      <c r="G342" s="1690">
        <f>SUM(G330)</f>
        <v>0</v>
      </c>
      <c r="H342" s="1690">
        <f>SUM(H330,H334,H340)</f>
        <v>0</v>
      </c>
      <c r="I342" s="1690">
        <f>SUM(I330)</f>
        <v>0</v>
      </c>
      <c r="J342" s="1690">
        <f>SUM(J330)</f>
        <v>0</v>
      </c>
      <c r="K342" s="1690">
        <f>SUM(K330,K334,K340)</f>
        <v>246979</v>
      </c>
      <c r="L342" s="1697">
        <f>SUM(L330,L340,L341)</f>
        <v>202000</v>
      </c>
    </row>
    <row r="343" spans="1:14" ht="12.75" customHeight="1" thickTop="1" x14ac:dyDescent="0.2">
      <c r="A343" s="2184" t="s">
        <v>1053</v>
      </c>
      <c r="B343" s="2185"/>
      <c r="C343" s="615"/>
      <c r="D343" s="615"/>
      <c r="E343" s="615"/>
      <c r="F343" s="615"/>
      <c r="G343" s="615"/>
      <c r="H343" s="615"/>
      <c r="I343" s="615"/>
      <c r="J343" s="615"/>
      <c r="K343" s="1704">
        <f>'Revenues 9-14'!J275-'Expenditures 15-22'!K342</f>
        <v>-37361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1023</v>
      </c>
      <c r="B345" s="2175"/>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38925</v>
      </c>
      <c r="H348" s="466">
        <v>0</v>
      </c>
      <c r="I348" s="467">
        <v>0</v>
      </c>
      <c r="J348" s="467">
        <v>0</v>
      </c>
      <c r="K348" s="1691">
        <f>SUM(C348:J348)</f>
        <v>38925</v>
      </c>
      <c r="L348" s="466">
        <v>65500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38925</v>
      </c>
      <c r="H350" s="1690">
        <f t="shared" si="26"/>
        <v>0</v>
      </c>
      <c r="I350" s="1690">
        <f t="shared" si="26"/>
        <v>0</v>
      </c>
      <c r="J350" s="1690">
        <f t="shared" si="26"/>
        <v>0</v>
      </c>
      <c r="K350" s="1690">
        <f t="shared" si="26"/>
        <v>38925</v>
      </c>
      <c r="L350" s="1690">
        <f t="shared" si="26"/>
        <v>65500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38925</v>
      </c>
      <c r="H352" s="1690">
        <f t="shared" si="27"/>
        <v>0</v>
      </c>
      <c r="I352" s="1690">
        <f t="shared" si="27"/>
        <v>0</v>
      </c>
      <c r="J352" s="1690">
        <f t="shared" si="27"/>
        <v>0</v>
      </c>
      <c r="K352" s="1690">
        <f t="shared" si="27"/>
        <v>38925</v>
      </c>
      <c r="L352" s="1690">
        <f t="shared" si="27"/>
        <v>65500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38925</v>
      </c>
      <c r="H367" s="1690">
        <f t="shared" si="28"/>
        <v>0</v>
      </c>
      <c r="I367" s="1690">
        <f t="shared" si="28"/>
        <v>0</v>
      </c>
      <c r="J367" s="1690">
        <f t="shared" si="28"/>
        <v>0</v>
      </c>
      <c r="K367" s="1690">
        <f t="shared" si="28"/>
        <v>38925</v>
      </c>
      <c r="L367" s="1690">
        <f t="shared" si="28"/>
        <v>65500</v>
      </c>
    </row>
    <row r="368" spans="1:14" ht="13.5" thickTop="1" x14ac:dyDescent="0.2">
      <c r="A368" s="2198" t="s">
        <v>1053</v>
      </c>
      <c r="B368" s="2199"/>
      <c r="C368" s="653"/>
      <c r="D368" s="653"/>
      <c r="E368" s="625"/>
      <c r="F368" s="625"/>
      <c r="G368" s="625"/>
      <c r="H368" s="625"/>
      <c r="I368" s="625"/>
      <c r="J368" s="622"/>
      <c r="K368" s="1691">
        <f>'Revenues 9-14'!K275-'Expenditures 15-22'!K367</f>
        <v>-14397</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4d435f69-8686-490b-bd6d-b153bf22ab50"/>
    <ds:schemaRef ds:uri="http://schemas.microsoft.com/office/infopath/2007/PartnerControls"/>
    <ds:schemaRef ds:uri="http://purl.org/dc/terms/"/>
    <ds:schemaRef ds:uri="http://schemas.microsoft.com/office/2006/metadata/properties"/>
    <ds:schemaRef ds:uri="6ce3111e-7420-4802-b50a-75d4e9a0b980"/>
    <ds:schemaRef ds:uri="http://schemas.openxmlformats.org/package/2006/metadata/core-propertie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2018-09-28T14:01:56Z</cp:lastPrinted>
  <dcterms:created xsi:type="dcterms:W3CDTF">2003-10-29T19:06:34Z</dcterms:created>
  <dcterms:modified xsi:type="dcterms:W3CDTF">2018-10-24T20:45:01Z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