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890" windowWidth="28830" windowHeight="621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C65" i="5" l="1"/>
  <c r="C39" i="3"/>
  <c r="C4" i="3"/>
  <c r="L27" i="184" l="1"/>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E49" i="29" l="1"/>
  <c r="E46" i="29"/>
  <c r="D45" i="29"/>
  <c r="C45" i="29"/>
  <c r="F45" i="29"/>
  <c r="E38" i="29"/>
  <c r="F14" i="29"/>
  <c r="C14" i="29"/>
  <c r="H14" i="29"/>
  <c r="D14" i="29"/>
  <c r="E14" i="29"/>
  <c r="G14" i="29"/>
  <c r="E8" i="29"/>
  <c r="D8" i="29"/>
  <c r="H8" i="29"/>
  <c r="F8" i="29"/>
  <c r="C8" i="29"/>
  <c r="E124"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E36" i="181"/>
  <c r="F36" i="181" s="1"/>
  <c r="G36" i="181" s="1"/>
  <c r="E35" i="181"/>
  <c r="F35" i="181" s="1"/>
  <c r="G35" i="181" s="1"/>
  <c r="F34" i="181"/>
  <c r="G34" i="181" s="1"/>
  <c r="E34" i="181"/>
  <c r="E33" i="181"/>
  <c r="F33" i="181" s="1"/>
  <c r="G33" i="181" s="1"/>
  <c r="E32" i="181"/>
  <c r="F32" i="181" s="1"/>
  <c r="G32" i="181" s="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B5304" i="106" s="1"/>
  <c r="D5304" i="106" s="1"/>
  <c r="C259" i="5"/>
  <c r="B7761" i="106"/>
  <c r="L127" i="29"/>
  <c r="L129" i="29" s="1"/>
  <c r="L139" i="29"/>
  <c r="L149" i="29"/>
  <c r="I7" i="145"/>
  <c r="I6" i="145"/>
  <c r="D78" i="36"/>
  <c r="K75" i="29"/>
  <c r="C14" i="4" s="1"/>
  <c r="B2558" i="106" s="1"/>
  <c r="D2558" i="106"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c r="B5122" i="106"/>
  <c r="D5122" i="106"/>
  <c r="B5123" i="106"/>
  <c r="D5123" i="106"/>
  <c r="B5124" i="106"/>
  <c r="D5124" i="106"/>
  <c r="B5126" i="106"/>
  <c r="D5126" i="106"/>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E28" i="108"/>
  <c r="F28" i="108"/>
  <c r="F31" i="108"/>
  <c r="F36" i="108"/>
  <c r="F37" i="108"/>
  <c r="G28" i="108"/>
  <c r="E30" i="108"/>
  <c r="G30" i="108"/>
  <c r="D31" i="108"/>
  <c r="D36" i="108"/>
  <c r="D37" i="108"/>
  <c r="E31" i="108"/>
  <c r="G31" i="108"/>
  <c r="E33" i="108"/>
  <c r="G33" i="108"/>
  <c r="E34" i="108"/>
  <c r="G34"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B5066" i="106"/>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K13" i="4"/>
  <c r="B3572" i="106" s="1"/>
  <c r="D3572"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28" i="34"/>
  <c r="F127" i="34"/>
  <c r="B5847" i="106"/>
  <c r="D5847" i="106" s="1"/>
  <c r="B5752" i="106"/>
  <c r="D5752" i="106" s="1"/>
  <c r="B5599" i="106"/>
  <c r="D5599" i="106" s="1"/>
  <c r="K274" i="5"/>
  <c r="H173" i="5"/>
  <c r="B5906" i="106" s="1"/>
  <c r="D5906" i="106" s="1"/>
  <c r="H109" i="5"/>
  <c r="B6025" i="106" s="1"/>
  <c r="D6025" i="106" s="1"/>
  <c r="F106" i="34"/>
  <c r="D7" i="7"/>
  <c r="B1763" i="106" s="1"/>
  <c r="D1763" i="106" s="1"/>
  <c r="H4" i="4"/>
  <c r="B2655" i="106"/>
  <c r="D2655"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H6" i="4"/>
  <c r="B2656" i="106" s="1"/>
  <c r="D2656" i="106" s="1"/>
  <c r="F131" i="34"/>
  <c r="I173" i="5"/>
  <c r="B4216" i="106" s="1"/>
  <c r="D4216" i="106" s="1"/>
  <c r="D7245" i="106"/>
  <c r="I342" i="29"/>
  <c r="B7222" i="106" s="1"/>
  <c r="D7222" i="106" s="1"/>
  <c r="G352" i="29"/>
  <c r="C352" i="29"/>
  <c r="K41" i="3"/>
  <c r="L15" i="11"/>
  <c r="B3459" i="106" s="1"/>
  <c r="D3459" i="106" s="1"/>
  <c r="L13" i="11"/>
  <c r="B2060" i="106" s="1"/>
  <c r="D2060" i="106" s="1"/>
  <c r="K285" i="29"/>
  <c r="G210" i="29"/>
  <c r="K24" i="12"/>
  <c r="F19" i="7"/>
  <c r="B1807" i="106" s="1"/>
  <c r="D1807" i="106" s="1"/>
  <c r="D54" i="36"/>
  <c r="F52" i="34"/>
  <c r="G39" i="108"/>
  <c r="G35" i="108"/>
  <c r="E35" i="108"/>
  <c r="B1126" i="106"/>
  <c r="D1126" i="106" s="1"/>
  <c r="F130" i="34"/>
  <c r="C172" i="5"/>
  <c r="B5096" i="106"/>
  <c r="D5096" i="106" s="1"/>
  <c r="C109" i="5"/>
  <c r="B5121" i="106" s="1"/>
  <c r="D5121" i="106" s="1"/>
  <c r="C129" i="29"/>
  <c r="C151" i="29" s="1"/>
  <c r="B1226" i="106" s="1"/>
  <c r="D1226" i="106" s="1"/>
  <c r="D109" i="5"/>
  <c r="B1329" i="106"/>
  <c r="D1329" i="106" s="1"/>
  <c r="F61" i="34"/>
  <c r="E109" i="5"/>
  <c r="E4" i="4" s="1"/>
  <c r="B2630" i="106" s="1"/>
  <c r="D2630" i="106" s="1"/>
  <c r="G29" i="108"/>
  <c r="E29" i="108"/>
  <c r="K184" i="29"/>
  <c r="F13" i="4" s="1"/>
  <c r="B2596" i="106" s="1"/>
  <c r="D2596" i="106" s="1"/>
  <c r="F111" i="34"/>
  <c r="B1410" i="106"/>
  <c r="D1410" i="106" s="1"/>
  <c r="G109" i="5"/>
  <c r="H29" i="118"/>
  <c r="K28" i="118" s="1"/>
  <c r="O27" i="118" s="1"/>
  <c r="O29" i="118" s="1"/>
  <c r="D31" i="36"/>
  <c r="D11" i="37"/>
  <c r="L367"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7215" i="106" l="1"/>
  <c r="D7215" i="106" s="1"/>
  <c r="H367" i="29"/>
  <c r="B3660" i="106" s="1"/>
  <c r="D3660" i="106" s="1"/>
  <c r="B1365" i="106"/>
  <c r="D1365" i="106" s="1"/>
  <c r="F65" i="34"/>
  <c r="B3568" i="106"/>
  <c r="D3568" i="106" s="1"/>
  <c r="D52" i="36"/>
  <c r="B3649" i="106"/>
  <c r="D3649" i="106" s="1"/>
  <c r="G367" i="29"/>
  <c r="B3650" i="106" s="1"/>
  <c r="D3650" i="106" s="1"/>
  <c r="B7733" i="106"/>
  <c r="D7733" i="106" s="1"/>
  <c r="K26" i="12"/>
  <c r="B7743" i="106" s="1"/>
  <c r="D7743" i="106" s="1"/>
  <c r="F73" i="34"/>
  <c r="G15" i="4"/>
  <c r="B6032" i="106" s="1"/>
  <c r="D6032" i="106" s="1"/>
  <c r="B3621" i="106"/>
  <c r="D3621" i="106" s="1"/>
  <c r="C367" i="29"/>
  <c r="B3622" i="106" s="1"/>
  <c r="D3622" i="106" s="1"/>
  <c r="D19" i="7"/>
  <c r="B1775" i="106" s="1"/>
  <c r="D1775" i="106" s="1"/>
  <c r="L16" i="11"/>
  <c r="B2061" i="106" s="1"/>
  <c r="D2061" i="106" s="1"/>
  <c r="C114" i="29"/>
  <c r="B757" i="106" s="1"/>
  <c r="D757" i="106" s="1"/>
  <c r="B5214" i="106"/>
  <c r="D5214" i="106" s="1"/>
  <c r="C173" i="5"/>
  <c r="C4" i="4"/>
  <c r="B2551" i="106" s="1"/>
  <c r="D2551" i="106" s="1"/>
  <c r="B5356" i="106"/>
  <c r="D5356" i="106" s="1"/>
  <c r="D4" i="4"/>
  <c r="B2564" i="106" s="1"/>
  <c r="D2564" i="106" s="1"/>
  <c r="B1317" i="106"/>
  <c r="D1317" i="106" s="1"/>
  <c r="F275" i="5"/>
  <c r="B5720" i="106" s="1"/>
  <c r="D5720" i="106" s="1"/>
  <c r="B6024" i="106"/>
  <c r="D6024" i="106" s="1"/>
  <c r="G4" i="4"/>
  <c r="B2603" i="106" s="1"/>
  <c r="D2603" i="106" s="1"/>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6222" i="106"/>
  <c r="D6222" i="106" s="1"/>
  <c r="J8" i="4"/>
  <c r="B2658" i="106"/>
  <c r="D2658" i="106" s="1"/>
  <c r="H10" i="4"/>
  <c r="B4127" i="106" s="1"/>
  <c r="D4127" i="106" s="1"/>
  <c r="D7" i="4"/>
  <c r="D275" i="5"/>
  <c r="B5507" i="106"/>
  <c r="D5507" i="106" s="1"/>
  <c r="B7298" i="106"/>
  <c r="B7299" i="106"/>
  <c r="G41" i="108" l="1"/>
  <c r="G44" i="108" s="1"/>
  <c r="G45" i="108" s="1"/>
  <c r="B5223" i="106"/>
  <c r="D5223" i="106" s="1"/>
  <c r="C6" i="4"/>
  <c r="B2553" i="106" s="1"/>
  <c r="D2553" i="106" s="1"/>
  <c r="F8" i="4"/>
  <c r="F10" i="4" s="1"/>
  <c r="B4125" i="106" s="1"/>
  <c r="D412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F76" i="34" l="1"/>
  <c r="D10" i="171"/>
  <c r="D19" i="171" s="1"/>
  <c r="D32" i="171" s="1"/>
  <c r="D49" i="171" s="1"/>
  <c r="D8" i="146"/>
  <c r="B2595" i="106"/>
  <c r="D259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<sst xmlns="http://schemas.openxmlformats.org/spreadsheetml/2006/main" count="5307" uniqueCount="2195">
  <si>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</si>
  <si>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</si>
  <si>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</si>
  <si>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</si>
  <si>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</si>
  <si>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</si>
  <si>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</si>
  <si>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</si>
  <si>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</si>
  <si>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</si>
  <si>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</si>
  <si>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</si>
  <si>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</si>
  <si>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</si>
  <si>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</si>
  <si>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</si>
  <si>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</si>
  <si>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</si>
  <si>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</si>
  <si>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</si>
  <si>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</si>
  <si>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</si>
  <si>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</si>
  <si>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</si>
  <si>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</si>
  <si>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</si>
  <si>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</si>
  <si>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</si>
  <si>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</si>
  <si>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</si>
  <si>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</si>
  <si>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</si>
  <si>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</si>
  <si>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</si>
  <si>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</si>
  <si>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</si>
  <si>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</si>
  <si>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</si>
  <si>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</si>
  <si>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</si>
  <si>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</si>
  <si>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</si>
  <si>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</si>
  <si>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</si>
  <si>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</si>
  <si>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</si>
  <si>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</si>
  <si>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</si>
  <si>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</si>
  <si>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</si>
  <si>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</si>
  <si>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</si>
  <si>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</si>
  <si>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</si>
  <si>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</si>
  <si>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</si>
  <si>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</si>
  <si>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</si>
  <si>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</si>
  <si>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</si>
  <si>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</si>
  <si>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</si>
  <si>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</si>
  <si>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</si>
  <si>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</si>
  <si>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</si>
  <si>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</si>
  <si>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</si>
  <si>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</si>
  <si>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</si>
  <si>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</si>
  <si>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</si>
  <si>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</si>
  <si>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</si>
  <si>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</si>
  <si>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</si>
  <si>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</si>
  <si>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</si>
  <si>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</si>
  <si>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</si>
  <si>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</si>
  <si>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</si>
  <si>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</si>
  <si>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</si>
  <si>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</si>
  <si>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</si>
  <si>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</si>
  <si>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</si>
  <si>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</si>
  <si>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</si>
  <si>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</si>
  <si>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</si>
  <si>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</si>
  <si>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</si>
  <si>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</si>
  <si>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</si>
  <si>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</si>
  <si>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</si>
  <si>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</si>
  <si>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</si>
  <si>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</si>
  <si>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</si>
  <si>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</si>
  <si>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</si>
  <si>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</si>
  <si>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</si>
  <si>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</si>
  <si>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</si>
  <si>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</si>
  <si>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</si>
  <si>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</si>
  <si>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</si>
  <si>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</si>
  <si>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</si>
  <si>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</si>
  <si>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</si>
  <si>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</si>
  <si>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</si>
  <si>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</si>
  <si>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</si>
  <si>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</si>
  <si>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</si>
  <si>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</si>
  <si>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</si>
  <si>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</si>
  <si>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</si>
  <si>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</si>
  <si>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</si>
  <si>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</si>
  <si>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</si>
  <si>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</si>
  <si>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</si>
  <si>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</si>
  <si>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</si>
  <si>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</si>
  <si>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</si>
  <si>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</si>
  <si>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</si>
  <si>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</si>
  <si>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</si>
  <si>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</si>
  <si>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</si>
  <si>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</si>
  <si>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</si>
  <si>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</si>
  <si>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</si>
  <si>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</si>
  <si>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</si>
  <si>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</si>
  <si>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</si>
  <si>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</si>
  <si>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</si>
  <si>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</si>
  <si>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</si>
  <si>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</si>
  <si>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</si>
  <si>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</si>
  <si>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</si>
  <si>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</si>
  <si>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</si>
  <si>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</si>
  <si>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</si>
  <si>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</si>
  <si>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</si>
  <si>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</si>
  <si>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</si>
  <si>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</si>
  <si>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</si>
  <si>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</si>
  <si>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</si>
  <si>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</si>
  <si>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</si>
  <si>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</si>
  <si>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</si>
  <si>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</si>
  <si>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</si>
  <si>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</si>
  <si>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</si>
  <si>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</si>
  <si>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</si>
  <si>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</si>
  <si>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</si>
  <si>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</si>
  <si>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</si>
  <si>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</si>
  <si>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</si>
  <si>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</si>
  <si>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</si>
  <si>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</si>
  <si>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</si>
  <si>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</si>
  <si>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</si>
  <si>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</si>
  <si>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</si>
  <si>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</si>
  <si>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</si>
  <si>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</si>
  <si>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</si>
  <si>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</si>
  <si>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</si>
  <si>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</si>
  <si>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</si>
  <si>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</si>
  <si>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</si>
  <si>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</si>
  <si>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</si>
  <si>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</si>
  <si>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</si>
  <si>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</si>
  <si>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</si>
  <si>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</si>
  <si>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</si>
  <si>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</si>
  <si>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</si>
  <si>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</si>
  <si>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</si>
  <si>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</si>
  <si>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</si>
  <si>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</si>
  <si>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</si>
  <si>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</si>
  <si>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</si>
  <si>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</si>
  <si>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</si>
  <si>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</si>
  <si>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</si>
  <si>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</si>
  <si>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</si>
  <si>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</si>
  <si>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</si>
  <si>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</si>
  <si>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</si>
  <si>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</si>
  <si>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</si>
  <si>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</si>
  <si>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</si>
  <si>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</si>
  <si>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</si>
  <si>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</si>
  <si>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</si>
  <si>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</si>
  <si>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</si>
  <si>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</si>
  <si>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</si>
  <si>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</si>
  <si>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</si>
  <si>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</si>
  <si>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</si>
  <si>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</si>
  <si>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</si>
  <si>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</si>
  <si>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</si>
  <si>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</si>
  <si>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</si>
  <si>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</si>
  <si>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</si>
  <si>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</si>
  <si>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</si>
  <si>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</si>
  <si>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</si>
  <si>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</si>
  <si>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</si>
  <si>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</si>
  <si>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</si>
  <si>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</si>
  <si>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</si>
  <si>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</si>
  <si>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</si>
  <si>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</si>
  <si>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</si>
  <si>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</si>
  <si>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</si>
  <si>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</si>
  <si>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</si>
  <si>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</si>
  <si>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</si>
  <si>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</si>
  <si>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</si>
  <si>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</si>
  <si>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</si>
  <si>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</si>
  <si>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</si>
  <si>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</si>
  <si>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</si>
  <si>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</si>
  <si>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</si>
  <si>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</si>
  <si>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</si>
  <si>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</si>
  <si>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</si>
  <si>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</si>
  <si>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</si>
  <si>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</si>
  <si>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</si>
  <si>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</si>
  <si>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</si>
  <si>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</si>
  <si>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</si>
  <si>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</si>
  <si>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</si>
  <si>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</si>
  <si>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</si>
  <si>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</si>
  <si>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</si>
  <si>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</si>
  <si>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</si>
  <si>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</si>
  <si>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</si>
  <si>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</si>
  <si>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</si>
  <si>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</si>
  <si>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</si>
  <si>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</si>
  <si>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</si>
  <si>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</si>
  <si>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</si>
  <si>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</si>
  <si>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</si>
  <si>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</si>
  <si>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</si>
  <si>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</si>
  <si>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</si>
  <si>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</si>
  <si>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</si>
  <si>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</si>
  <si>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</si>
  <si>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</si>
  <si>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</si>
  <si>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</si>
  <si>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</si>
  <si>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</si>
  <si>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</si>
  <si>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</si>
  <si>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</si>
  <si>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</si>
  <si>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</si>
  <si>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</si>
  <si>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</si>
  <si>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</si>
  <si>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</si>
  <si>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</si>
  <si>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</si>
  <si>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</si>
  <si>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</si>
  <si>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</si>
  <si>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</si>
  <si>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</si>
  <si>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</si>
  <si>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</si>
  <si>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</si>
  <si>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</si>
  <si>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</si>
  <si>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</si>
  <si>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</si>
  <si>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</si>
  <si>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</si>
  <si>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</si>
  <si>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</si>
  <si>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</si>
  <si>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</si>
  <si>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</si>
  <si>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</si>
  <si>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</si>
  <si>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</si>
  <si>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</si>
  <si>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</si>
  <si>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</si>
  <si>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</si>
  <si>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</si>
  <si>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</si>
  <si>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</si>
  <si>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</si>
  <si>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</si>
  <si>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</si>
  <si>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</si>
  <si>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</si>
  <si>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</si>
  <si>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</si>
  <si>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</si>
  <si>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</si>
  <si>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</si>
  <si>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</si>
  <si>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</si>
  <si>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</si>
  <si>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</si>
  <si>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</si>
  <si>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</si>
  <si>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</si>
  <si>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</si>
  <si>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</si>
  <si>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</si>
  <si>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</si>
  <si>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</si>
  <si>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</si>
  <si>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</si>
  <si>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</si>
  <si>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</si>
  <si>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</si>
  <si>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</si>
  <si>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</si>
  <si>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</si>
  <si>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</si>
  <si>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</si>
  <si>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</si>
  <si>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</si>
  <si>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</si>
  <si>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</si>
  <si>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</si>
  <si>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</si>
  <si>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</si>
  <si>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</si>
  <si>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</si>
  <si>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</si>
  <si>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</si>
  <si>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</si>
  <si>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</si>
  <si>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</si>
  <si>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</si>
  <si>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</si>
  <si>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</si>
  <si>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</si>
  <si>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</si>
  <si>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</si>
  <si>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</si>
  <si>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</si>
  <si>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</si>
  <si>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</si>
  <si>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</si>
  <si>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</si>
  <si>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</si>
  <si>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</si>
  <si>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</si>
  <si>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</si>
  <si>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</si>
  <si>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</si>
  <si>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</si>
  <si>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</si>
  <si>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</si>
  <si>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</si>
  <si>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</si>
  <si>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</si>
  <si>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</si>
  <si>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</si>
  <si>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</si>
  <si>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</si>
  <si>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</si>
  <si>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</si>
  <si>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</si>
  <si>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</si>
  <si>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</si>
  <si>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</si>
  <si>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</si>
  <si>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</si>
  <si>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</si>
  <si>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</si>
  <si>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</si>
  <si>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</si>
  <si>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</si>
  <si>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</si>
  <si>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</si>
  <si>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</si>
  <si>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</si>
  <si>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</si>
  <si>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</si>
  <si>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</si>
  <si>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</si>
  <si>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</si>
  <si>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</si>
  <si>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</si>
  <si>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</si>
  <si>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</si>
  <si>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</si>
  <si>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</si>
  <si>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</si>
  <si>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</si>
  <si>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</si>
  <si>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</si>
  <si>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</si>
  <si>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</si>
  <si>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</si>
  <si>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</si>
  <si>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</si>
  <si>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</si>
  <si>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</si>
  <si>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</si>
  <si>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</si>
  <si>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</si>
  <si>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</si>
  <si>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</si>
  <si>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</si>
  <si>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</si>
  <si>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</si>
  <si>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</si>
  <si>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</si>
  <si>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</si>
  <si>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</si>
  <si>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</si>
  <si>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</si>
  <si>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</si>
  <si>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</si>
  <si>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</si>
  <si>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</si>
  <si>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</si>
  <si>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</si>
  <si>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</si>
  <si>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</si>
  <si>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</si>
  <si>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</si>
  <si>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</si>
  <si>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</si>
  <si>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</si>
  <si>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</si>
  <si>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</si>
  <si>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</si>
  <si>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</si>
  <si>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</si>
  <si>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</si>
  <si>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</si>
  <si>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</si>
  <si>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</si>
  <si>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</si>
  <si>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</si>
  <si>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</si>
  <si>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</si>
  <si>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</si>
  <si>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</si>
  <si>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</si>
  <si>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</si>
  <si>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</si>
  <si>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</si>
  <si>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</si>
  <si>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</si>
  <si>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</si>
  <si>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</si>
  <si>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</si>
  <si>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</si>
  <si>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</si>
  <si>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</si>
  <si>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</si>
  <si>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</si>
  <si>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</si>
  <si>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</si>
  <si>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</si>
  <si>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</si>
  <si>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</si>
  <si>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</si>
  <si>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</si>
  <si>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</si>
  <si>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</si>
  <si>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</si>
  <si>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</si>
  <si>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</si>
  <si>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</si>
  <si>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</si>
  <si>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</si>
  <si>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</si>
  <si>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</si>
  <si>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</si>
  <si>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</si>
  <si>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</si>
  <si>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</si>
  <si>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</si>
  <si>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</si>
  <si>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</si>
  <si>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</si>
  <si>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</si>
  <si>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</si>
  <si>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</si>
  <si>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</si>
  <si>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</si>
  <si>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</si>
  <si>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</si>
  <si>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</si>
  <si>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</si>
  <si>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</si>
  <si>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</si>
  <si>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</si>
  <si>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</si>
  <si>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</si>
  <si>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</si>
  <si>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</si>
  <si>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</si>
  <si>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</si>
  <si>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</si>
  <si>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</si>
  <si>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</si>
  <si>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</si>
  <si>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</si>
  <si>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</si>
  <si>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</si>
  <si>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</si>
  <si>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</si>
  <si>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</si>
  <si>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</si>
  <si>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</si>
  <si>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</si>
  <si>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</si>
  <si>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</si>
  <si>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</si>
  <si>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</si>
  <si>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</si>
  <si>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</si>
  <si>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</si>
  <si>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</si>
  <si>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</si>
  <si>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</si>
  <si>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</si>
  <si>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</si>
  <si>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</si>
  <si>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</si>
  <si>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</si>
  <si>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</si>
  <si>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</si>
  <si>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</si>
  <si>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</si>
  <si>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</si>
  <si>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</si>
  <si>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</si>
  <si>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</si>
  <si>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</si>
  <si>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</si>
  <si>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</si>
  <si>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</si>
  <si>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</si>
  <si>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</si>
  <si>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</si>
  <si>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</si>
  <si>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</si>
  <si>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</si>
  <si>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</si>
  <si>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</si>
  <si>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</si>
  <si>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</si>
  <si>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</si>
  <si>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</si>
  <si>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</si>
  <si>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</si>
  <si>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</si>
  <si>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</si>
  <si>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</si>
  <si>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</si>
  <si>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</si>
  <si>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</si>
  <si>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</si>
  <si>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</si>
  <si>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</si>
  <si>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</si>
  <si>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</si>
  <si>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</si>
  <si>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</si>
  <si>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</si>
  <si>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</si>
  <si>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</si>
  <si>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</si>
  <si>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</si>
  <si>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</si>
  <si>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</si>
  <si>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</si>
  <si>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</si>
  <si>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</si>
  <si>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</si>
  <si>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</si>
  <si>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</si>
  <si>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</si>
  <si>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</si>
  <si>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</si>
  <si>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</si>
  <si>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</si>
  <si>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</si>
  <si>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</si>
  <si>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</si>
  <si>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</si>
  <si>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</si>
  <si>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</si>
  <si>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</si>
  <si>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</si>
  <si>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</si>
  <si>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</si>
  <si>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</si>
  <si>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</si>
  <si>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</si>
  <si>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</si>
  <si>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</si>
  <si>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</si>
  <si>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</si>
  <si>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</si>
  <si>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</si>
  <si>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</si>
  <si>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</si>
  <si>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</si>
  <si>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</si>
  <si>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</si>
  <si>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</si>
  <si>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</si>
  <si>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</si>
  <si>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</si>
  <si>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</si>
  <si>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</si>
  <si>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</si>
  <si>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</si>
  <si>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</si>
  <si>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</si>
  <si>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</si>
  <si>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</si>
  <si>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</si>
  <si>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</si>
  <si>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</si>
  <si>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</si>
  <si>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</si>
  <si>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</si>
  <si>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</si>
  <si>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</si>
  <si>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</si>
  <si>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</si>
  <si>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</si>
  <si>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</si>
  <si>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</si>
  <si>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</si>
  <si>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</si>
  <si>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</si>
  <si>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</si>
  <si>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</si>
  <si>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</si>
  <si>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</si>
  <si>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</si>
  <si>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</si>
  <si>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</si>
  <si>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</si>
  <si>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</si>
  <si>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</si>
  <si>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</si>
  <si>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</si>
  <si>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</si>
  <si>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</si>
  <si>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</si>
  <si>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</si>
  <si>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</si>
  <si>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</si>
  <si>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</si>
  <si>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</si>
  <si>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</si>
  <si>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</si>
  <si>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</si>
  <si>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</si>
  <si>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</si>
  <si>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</si>
  <si>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</si>
  <si>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</si>
  <si>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</si>
  <si>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</si>
  <si>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</si>
  <si>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</si>
  <si>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</si>
  <si>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</si>
  <si>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</si>
  <si>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</si>
  <si>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</si>
  <si>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</si>
  <si>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</si>
  <si>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</si>
  <si>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</si>
  <si>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</si>
  <si>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</si>
  <si>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</si>
  <si>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</si>
  <si>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</si>
  <si>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</si>
  <si>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</si>
  <si>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</si>
  <si>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</si>
  <si>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</si>
  <si>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</si>
  <si>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</si>
  <si>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</si>
  <si>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</si>
  <si>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</si>
  <si>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</si>
  <si>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</si>
  <si>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</si>
  <si>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</si>
  <si>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</si>
  <si>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</si>
  <si>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</si>
  <si>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</si>
  <si>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</si>
  <si>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</si>
  <si>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</si>
  <si>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</si>
  <si>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</si>
  <si>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</si>
  <si>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</si>
  <si>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</si>
  <si>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</si>
  <si>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</si>
  <si>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</si>
  <si>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</si>
  <si>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</si>
  <si>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</si>
  <si>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</si>
  <si>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</si>
  <si>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</si>
  <si>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</si>
  <si>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</si>
  <si>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</si>
  <si>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</si>
  <si>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</si>
  <si>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</si>
  <si>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</si>
  <si>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</si>
  <si>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</si>
  <si>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</si>
  <si>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</si>
  <si>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</si>
  <si>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</si>
  <si>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</si>
  <si>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</si>
  <si>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</si>
  <si>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</si>
  <si>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</si>
  <si>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</si>
  <si>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</si>
  <si>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</si>
  <si>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</si>
  <si>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</si>
  <si>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</si>
  <si>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</si>
  <si>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</si>
  <si>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</si>
  <si>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</si>
  <si>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</si>
  <si>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</si>
  <si>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</si>
  <si>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</si>
  <si>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</si>
  <si>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</si>
  <si>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</si>
  <si>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</si>
  <si>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</si>
  <si>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</si>
  <si>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</si>
  <si>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</si>
  <si>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</si>
  <si>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</si>
  <si>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</si>
  <si>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</si>
  <si>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</si>
  <si>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</si>
  <si>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</si>
  <si>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</si>
  <si>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</si>
  <si>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</si>
  <si>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</si>
  <si>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</si>
  <si>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</si>
  <si>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</si>
  <si>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</si>
  <si>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</si>
  <si>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</si>
  <si>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</si>
  <si>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</si>
  <si>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</si>
  <si>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</si>
  <si>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</si>
  <si>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</si>
  <si>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</si>
  <si>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</si>
  <si>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</si>
  <si>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</si>
  <si>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</si>
  <si>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</si>
  <si>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</si>
  <si>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</si>
  <si>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</si>
  <si>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</si>
  <si>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</si>
  <si>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</si>
  <si>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</si>
  <si>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</si>
  <si>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</si>
  <si>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</si>
  <si>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</si>
  <si>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</si>
  <si>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</si>
  <si>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</si>
  <si>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</si>
  <si>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</si>
  <si>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</si>
  <si>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</si>
  <si>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</si>
  <si>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</si>
  <si>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</si>
  <si>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</si>
  <si>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</si>
  <si>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</si>
  <si>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</si>
  <si>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</si>
  <si>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</si>
  <si>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</si>
  <si>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</si>
  <si>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</si>
  <si>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</si>
  <si>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</si>
  <si>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</si>
  <si>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</si>
  <si>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</si>
  <si>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</si>
  <si>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</si>
  <si>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</si>
  <si>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</si>
  <si>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</si>
  <si>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</si>
  <si>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</si>
  <si>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</si>
  <si>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</si>
  <si>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</si>
  <si>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</si>
  <si>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</si>
  <si>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</si>
  <si>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</si>
  <si>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</si>
  <si>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</si>
  <si>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</si>
  <si>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</si>
  <si>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</si>
  <si>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</si>
  <si>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</si>
  <si>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</si>
  <si>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</si>
  <si>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</si>
  <si>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</si>
  <si>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</si>
  <si>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</si>
  <si>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</si>
  <si>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</si>
  <si>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</si>
  <si>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</si>
  <si>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</si>
  <si>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</si>
  <si>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</si>
  <si>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</si>
  <si>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</si>
  <si>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</si>
  <si>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</si>
  <si>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</si>
  <si>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</si>
  <si>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</si>
  <si>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</si>
  <si>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</si>
  <si>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</si>
  <si>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</si>
  <si>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</si>
  <si>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</si>
  <si>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</si>
  <si>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</si>
  <si>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</si>
  <si>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</si>
  <si>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</si>
  <si>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</si>
  <si>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</si>
  <si>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</si>
  <si>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</si>
  <si>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</si>
  <si>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</si>
  <si>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</si>
  <si>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</si>
  <si>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</si>
  <si>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</si>
  <si>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</si>
  <si>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</si>
  <si>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</si>
  <si>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</si>
  <si>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</si>
  <si>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</si>
  <si>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</si>
  <si>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</si>
  <si>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</si>
  <si>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</si>
  <si>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</si>
  <si>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</si>
  <si>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</si>
  <si>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</si>
  <si>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</si>
  <si>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</si>
  <si>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</si>
  <si>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</si>
  <si>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</si>
  <si>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</si>
  <si>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</si>
  <si>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</si>
  <si>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</si>
  <si>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</si>
  <si>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</si>
  <si>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</si>
  <si>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</si>
  <si>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</si>
  <si>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</si>
  <si>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</si>
  <si>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</si>
  <si>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</si>
  <si>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</si>
  <si>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</si>
  <si>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</si>
  <si>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</si>
  <si>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</si>
  <si>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</si>
  <si>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</si>
  <si>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</si>
  <si>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</si>
  <si>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</si>
  <si>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</si>
  <si>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</si>
  <si>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</si>
  <si>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</si>
  <si>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</si>
  <si>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</si>
  <si>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</si>
  <si>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</si>
  <si>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</si>
  <si>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</si>
  <si>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</si>
  <si>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</si>
  <si>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</si>
  <si>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</si>
  <si>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</si>
  <si>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</si>
  <si>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</si>
  <si>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</si>
  <si>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</si>
  <si>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</si>
  <si>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</si>
  <si>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</si>
  <si>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</si>
  <si>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</si>
  <si>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</si>
  <si>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</si>
  <si>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</si>
  <si>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</si>
  <si>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</si>
  <si>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</si>
  <si>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</si>
  <si>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</si>
  <si>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</si>
  <si>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</si>
  <si>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</si>
  <si>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</si>
  <si>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</si>
  <si>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</si>
  <si>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</si>
  <si>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</si>
  <si>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</si>
  <si>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</si>
  <si>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</si>
  <si>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</si>
  <si>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</si>
  <si>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</si>
  <si>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</si>
  <si>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</si>
  <si>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</si>
  <si>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</si>
  <si>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</si>
  <si>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</si>
  <si>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</si>
  <si>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</si>
  <si>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</si>
  <si>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</si>
  <si>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</si>
  <si>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</si>
  <si>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</si>
  <si>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</si>
  <si>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</si>
  <si>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</si>
  <si>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</si>
  <si>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</si>
  <si>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</si>
  <si>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</si>
  <si>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</si>
  <si>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</si>
  <si>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</si>
  <si>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</si>
  <si>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</si>
  <si>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</si>
  <si>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</si>
  <si>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</si>
  <si>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</si>
  <si>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</si>
  <si>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</si>
  <si>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</si>
  <si>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</si>
  <si>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</si>
  <si>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</si>
  <si>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</si>
  <si>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</si>
  <si>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</si>
  <si>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</si>
  <si>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</si>
  <si>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</si>
  <si>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</si>
  <si>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</si>
  <si>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</si>
  <si>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</si>
  <si>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</si>
  <si>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</si>
  <si>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</si>
  <si>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</si>
  <si>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</si>
  <si>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</si>
  <si>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</si>
  <si>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</si>
  <si>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</si>
  <si>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</si>
  <si>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</si>
  <si>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</si>
  <si>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</si>
  <si>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</si>
  <si>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</si>
  <si>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</si>
  <si>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</si>
  <si>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</si>
  <si>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</si>
  <si>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</si>
  <si>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</si>
  <si>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</si>
  <si>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</si>
  <si>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</si>
  <si>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</si>
  <si>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</si>
  <si>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</si>
  <si>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</si>
  <si>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</si>
  <si>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</si>
  <si>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</si>
  <si>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</si>
  <si>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</si>
  <si>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</si>
  <si>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</si>
  <si>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</si>
  <si>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</si>
  <si>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</si>
  <si>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</si>
  <si>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</si>
  <si>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</si>
  <si>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</si>
  <si>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</si>
  <si>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</si>
  <si>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</si>
  <si>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</si>
  <si>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</si>
  <si>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</si>
  <si>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</si>
  <si>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</si>
  <si>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</si>
  <si>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</si>
  <si>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</si>
  <si>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</si>
  <si>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</si>
  <si>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</si>
  <si>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</si>
  <si>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</si>
  <si>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</si>
  <si>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</si>
  <si>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</si>
  <si>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</si>
  <si>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</si>
  <si>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</si>
  <si>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</si>
  <si>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</si>
  <si>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</si>
  <si>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</si>
  <si>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</si>
  <si>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</si>
  <si>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</si>
  <si>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</si>
  <si>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</si>
  <si>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</si>
  <si>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</si>
  <si>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</si>
  <si>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</si>
  <si>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</si>
  <si>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</si>
  <si>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</si>
  <si>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</si>
  <si>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</si>
  <si>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</si>
  <si>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</si>
  <si>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</si>
  <si>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</si>
  <si>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</si>
  <si>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</si>
  <si>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</si>
  <si>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</si>
  <si>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</si>
  <si>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</si>
  <si>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</si>
  <si>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</si>
  <si>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</si>
  <si>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</si>
  <si>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</si>
  <si>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</si>
  <si>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</si>
  <si>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</si>
  <si>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</si>
  <si>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</si>
  <si>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</si>
  <si>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</si>
  <si>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</si>
  <si>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</si>
  <si>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</si>
  <si>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</si>
  <si>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</si>
  <si>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</si>
  <si>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</si>
  <si>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</si>
  <si>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</si>
  <si>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</si>
  <si>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</si>
  <si>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</si>
  <si>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</si>
  <si>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</si>
  <si>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</si>
  <si>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</si>
  <si>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</si>
  <si>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</si>
  <si>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</si>
  <si>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</si>
  <si>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</si>
  <si>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</si>
  <si>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</si>
  <si>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</si>
  <si>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</si>
  <si>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</si>
  <si>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</si>
  <si>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</si>
  <si>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</si>
  <si>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</si>
  <si>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</si>
  <si>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</si>
  <si>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</si>
  <si>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</si>
  <si>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</si>
  <si>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</si>
  <si>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</si>
  <si>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</si>
  <si>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</si>
  <si>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</si>
  <si>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</si>
  <si>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</si>
  <si>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</si>
  <si>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</si>
  <si>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</si>
  <si>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</si>
  <si>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</si>
  <si>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</si>
  <si>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</si>
  <si>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</si>
  <si>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</si>
  <si>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</si>
  <si>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</si>
  <si>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</si>
  <si>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</si>
  <si>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</si>
  <si>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</si>
  <si>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</si>
  <si>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</si>
  <si>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</si>
  <si>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</si>
  <si>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</si>
  <si>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</si>
  <si>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</si>
  <si>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</si>
  <si>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</si>
  <si>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</si>
  <si>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</si>
  <si>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</si>
  <si>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</si>
  <si>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</si>
  <si>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</si>
  <si>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</si>
  <si>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</si>
  <si>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</si>
  <si>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</si>
  <si>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</si>
  <si>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</si>
  <si>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</si>
  <si>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</si>
  <si>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</si>
  <si>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</si>
  <si>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</si>
  <si>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</si>
  <si>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</si>
  <si>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</si>
  <si>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</si>
  <si>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</si>
  <si>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</si>
  <si>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</si>
  <si>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</si>
  <si>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</si>
  <si>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</si>
  <si>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</si>
  <si>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</si>
  <si>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</si>
  <si>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</si>
  <si>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</si>
  <si>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</si>
  <si>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</si>
  <si>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</si>
  <si>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</si>
  <si>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</si>
  <si>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</si>
  <si>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</si>
  <si>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</si>
  <si>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</si>
  <si>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</si>
  <si>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</si>
  <si>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</si>
  <si>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</si>
  <si>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</si>
  <si>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</si>
  <si>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</si>
  <si>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</si>
  <si>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</si>
  <si>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</si>
  <si>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</si>
  <si>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</si>
  <si>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</si>
  <si>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</si>
  <si>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</si>
  <si>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</si>
  <si>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</si>
  <si>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</si>
  <si>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</si>
  <si>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</si>
  <si>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</si>
  <si>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</si>
  <si>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</si>
  <si>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</si>
  <si>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</si>
  <si>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</si>
  <si>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</si>
  <si>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</si>
  <si>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</si>
  <si>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</si>
  <si>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</si>
  <si>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</si>
  <si>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</si>
  <si>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</si>
  <si>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</si>
  <si>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</si>
  <si>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</si>
  <si>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</si>
  <si>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</si>
  <si>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</si>
  <si>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</si>
  <si>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</si>
  <si>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</si>
  <si>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</si>
  <si>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</si>
  <si>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</si>
  <si>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</si>
  <si>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</si>
  <si>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</si>
  <si>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</si>
  <si>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</si>
  <si>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</si>
  <si>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</si>
  <si>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</si>
  <si>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</si>
  <si>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</si>
  <si>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</si>
  <si>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</si>
  <si>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</si>
  <si>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</si>
  <si>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</si>
  <si>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</si>
  <si>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</si>
  <si>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</si>
  <si>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</si>
  <si>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</si>
  <si>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</si>
  <si>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</si>
  <si>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</si>
  <si>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</si>
  <si>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</si>
  <si>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</si>
  <si>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</si>
  <si>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</si>
  <si>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</si>
  <si>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</si>
  <si>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</si>
  <si>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</si>
  <si>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</si>
  <si>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</si>
  <si>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</si>
  <si>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</si>
  <si>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</si>
  <si>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</si>
  <si>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</si>
  <si>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</si>
  <si>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</si>
  <si>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</si>
  <si>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</si>
  <si>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</si>
  <si>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</si>
  <si>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</si>
  <si>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</si>
  <si>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</si>
  <si>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</si>
  <si>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</si>
  <si>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</si>
  <si>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</si>
  <si>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</si>
  <si>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</si>
  <si>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</si>
  <si>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</si>
  <si>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</si>
  <si>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</si>
  <si>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</si>
  <si>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</si>
  <si>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</si>
  <si>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</si>
  <si>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</si>
  <si>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</si>
  <si>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</si>
  <si>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</si>
  <si>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</si>
  <si>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</si>
  <si>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</si>
  <si>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</si>
  <si>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</si>
  <si>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</si>
  <si>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</si>
  <si>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</si>
  <si>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</si>
  <si>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</si>
  <si>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</si>
  <si>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</si>
  <si>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</si>
  <si>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</si>
  <si>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</si>
  <si>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</si>
  <si>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</si>
  <si>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</si>
  <si>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</si>
  <si>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</si>
  <si>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</si>
  <si>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</si>
  <si>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</si>
  <si>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</si>
  <si>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</si>
  <si>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</si>
  <si>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</si>
  <si>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</si>
  <si>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</si>
  <si>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</si>
  <si>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</si>
  <si>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</si>
  <si>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</si>
  <si>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</si>
  <si>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</si>
  <si>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</si>
  <si>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</si>
  <si>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</si>
  <si>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</si>
  <si>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</si>
  <si>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</si>
  <si>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</si>
  <si>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</si>
  <si>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</si>
  <si>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</si>
  <si>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</si>
  <si>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</si>
  <si>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</si>
  <si>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</si>
  <si>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</si>
  <si>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</si>
  <si>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</si>
  <si>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</si>
  <si>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</si>
  <si>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</si>
  <si>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</si>
  <si>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</si>
  <si>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</si>
  <si>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</si>
  <si>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</si>
  <si>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</si>
  <si>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</si>
  <si>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</si>
  <si>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</si>
  <si>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</si>
  <si>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</si>
  <si>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</si>
  <si>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</si>
  <si>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</si>
  <si>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</si>
  <si>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</si>
  <si>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</si>
  <si>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</si>
  <si>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</si>
  <si>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</si>
  <si>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</si>
  <si>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</si>
  <si>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</si>
  <si>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</si>
  <si>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</si>
  <si>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</si>
  <si>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</si>
  <si>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</si>
  <si>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</si>
  <si>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</si>
  <si>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</si>
  <si>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</si>
  <si>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</si>
  <si>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</si>
  <si>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</si>
  <si>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</si>
  <si>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</si>
  <si>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</si>
  <si>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</si>
  <si>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</si>
  <si>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</si>
  <si>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</si>
  <si>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</si>
  <si>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</si>
  <si>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</si>
  <si>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</si>
  <si>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</si>
  <si>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</si>
  <si>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</si>
  <si>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</si>
  <si>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</si>
  <si>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</si>
  <si>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</si>
  <si>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</si>
  <si>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</si>
  <si>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</si>
  <si>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</si>
  <si>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</si>
  <si>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</si>
  <si>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</si>
  <si>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</si>
  <si>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</si>
  <si>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</si>
  <si>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</si>
  <si>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</si>
  <si>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</si>
  <si>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</si>
  <si>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</si>
  <si>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</si>
  <si>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</si>
  <si>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</si>
  <si>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</si>
  <si>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</si>
  <si>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</si>
  <si>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</si>
  <si>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</si>
  <si>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</si>
  <si>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</si>
  <si>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</si>
  <si>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</si>
  <si>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</si>
  <si>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</si>
  <si>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</si>
  <si>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</si>
  <si>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</si>
  <si>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</si>
  <si>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</si>
  <si>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</si>
  <si>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</si>
  <si>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</si>
  <si>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</si>
  <si>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</si>
  <si>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</si>
  <si>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</si>
  <si>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</si>
  <si>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</si>
  <si>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</si>
  <si>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</si>
  <si>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</si>
  <si>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</si>
  <si>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</si>
  <si>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</si>
  <si>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</si>
  <si>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</si>
  <si>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</si>
  <si>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</si>
  <si>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</si>
  <si>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</si>
  <si>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</si>
  <si>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</si>
  <si>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</si>
  <si>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</si>
  <si>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</si>
  <si>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</si>
  <si>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</si>
  <si>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</si>
  <si>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</si>
  <si>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</si>
  <si>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</si>
  <si>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</si>
  <si>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</si>
  <si>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</si>
  <si>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</si>
  <si>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</si>
  <si>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</si>
  <si>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</si>
  <si>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</si>
  <si>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</si>
  <si>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</si>
  <si>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</si>
  <si>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</si>
  <si>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</si>
  <si>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</si>
  <si>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</si>
  <si>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</si>
  <si>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</si>
  <si>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</si>
  <si>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</si>
  <si>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</si>
  <si>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</si>
  <si>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</si>
  <si>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</si>
  <si>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</si>
  <si>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</si>
  <si>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</si>
  <si>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</si>
  <si>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</si>
  <si>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</si>
  <si>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</si>
  <si>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</si>
  <si>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</si>
  <si>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</si>
  <si>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</si>
  <si>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</si>
  <si>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</si>
  <si>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</si>
  <si>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</si>
  <si>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</si>
  <si>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</si>
  <si>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</si>
  <si>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</si>
  <si>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</si>
  <si>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</si>
  <si>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</si>
  <si>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</si>
  <si>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</si>
  <si>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</si>
  <si>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</si>
  <si>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</si>
  <si>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</si>
  <si>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</si>
  <si>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</si>
  <si>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</si>
  <si>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</si>
  <si>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</si>
  <si>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</si>
  <si>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</si>
  <si>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</si>
  <si>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</si>
  <si>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</si>
  <si>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</si>
  <si>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</si>
  <si>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</si>
  <si>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</si>
  <si>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</si>
  <si>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</si>
  <si>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</si>
  <si>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</si>
  <si>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</si>
  <si>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</si>
  <si>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</si>
  <si>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</si>
  <si>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</si>
  <si>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</si>
  <si>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</si>
  <si>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</si>
  <si>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</si>
  <si>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</si>
  <si>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</si>
  <si>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</si>
  <si>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</si>
  <si>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</si>
  <si>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</si>
  <si>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</si>
  <si>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</si>
  <si>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</si>
  <si>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</si>
  <si>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</si>
  <si>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</si>
  <si>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</si>
  <si>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</si>
  <si>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</si>
  <si>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</si>
  <si>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</si>
  <si>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</si>
  <si>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</si>
  <si>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</si>
  <si>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</si>
  <si>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</si>
  <si>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</si>
  <si>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</si>
  <si>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</si>
  <si>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</si>
  <si>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</si>
  <si>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</si>
  <si>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</si>
  <si>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</si>
  <si>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</si>
  <si>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</si>
  <si>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</si>
  <si>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</si>
  <si>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</si>
  <si>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</si>
  <si>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</si>
  <si>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</si>
  <si>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</si>
  <si>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</si>
  <si>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</si>
  <si>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</si>
  <si>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</si>
  <si>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</si>
  <si>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</si>
  <si>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</si>
  <si>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</si>
  <si>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</si>
  <si>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</si>
  <si>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</si>
  <si>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</si>
  <si>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</si>
  <si>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</si>
  <si>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</si>
  <si>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</si>
  <si>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</si>
  <si>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</si>
  <si>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</si>
  <si>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</si>
  <si>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</si>
  <si>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</si>
  <si>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</si>
  <si>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</si>
  <si>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</si>
  <si>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</si>
  <si>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</si>
  <si>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</si>
  <si>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</si>
  <si>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</si>
  <si>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</si>
  <si>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</si>
  <si>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</si>
  <si>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</si>
  <si>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</si>
  <si>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</si>
  <si>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</si>
  <si>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</si>
  <si>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</si>
  <si>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</si>
  <si>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</si>
  <si>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</si>
  <si>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</si>
  <si>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</si>
  <si>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</si>
  <si>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</si>
  <si>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</si>
  <si>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</si>
  <si>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</si>
  <si>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</si>
  <si>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</si>
  <si>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</si>
  <si>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</si>
  <si>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</si>
  <si>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</si>
  <si>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</si>
  <si>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</si>
  <si>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</si>
  <si>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</si>
  <si>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</si>
  <si>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</si>
  <si>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</si>
  <si>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</si>
  <si>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</si>
  <si>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</si>
  <si>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</si>
  <si>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</si>
  <si>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</si>
  <si>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</si>
  <si>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</si>
  <si>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</si>
  <si>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</si>
  <si>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</si>
  <si>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</si>
  <si>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</si>
  <si>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</si>
  <si>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</si>
  <si>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</si>
  <si>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</si>
  <si>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</si>
  <si>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</si>
  <si>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</si>
  <si>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</si>
  <si>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</si>
  <si>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</si>
  <si>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</si>
  <si>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</si>
  <si>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</si>
  <si>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</si>
  <si>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</si>
  <si>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</si>
  <si>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</si>
  <si>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</si>
  <si>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</si>
  <si>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</si>
  <si>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</si>
  <si>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</si>
  <si>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</si>
  <si>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</si>
  <si>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</si>
  <si>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</si>
  <si>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</si>
  <si>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</si>
  <si>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</si>
  <si>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</si>
  <si>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</si>
  <si>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</si>
  <si>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</si>
  <si>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</si>
  <si>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</si>
  <si>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</si>
  <si>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</si>
  <si>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</si>
  <si>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</si>
  <si>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</si>
  <si>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</si>
  <si>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</si>
  <si>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</si>
  <si>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</si>
  <si>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</si>
  <si>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</si>
  <si>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</si>
  <si>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</si>
  <si>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</si>
  <si>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</si>
  <si>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</si>
  <si>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</si>
  <si>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</si>
  <si>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</si>
  <si>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</si>
  <si>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</si>
  <si>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</si>
  <si>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</si>
  <si>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</si>
  <si>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</si>
  <si>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</si>
  <si>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</si>
  <si>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</si>
  <si>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</si>
  <si>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</si>
  <si>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</si>
  <si>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</si>
  <si>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</si>
  <si>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</si>
  <si>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</si>
  <si>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</si>
  <si>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</si>
  <si>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</si>
  <si>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</si>
  <si>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</si>
  <si>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</si>
  <si>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</si>
  <si>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</si>
  <si>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</si>
  <si>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</si>
  <si>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</si>
  <si>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</si>
  <si>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</si>
  <si>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</si>
  <si>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</si>
  <si>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</si>
  <si>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</si>
  <si>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</si>
  <si>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</si>
  <si>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</si>
  <si>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</si>
  <si>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</si>
  <si>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</si>
  <si>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</si>
  <si>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</si>
  <si>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</si>
  <si>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</si>
  <si>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</si>
  <si>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</si>
  <si>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</si>
  <si>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</si>
  <si>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</si>
  <si>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</si>
  <si>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</si>
  <si>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</si>
  <si>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</si>
  <si>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</si>
  <si>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</si>
  <si>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</si>
  <si>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</si>
  <si>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</si>
  <si>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</si>
  <si>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</si>
  <si>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</si>
  <si>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</si>
  <si>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</si>
  <si>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</si>
  <si>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</si>
  <si>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</si>
  <si>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</si>
  <si>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</si>
  <si>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</si>
  <si>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</si>
  <si>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</si>
  <si>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</si>
  <si>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</si>
  <si>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</si>
  <si>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</si>
  <si>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</si>
  <si>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</si>
  <si>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</si>
  <si>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</si>
  <si>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</si>
  <si>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</si>
  <si>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</si>
  <si>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</si>
  <si>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</si>
  <si>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</si>
  <si>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</si>
  <si>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</si>
  <si>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</si>
  <si>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</si>
  <si>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</si>
  <si>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</si>
  <si>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</si>
  <si>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</si>
  <si>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</si>
  <si>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</si>
  <si>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</si>
  <si>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</si>
  <si>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</si>
  <si>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</si>
  <si>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</si>
  <si>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</si>
  <si>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</si>
  <si>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</si>
  <si>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</si>
  <si>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</si>
  <si>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</si>
  <si>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</si>
  <si>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</si>
  <si>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</si>
  <si>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</si>
  <si>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</si>
  <si>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</si>
  <si>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</si>
  <si>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</si>
  <si>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</si>
  <si>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</si>
  <si>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</si>
  <si>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</si>
  <si>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</si>
  <si>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</si>
  <si>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</si>
  <si>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</si>
  <si>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</si>
  <si>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</si>
  <si>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</si>
  <si>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</si>
  <si>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</si>
  <si>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</si>
  <si>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</si>
  <si>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</si>
  <si>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</si>
  <si>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</si>
  <si>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</si>
  <si>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</si>
  <si>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</si>
  <si>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</si>
  <si>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</si>
  <si>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</si>
  <si>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</si>
  <si>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</si>
  <si>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</si>
  <si>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</si>
  <si>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</si>
  <si>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</si>
  <si>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</si>
  <si>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</si>
  <si>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</si>
  <si>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</si>
  <si>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</si>
  <si>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</si>
  <si>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</si>
  <si>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</si>
  <si>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</si>
  <si>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</si>
  <si>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</si>
  <si>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</si>
  <si>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</si>
  <si>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</si>
  <si>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</si>
  <si>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</si>
  <si>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</si>
  <si>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</si>
  <si>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</si>
  <si>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</si>
  <si>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</si>
  <si>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</si>
  <si>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</si>
  <si>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</si>
  <si>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</si>
  <si>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</si>
  <si>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</si>
  <si>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</si>
  <si>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</si>
  <si>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</si>
  <si>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</si>
  <si>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</si>
  <si>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</si>
  <si>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</si>
  <si>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</si>
  <si>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</si>
  <si>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</si>
  <si>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</si>
  <si>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</si>
  <si>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</si>
  <si>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</si>
  <si>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</si>
  <si>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</si>
  <si>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</si>
  <si>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</si>
  <si>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</si>
  <si>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</si>
  <si>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</si>
  <si>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</si>
  <si>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</si>
  <si>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</si>
  <si>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</si>
  <si>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</si>
  <si>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</si>
  <si>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</si>
  <si>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</si>
  <si>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</si>
  <si>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</si>
  <si>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</si>
  <si>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</si>
  <si>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</si>
  <si>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</si>
  <si>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</si>
  <si>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</si>
  <si>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</si>
  <si>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</si>
  <si>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</si>
  <si>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</si>
  <si>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</si>
  <si>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</si>
  <si>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</si>
  <si>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</si>
  <si>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</si>
  <si>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</si>
  <si>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</si>
  <si>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</si>
  <si>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</si>
  <si>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</si>
  <si>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</si>
  <si>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</si>
  <si>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</si>
  <si>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</si>
  <si>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</si>
  <si>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</si>
  <si>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</si>
  <si>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</si>
  <si>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</si>
  <si>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</si>
  <si>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</si>
  <si>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</si>
  <si>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</si>
  <si>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285 East Grand Avenue</t>
  </si>
  <si>
    <t>Fox Lake</t>
  </si>
  <si>
    <t>Dr. Christine Sefcik</t>
  </si>
  <si>
    <t>847-587-2561</t>
  </si>
  <si>
    <t>847-587-2991</t>
  </si>
  <si>
    <t>EVOY, KAMSCHULTE, JACOBS &amp; CO. LLP</t>
  </si>
  <si>
    <t>John D. Aceto, Jr., CPA</t>
  </si>
  <si>
    <t>2122 Yeoman Street</t>
  </si>
  <si>
    <t>Waukegan</t>
  </si>
  <si>
    <t>IL</t>
  </si>
  <si>
    <t>847-662-8305</t>
  </si>
  <si>
    <t>847-662-8300</t>
  </si>
  <si>
    <t>066-003289</t>
  </si>
  <si>
    <t>jaceto@ekjllp.com</t>
  </si>
  <si>
    <t>Evoy, Kamschulte, Jacobs &amp; Co. LLP</t>
  </si>
  <si>
    <t>Prior Balance Carryover</t>
  </si>
  <si>
    <t>2008 General Obligation School Bonds</t>
  </si>
  <si>
    <t>CLIC, LRSBC</t>
  </si>
  <si>
    <t>SEDOL</t>
  </si>
  <si>
    <t>US DEPARTMENT OF AGRICULTURE</t>
  </si>
  <si>
    <t>Child Nutrition Cluster</t>
  </si>
  <si>
    <t>Passed Through Illinois State Board of Education</t>
  </si>
  <si>
    <t>(M) National School Lunch Program</t>
  </si>
  <si>
    <t>(M) School Breakfast Program</t>
  </si>
  <si>
    <t>(M) NSLP: Peferred Meal System</t>
  </si>
  <si>
    <t>(M) DoD Fruits &amp; Vegetables</t>
  </si>
  <si>
    <t>Total Child Nutrition Cluster</t>
  </si>
  <si>
    <t>TOTAL US DEPARTMENT OF AGRICULTURE</t>
  </si>
  <si>
    <t>US DEPARTMENT OF EDUCATION</t>
  </si>
  <si>
    <t>Passes Through Illinois State Board of Education</t>
  </si>
  <si>
    <t xml:space="preserve"> (M) Title I - Low Income</t>
  </si>
  <si>
    <t>(M) Title I - Low Income</t>
  </si>
  <si>
    <t>84.010A</t>
  </si>
  <si>
    <t>4210-2017</t>
  </si>
  <si>
    <t>4210-2018</t>
  </si>
  <si>
    <t>4220-2017</t>
  </si>
  <si>
    <t>4220-2018</t>
  </si>
  <si>
    <t>4300-2017</t>
  </si>
  <si>
    <t>4300-2018</t>
  </si>
  <si>
    <t>N/A</t>
  </si>
  <si>
    <t>US DEPARTMENT OF EDUCATION - (Continued)</t>
  </si>
  <si>
    <t xml:space="preserve">      Title II - Teacher Quality</t>
  </si>
  <si>
    <t>84.367A</t>
  </si>
  <si>
    <t>4932-2017</t>
  </si>
  <si>
    <t>4932-2018</t>
  </si>
  <si>
    <t xml:space="preserve">      Title IVA - Student Support &amp; Academic Enrich</t>
  </si>
  <si>
    <t>84.424A</t>
  </si>
  <si>
    <t>4400-2018</t>
  </si>
  <si>
    <t>Special Education Cluster (IDEA)</t>
  </si>
  <si>
    <t xml:space="preserve">      IDEA Room &amp; Board</t>
  </si>
  <si>
    <t xml:space="preserve">      IDEA, Part B - Flow-Through</t>
  </si>
  <si>
    <t>Total Special Education Cluster (IDEA)</t>
  </si>
  <si>
    <t>84.027A</t>
  </si>
  <si>
    <t>4625-2017</t>
  </si>
  <si>
    <t>4625-2018</t>
  </si>
  <si>
    <t>4620-2017</t>
  </si>
  <si>
    <t>4620-2018</t>
  </si>
  <si>
    <t>Total Passed Through ISBE</t>
  </si>
  <si>
    <t>Passed Through LCAVS</t>
  </si>
  <si>
    <t xml:space="preserve">      CTE - Perkins Secondary Program</t>
  </si>
  <si>
    <t>TOTAL US DEPARTMENT OF EDUCATION</t>
  </si>
  <si>
    <t>Total Passed Through LCAVS</t>
  </si>
  <si>
    <t>84.365A</t>
  </si>
  <si>
    <t>4770-2018</t>
  </si>
  <si>
    <t>US DEPARTMENT OF HEALTH &amp; HUMAN SERVICES</t>
  </si>
  <si>
    <t>Passed Through Illinois Dept. of Healthcare &amp; Family Services</t>
  </si>
  <si>
    <t xml:space="preserve">      Medicaid Matching Funds - Admin Outreach</t>
  </si>
  <si>
    <t>TOTAL US DEPART. OF HEALTH &amp; HUMAN SERVICES</t>
  </si>
  <si>
    <t>4991-2017</t>
  </si>
  <si>
    <t>4991-2018</t>
  </si>
  <si>
    <t>TOTAL FEDERAL FINANCIAL ASSISTANCE</t>
  </si>
  <si>
    <t>Value of Federal Awards Expended in the Form of Non-Cash Assistance during the year</t>
  </si>
  <si>
    <t>4290-2018</t>
  </si>
  <si>
    <t>Federal Insurance in effect During the Year</t>
  </si>
  <si>
    <t>Federal Loans or Loan Guarantees, Including Interest Subsidies Outstanding at Year End</t>
  </si>
  <si>
    <t>Amount Provided to Subrecipients- There were no amounts provided to subrecipients</t>
  </si>
  <si>
    <r>
      <t>The accompanying Schedule of Expenditures of Federal Awards includes the federal grant activity of Grant Com High School District No. 124 and is presented on the Modified Cash</t>
    </r>
    <r>
      <rPr>
        <b/>
        <sz val="9"/>
        <rFont val="Calibri"/>
        <family val="2"/>
        <scheme val="minor"/>
      </rPr>
      <t xml:space="preserve">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t>
    </r>
    <r>
      <rPr>
        <b/>
        <sz val="9"/>
        <rFont val="Calibri"/>
        <family val="2"/>
        <scheme val="minor"/>
      </rPr>
      <t xml:space="preserve"> Basic</t>
    </r>
    <r>
      <rPr>
        <sz val="9"/>
        <rFont val="Calibri"/>
        <family val="2"/>
        <scheme val="minor"/>
      </rPr>
      <t xml:space="preserve"> financial statements.</t>
    </r>
  </si>
  <si>
    <t>Of the federal expenditures presented in the schedule, Grant Com H S Dist No. 124 provided federal awards to subrecipients as follows:</t>
  </si>
  <si>
    <t>NONE</t>
  </si>
  <si>
    <t>Unmodified</t>
  </si>
  <si>
    <t>Commodities</t>
  </si>
  <si>
    <t>Education Fund</t>
  </si>
  <si>
    <t>Page 11, Line 107, Other Local Revenue - P-Card Commission $1,579.</t>
  </si>
  <si>
    <t>Page 12, Line 171, Other Restricted Revenue from State Sources - Library Grant $2,569; Miscellaneous Revenue $172.</t>
  </si>
  <si>
    <t>Line 11, Line 107, Other Local Revenue - Energy Rebate - $19,718</t>
  </si>
  <si>
    <t>Bond &amp; Interest Fund</t>
  </si>
  <si>
    <t>Page 18, Line 164, Debt Service Other, Bond Fees - $1,500</t>
  </si>
  <si>
    <t>IMRF Fund</t>
  </si>
  <si>
    <t>Page 9, Line 11, Other Tax Levies, SEDOL IMRF - $58,061</t>
  </si>
  <si>
    <t>ED-Instruction - Other</t>
  </si>
  <si>
    <t>10-1000-300</t>
  </si>
  <si>
    <t>Athletico Management LLC</t>
  </si>
  <si>
    <t>OM-Operations &amp; Maintenance</t>
  </si>
  <si>
    <t>20-2540-300</t>
  </si>
  <si>
    <t>Breezy Hill Nursery</t>
  </si>
  <si>
    <t>Camelot Education</t>
  </si>
  <si>
    <t>ED-Food Service</t>
  </si>
  <si>
    <t>10-2560-400</t>
  </si>
  <si>
    <t>Dominos Pizza</t>
  </si>
  <si>
    <t>TR-Pupil Transportation</t>
  </si>
  <si>
    <t>40-2550-300</t>
  </si>
  <si>
    <t>Chain O'Lakes Transportation</t>
  </si>
  <si>
    <t>Comcast</t>
  </si>
  <si>
    <t>Connections Academy East</t>
  </si>
  <si>
    <t>Connections Day School</t>
  </si>
  <si>
    <t>Durham School Services</t>
  </si>
  <si>
    <t>Giant Steps</t>
  </si>
  <si>
    <t>Marklund Day School</t>
  </si>
  <si>
    <t>New Connections Academy</t>
  </si>
  <si>
    <t>New Hope Academy</t>
  </si>
  <si>
    <t>Northwest Suburgan Special Ed Org</t>
  </si>
  <si>
    <t>One Hope United Care Program</t>
  </si>
  <si>
    <t>Per Mar Security Services</t>
  </si>
  <si>
    <t>Performance Food Service</t>
  </si>
  <si>
    <t>Sequel</t>
  </si>
  <si>
    <t>Simplex Grinnell Lp</t>
  </si>
  <si>
    <t>Top Line Transportation</t>
  </si>
  <si>
    <t>Grant CHSD 124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</si>
</sst>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73" fillId="0" borderId="0" xfId="0" applyFont="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2069523</xdr:colOff>
          <xdr:row>5</xdr:row>
          <xdr:rowOff>77931</xdr:rowOff>
        </xdr:from>
        <xdr:to>
          <xdr:col>1</xdr:col>
          <xdr:colOff>2924175</xdr:colOff>
          <xdr:row>8</xdr:row>
          <xdr:rowOff>106506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2075</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2075</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34049124016</v>
      </c>
      <c r="B13" s="2037"/>
      <c r="C13" s="2037"/>
      <c r="D13" s="2037"/>
      <c r="E13" s="2037"/>
      <c r="F13" s="2037"/>
      <c r="G13" s="2037"/>
      <c r="H13" s="2038"/>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2076</v>
      </c>
      <c r="B15" s="2039"/>
      <c r="C15" s="2039"/>
      <c r="D15" s="2039"/>
      <c r="E15" s="2039"/>
      <c r="F15" s="2039"/>
      <c r="G15" s="2039"/>
      <c r="H15" s="2040"/>
      <c r="T15" s="2045" t="s">
        <v>2083</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2194</v>
      </c>
      <c r="B17" s="1996"/>
      <c r="C17" s="1996"/>
      <c r="D17" s="1996"/>
      <c r="E17" s="1996"/>
      <c r="F17" s="1996"/>
      <c r="G17" s="1996"/>
      <c r="H17" s="2021"/>
      <c r="T17" s="2052" t="s">
        <v>2084</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2077</v>
      </c>
      <c r="B19" s="1981"/>
      <c r="C19" s="1981"/>
      <c r="D19" s="1981"/>
      <c r="E19" s="1981"/>
      <c r="F19" s="1981"/>
      <c r="G19" s="1981"/>
      <c r="H19" s="1961"/>
      <c r="I19" s="30"/>
      <c r="J19" s="99"/>
      <c r="K19" s="40"/>
      <c r="L19" s="38"/>
      <c r="M19" s="112" t="s">
        <v>333</v>
      </c>
      <c r="P19" s="27"/>
      <c r="Q19" s="27"/>
      <c r="R19" s="27"/>
      <c r="S19" s="31"/>
      <c r="T19" s="2035" t="s">
        <v>2085</v>
      </c>
      <c r="U19" s="1960"/>
      <c r="V19" s="1960"/>
      <c r="W19" s="1961"/>
      <c r="X19" s="2050" t="s">
        <v>2086</v>
      </c>
      <c r="Y19" s="2051"/>
      <c r="Z19" s="2048">
        <v>60087</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2078</v>
      </c>
      <c r="B21" s="1960"/>
      <c r="C21" s="1960"/>
      <c r="D21" s="1960"/>
      <c r="E21" s="1960"/>
      <c r="F21" s="1960"/>
      <c r="G21" s="1960"/>
      <c r="H21" s="1961"/>
      <c r="I21" s="2015" t="s">
        <v>699</v>
      </c>
      <c r="J21" s="2010"/>
      <c r="K21" s="2010"/>
      <c r="L21" s="2010"/>
      <c r="M21" s="2010"/>
      <c r="N21" s="2010"/>
      <c r="O21" s="2010"/>
      <c r="P21" s="2010"/>
      <c r="Q21" s="2010"/>
      <c r="R21" s="2010"/>
      <c r="S21" s="2016"/>
      <c r="T21" s="2059" t="s">
        <v>2088</v>
      </c>
      <c r="U21" s="2060"/>
      <c r="V21" s="2060"/>
      <c r="W21" s="2060"/>
      <c r="X21" s="2065" t="s">
        <v>2087</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2089</v>
      </c>
      <c r="U23" s="2058"/>
      <c r="V23" s="2058"/>
      <c r="W23" s="2058"/>
      <c r="X23" s="2062">
        <v>43434</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60020</v>
      </c>
      <c r="B25" s="1960"/>
      <c r="C25" s="1960"/>
      <c r="D25" s="1960"/>
      <c r="E25" s="1960"/>
      <c r="F25" s="1960"/>
      <c r="G25" s="1960"/>
      <c r="H25" s="1961"/>
      <c r="I25" s="113"/>
      <c r="J25" s="1984"/>
      <c r="K25" s="1984"/>
      <c r="L25" s="1984"/>
      <c r="M25" s="1984"/>
      <c r="N25" s="1984"/>
      <c r="O25" s="1984"/>
      <c r="P25" s="1984"/>
      <c r="Q25" s="1984"/>
      <c r="R25" s="1984"/>
      <c r="S25" s="1985"/>
      <c r="T25" s="2055" t="s">
        <v>2090</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2075</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2075</v>
      </c>
      <c r="C30" s="124" t="s">
        <v>1226</v>
      </c>
      <c r="D30" s="28"/>
      <c r="E30" s="28"/>
      <c r="F30" s="140"/>
      <c r="G30" s="114"/>
      <c r="H30" s="114"/>
      <c r="I30" s="54"/>
      <c r="J30" s="148" t="s">
        <v>2075</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2075</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2079</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2080</v>
      </c>
      <c r="B42" s="1979"/>
      <c r="C42" s="1980"/>
      <c r="D42" s="1978" t="s">
        <v>2081</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5" sqref="E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1903</v>
      </c>
      <c r="B2" s="1550" t="s">
        <v>2035</v>
      </c>
      <c r="C2" s="715" t="s">
        <v>1908</v>
      </c>
      <c r="D2" s="715" t="s">
        <v>1909</v>
      </c>
      <c r="E2" s="715" t="s">
        <v>1910</v>
      </c>
      <c r="F2" s="715" t="s">
        <v>1911</v>
      </c>
    </row>
    <row r="3" spans="1:6" ht="12" customHeight="1" x14ac:dyDescent="0.2">
      <c r="A3" s="2202"/>
      <c r="B3" s="1547"/>
      <c r="C3" s="1548"/>
      <c r="D3" s="1549" t="s">
        <v>274</v>
      </c>
      <c r="E3" s="1548"/>
      <c r="F3" s="1549" t="s">
        <v>275</v>
      </c>
    </row>
    <row r="4" spans="1:6" ht="13.7" customHeight="1" x14ac:dyDescent="0.2">
      <c r="A4" s="716" t="s">
        <v>1217</v>
      </c>
      <c r="B4" s="1771">
        <f>'Revenues 9-14'!C5</f>
        <v>14995602</v>
      </c>
      <c r="C4" s="1546">
        <v>7785905</v>
      </c>
      <c r="D4" s="1774">
        <f>B4-C4</f>
        <v>7209697</v>
      </c>
      <c r="E4" s="1546">
        <v>15120925</v>
      </c>
      <c r="F4" s="1774">
        <f>E4-C4</f>
        <v>7335020</v>
      </c>
    </row>
    <row r="5" spans="1:6" ht="13.7" customHeight="1" x14ac:dyDescent="0.2">
      <c r="A5" s="716" t="s">
        <v>925</v>
      </c>
      <c r="B5" s="1772">
        <f>'Revenues 9-14'!D5</f>
        <v>4065775</v>
      </c>
      <c r="C5" s="585">
        <v>2111087</v>
      </c>
      <c r="D5" s="1775">
        <f t="shared" ref="D5:D18" si="0">B5-C5</f>
        <v>1954688</v>
      </c>
      <c r="E5" s="585">
        <v>4099920</v>
      </c>
      <c r="F5" s="1775">
        <f>E5-C5</f>
        <v>1988833</v>
      </c>
    </row>
    <row r="6" spans="1:6" ht="13.7" customHeight="1" x14ac:dyDescent="0.2">
      <c r="A6" s="716" t="s">
        <v>431</v>
      </c>
      <c r="B6" s="1772">
        <f>'Revenues 9-14'!E5</f>
        <v>2897295</v>
      </c>
      <c r="C6" s="585"/>
      <c r="D6" s="1775">
        <f t="shared" si="0"/>
        <v>2897295</v>
      </c>
      <c r="E6" s="585"/>
      <c r="F6" s="1775">
        <f t="shared" ref="F6:F18" si="1">E6-C6</f>
        <v>0</v>
      </c>
    </row>
    <row r="7" spans="1:6" ht="13.7" customHeight="1" x14ac:dyDescent="0.2">
      <c r="A7" s="716" t="s">
        <v>157</v>
      </c>
      <c r="B7" s="1772">
        <f>'Revenues 9-14'!F5</f>
        <v>259451</v>
      </c>
      <c r="C7" s="585">
        <v>129493</v>
      </c>
      <c r="D7" s="1775">
        <f t="shared" si="0"/>
        <v>129958</v>
      </c>
      <c r="E7" s="585">
        <v>251488</v>
      </c>
      <c r="F7" s="1775">
        <f t="shared" si="1"/>
        <v>121995</v>
      </c>
    </row>
    <row r="8" spans="1:6" ht="13.7" customHeight="1" x14ac:dyDescent="0.2">
      <c r="A8" s="716" t="s">
        <v>1241</v>
      </c>
      <c r="B8" s="1772">
        <f>'Revenues 9-14'!G5</f>
        <v>347543</v>
      </c>
      <c r="C8" s="585">
        <v>180178</v>
      </c>
      <c r="D8" s="1775">
        <f t="shared" si="0"/>
        <v>167365</v>
      </c>
      <c r="E8" s="585">
        <v>349921</v>
      </c>
      <c r="F8" s="1775">
        <f t="shared" si="1"/>
        <v>169743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361941</v>
      </c>
      <c r="C10" s="585">
        <v>187902</v>
      </c>
      <c r="D10" s="1775">
        <f t="shared" si="0"/>
        <v>174039</v>
      </c>
      <c r="E10" s="585">
        <v>364923</v>
      </c>
      <c r="F10" s="1775">
        <f t="shared" si="1"/>
        <v>177021</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346457</v>
      </c>
      <c r="C16" s="585">
        <v>180178</v>
      </c>
      <c r="D16" s="1775">
        <f t="shared" si="0"/>
        <v>166279</v>
      </c>
      <c r="E16" s="585">
        <v>349921</v>
      </c>
      <c r="F16" s="1775">
        <f t="shared" si="1"/>
        <v>169743</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58061</v>
      </c>
      <c r="C18" s="585">
        <v>29688</v>
      </c>
      <c r="D18" s="1775">
        <f t="shared" si="0"/>
        <v>28373</v>
      </c>
      <c r="E18" s="585">
        <v>57656</v>
      </c>
      <c r="F18" s="1775">
        <f t="shared" si="1"/>
        <v>27968</v>
      </c>
    </row>
    <row r="19" spans="1:6" ht="13.7" customHeight="1" thickBot="1" x14ac:dyDescent="0.25">
      <c r="A19" s="1776" t="s">
        <v>1223</v>
      </c>
      <c r="B19" s="1773">
        <f>SUM(B4:B18)</f>
        <v>23332125</v>
      </c>
      <c r="C19" s="1773">
        <f>SUM(C4:C18)</f>
        <v>10604431</v>
      </c>
      <c r="D19" s="1773">
        <f>SUM(D4:D18)</f>
        <v>12727694</v>
      </c>
      <c r="E19" s="1773">
        <f>SUM(E4:E18)</f>
        <v>20594754</v>
      </c>
      <c r="F19" s="1773">
        <f>SUM(F4:F18)</f>
        <v>9990323</v>
      </c>
    </row>
    <row r="20" spans="1:6" ht="13.5" thickTop="1" x14ac:dyDescent="0.2">
      <c r="B20" s="714"/>
      <c r="F20" s="717"/>
    </row>
    <row r="21" spans="1:6" x14ac:dyDescent="0.2">
      <c r="A21" s="718" t="s">
        <v>1913</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4" colorId="8" zoomScale="110" zoomScaleNormal="110" workbookViewId="0">
      <selection activeCell="J34" sqref="J34"/>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1903</v>
      </c>
      <c r="B2" s="2229"/>
      <c r="C2" s="1908" t="s">
        <v>2036</v>
      </c>
      <c r="D2" s="724" t="s">
        <v>2043</v>
      </c>
      <c r="E2" s="724"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2092</v>
      </c>
      <c r="B31" s="734"/>
      <c r="C31" s="735"/>
      <c r="D31" s="736"/>
      <c r="E31" s="735"/>
      <c r="F31" s="735"/>
      <c r="G31" s="735"/>
      <c r="H31" s="735"/>
      <c r="I31" s="1778">
        <f>((E31+F31)-H31)+G31</f>
        <v>0</v>
      </c>
      <c r="J31" s="735">
        <v>-94965</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t="s">
        <v>2093</v>
      </c>
      <c r="B33" s="734">
        <v>39539</v>
      </c>
      <c r="C33" s="735">
        <v>38075000</v>
      </c>
      <c r="D33" s="736">
        <v>6</v>
      </c>
      <c r="E33" s="735">
        <v>5725000</v>
      </c>
      <c r="F33" s="735"/>
      <c r="G33" s="735"/>
      <c r="H33" s="735">
        <v>5725000</v>
      </c>
      <c r="I33" s="1778">
        <f t="shared" ref="I33:I48" si="1">((E33+F33)-H33)+G33</f>
        <v>0</v>
      </c>
      <c r="J33" s="735">
        <v>-166119</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38075000</v>
      </c>
      <c r="D49" s="746"/>
      <c r="E49" s="1778">
        <f t="shared" ref="E49:J49" si="2">SUM(E31:E48)</f>
        <v>5725000</v>
      </c>
      <c r="F49" s="1778">
        <f t="shared" si="2"/>
        <v>0</v>
      </c>
      <c r="G49" s="1778">
        <f t="shared" si="2"/>
        <v>0</v>
      </c>
      <c r="H49" s="1778">
        <f t="shared" si="2"/>
        <v>5725000</v>
      </c>
      <c r="I49" s="1778">
        <f t="shared" si="2"/>
        <v>0</v>
      </c>
      <c r="J49" s="1778">
        <f t="shared" si="2"/>
        <v>-261084</v>
      </c>
      <c r="K49" s="738"/>
    </row>
    <row r="50" spans="1:11" ht="6" customHeight="1" x14ac:dyDescent="0.2">
      <c r="A50" s="747"/>
      <c r="B50" s="737"/>
      <c r="C50" s="737"/>
      <c r="D50" s="737"/>
      <c r="E50" s="737"/>
      <c r="F50" s="737"/>
      <c r="G50" s="737"/>
      <c r="H50" s="737"/>
      <c r="I50" s="737"/>
      <c r="J50" s="747"/>
    </row>
    <row r="51" spans="1:11" x14ac:dyDescent="0.2">
      <c r="A51" s="748" t="s">
        <v>1912</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7" colorId="8" zoomScale="110" zoomScaleNormal="110" workbookViewId="0">
      <selection activeCell="M36" sqref="M3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1917</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35" t="s">
        <v>1918</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0</v>
      </c>
      <c r="I12" s="1780">
        <f>SUM(I5:I11)</f>
        <v>0</v>
      </c>
      <c r="J12" s="1780">
        <f>SUM(J5:J11)</f>
        <v>0</v>
      </c>
      <c r="K12" s="1780">
        <f>SUM(K5:K11)</f>
        <v>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c r="I14" s="772"/>
      <c r="J14" s="774"/>
      <c r="K14" s="766"/>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1914</v>
      </c>
      <c r="B19" s="2244"/>
      <c r="C19" s="2244"/>
      <c r="D19" s="2244"/>
      <c r="E19" s="2245"/>
      <c r="F19" s="790" t="s">
        <v>990</v>
      </c>
      <c r="G19" s="783"/>
      <c r="H19" s="783"/>
      <c r="I19" s="783"/>
      <c r="J19" s="766"/>
      <c r="K19" s="796"/>
    </row>
    <row r="20" spans="1:11" x14ac:dyDescent="0.2">
      <c r="A20" s="2246" t="s">
        <v>1919</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0</v>
      </c>
      <c r="K21" s="794"/>
    </row>
    <row r="22" spans="1:11" ht="13.5" thickTop="1" x14ac:dyDescent="0.2">
      <c r="A22" s="2236" t="s">
        <v>1920</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0</v>
      </c>
      <c r="I23" s="1780">
        <f>SUM(I14:I16,I21,I22)</f>
        <v>0</v>
      </c>
      <c r="J23" s="1780">
        <f>SUM(J14:J16,J21,J22)</f>
        <v>0</v>
      </c>
      <c r="K23" s="1780">
        <f>SUM(K14:K16,K21,K22)</f>
        <v>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2075</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1921</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92175</v>
      </c>
    </row>
    <row r="37" spans="1:11" x14ac:dyDescent="0.2">
      <c r="A37" s="821" t="s">
        <v>952</v>
      </c>
      <c r="B37" s="819"/>
      <c r="C37" s="819"/>
      <c r="D37" s="819"/>
      <c r="E37" s="819"/>
      <c r="F37" s="820"/>
      <c r="G37" s="766"/>
    </row>
    <row r="38" spans="1:11" x14ac:dyDescent="0.2">
      <c r="A38" s="821" t="s">
        <v>1050</v>
      </c>
      <c r="B38" s="819"/>
      <c r="C38" s="819"/>
      <c r="D38" s="819"/>
      <c r="E38" s="819"/>
      <c r="F38" s="820"/>
      <c r="G38" s="766">
        <v>81112</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1915</v>
      </c>
      <c r="B46" s="408" t="s">
        <v>1774</v>
      </c>
    </row>
    <row r="47" spans="1:11" s="824" customFormat="1" ht="12.75" customHeight="1" x14ac:dyDescent="0.2">
      <c r="A47" s="822"/>
      <c r="B47" s="823" t="s">
        <v>1775</v>
      </c>
      <c r="E47" s="823"/>
      <c r="K47" s="825"/>
    </row>
    <row r="48" spans="1:11" ht="12.75" customHeight="1" x14ac:dyDescent="0.2">
      <c r="A48" s="1554" t="s">
        <v>1916</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4190703</v>
      </c>
      <c r="D5" s="842"/>
      <c r="E5" s="842"/>
      <c r="F5" s="1782">
        <f>(C5+D5)-E5</f>
        <v>4190703</v>
      </c>
      <c r="G5" s="838"/>
      <c r="H5" s="843"/>
      <c r="I5" s="843"/>
      <c r="J5" s="843"/>
      <c r="K5" s="794"/>
      <c r="L5" s="1791">
        <f>F5-K5</f>
        <v>4190703</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71594660</v>
      </c>
      <c r="D8" s="845">
        <v>2051374</v>
      </c>
      <c r="E8" s="845"/>
      <c r="F8" s="1782">
        <f>(C8+D8)-E8</f>
        <v>73646034</v>
      </c>
      <c r="G8" s="844">
        <v>50</v>
      </c>
      <c r="H8" s="766">
        <v>19198597</v>
      </c>
      <c r="I8" s="766">
        <v>1473099</v>
      </c>
      <c r="J8" s="766"/>
      <c r="K8" s="1791">
        <f>(H8+I8)-J8</f>
        <v>20671696</v>
      </c>
      <c r="L8" s="1791">
        <f>F8-K8</f>
        <v>52974338</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6497234</v>
      </c>
      <c r="D10" s="847"/>
      <c r="E10" s="847"/>
      <c r="F10" s="1786">
        <f>(C10+D10)-E10</f>
        <v>6497234</v>
      </c>
      <c r="G10" s="844">
        <v>20</v>
      </c>
      <c r="H10" s="848">
        <v>1751801</v>
      </c>
      <c r="I10" s="848">
        <v>308796</v>
      </c>
      <c r="J10" s="848"/>
      <c r="K10" s="1791">
        <f>(H10+I10)-J10</f>
        <v>2060597</v>
      </c>
      <c r="L10" s="1791">
        <f>F10-K10</f>
        <v>4436637</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7792697</v>
      </c>
      <c r="D12" s="845">
        <v>794907</v>
      </c>
      <c r="E12" s="845"/>
      <c r="F12" s="1782">
        <f>(C12+D12)-E12</f>
        <v>8587604</v>
      </c>
      <c r="G12" s="844">
        <v>10</v>
      </c>
      <c r="H12" s="766">
        <v>5710581</v>
      </c>
      <c r="I12" s="766">
        <v>450080</v>
      </c>
      <c r="J12" s="766"/>
      <c r="K12" s="1791">
        <f>(H12+I12)-J12</f>
        <v>6160661</v>
      </c>
      <c r="L12" s="1791">
        <f>F12-K12</f>
        <v>2426943</v>
      </c>
    </row>
    <row r="13" spans="1:14" ht="14.25" thickTop="1" thickBot="1" x14ac:dyDescent="0.25">
      <c r="A13" s="849" t="s">
        <v>1184</v>
      </c>
      <c r="B13" s="841">
        <v>252</v>
      </c>
      <c r="C13" s="845">
        <v>712646</v>
      </c>
      <c r="D13" s="845"/>
      <c r="E13" s="845"/>
      <c r="F13" s="1782">
        <f>(C13+D13)-E13</f>
        <v>712646</v>
      </c>
      <c r="G13" s="844">
        <v>5</v>
      </c>
      <c r="H13" s="766">
        <v>572102</v>
      </c>
      <c r="I13" s="766">
        <v>6069</v>
      </c>
      <c r="J13" s="766"/>
      <c r="K13" s="1791">
        <f>(H13+I13)-J13</f>
        <v>578171</v>
      </c>
      <c r="L13" s="1791">
        <f>F13-K13</f>
        <v>134475</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90787940</v>
      </c>
      <c r="D16" s="1782">
        <f>SUM(D3,D5:D6,D8:D10,D12:D15)</f>
        <v>2846281</v>
      </c>
      <c r="E16" s="1782">
        <f>SUM(E3,E5:E6,E8:E10,E12:E15)</f>
        <v>0</v>
      </c>
      <c r="F16" s="1782">
        <f>SUM(F3,F5:F6,F8:F10,F12:F15)</f>
        <v>93634221</v>
      </c>
      <c r="G16" s="844"/>
      <c r="H16" s="1782">
        <f>SUM(H3,H6,H8:H10,H12:H14,)</f>
        <v>27233081</v>
      </c>
      <c r="I16" s="1782">
        <f>SUM(I3,I6,I8:I10,I12:I14,)</f>
        <v>2238044</v>
      </c>
      <c r="J16" s="1782">
        <f>SUM(J3,J6,J8:J10,J12:J14,)</f>
        <v>0</v>
      </c>
      <c r="K16" s="1782">
        <f>(H16+I16)-J16</f>
        <v>29471125</v>
      </c>
      <c r="L16" s="1782">
        <f>F16-K16</f>
        <v>64163096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2238044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1"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21540978</v>
      </c>
      <c r="G8" s="866"/>
    </row>
    <row r="9" spans="1:7" x14ac:dyDescent="0.2">
      <c r="A9" s="870" t="s">
        <v>480</v>
      </c>
      <c r="B9" s="871" t="s">
        <v>1987</v>
      </c>
      <c r="C9" s="872"/>
      <c r="D9" s="870" t="s">
        <v>522</v>
      </c>
      <c r="E9" s="869"/>
      <c r="F9" s="1934">
        <f>'Expenditures 15-22'!K151</f>
        <v>5241593</v>
      </c>
      <c r="G9" s="873"/>
    </row>
    <row r="10" spans="1:7" x14ac:dyDescent="0.2">
      <c r="A10" s="870" t="s">
        <v>520</v>
      </c>
      <c r="B10" s="871" t="s">
        <v>1988</v>
      </c>
      <c r="C10" s="872"/>
      <c r="D10" s="870" t="s">
        <v>522</v>
      </c>
      <c r="E10" s="869"/>
      <c r="F10" s="1934">
        <f>'Expenditures 15-22'!K174</f>
        <v>5869625</v>
      </c>
      <c r="G10" s="873"/>
    </row>
    <row r="11" spans="1:7" x14ac:dyDescent="0.2">
      <c r="A11" s="870" t="s">
        <v>481</v>
      </c>
      <c r="B11" s="871" t="s">
        <v>1989</v>
      </c>
      <c r="C11" s="872"/>
      <c r="D11" s="870" t="s">
        <v>522</v>
      </c>
      <c r="E11" s="869"/>
      <c r="F11" s="1934">
        <f>'Expenditures 15-22'!K210</f>
        <v>2038429</v>
      </c>
      <c r="G11" s="873"/>
    </row>
    <row r="12" spans="1:7" x14ac:dyDescent="0.2">
      <c r="A12" s="870" t="s">
        <v>482</v>
      </c>
      <c r="B12" s="871" t="s">
        <v>1990</v>
      </c>
      <c r="C12" s="872"/>
      <c r="D12" s="870" t="s">
        <v>522</v>
      </c>
      <c r="E12" s="869"/>
      <c r="F12" s="1934">
        <f>'Expenditures 15-22'!K295</f>
        <v>775470</v>
      </c>
      <c r="G12" s="873"/>
    </row>
    <row r="13" spans="1:7" x14ac:dyDescent="0.2">
      <c r="A13" s="870" t="s">
        <v>108</v>
      </c>
      <c r="B13" s="871" t="s">
        <v>1991</v>
      </c>
      <c r="C13" s="872"/>
      <c r="D13" s="870" t="s">
        <v>522</v>
      </c>
      <c r="E13" s="869"/>
      <c r="F13" s="1934">
        <f>'Expenditures 15-22'!K342</f>
        <v>0</v>
      </c>
      <c r="G13" s="874"/>
    </row>
    <row r="14" spans="1:7" ht="12" customHeight="1" thickBot="1" x14ac:dyDescent="0.25">
      <c r="A14" s="1792"/>
      <c r="B14" s="1793"/>
      <c r="C14" s="1794"/>
      <c r="D14" s="1795" t="s">
        <v>522</v>
      </c>
      <c r="E14" s="1796" t="s">
        <v>1015</v>
      </c>
      <c r="F14" s="1797">
        <f>SUM(F8:F13)</f>
        <v>35466095</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79073</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80595</v>
      </c>
      <c r="G52" s="866"/>
    </row>
    <row r="53" spans="1:7" x14ac:dyDescent="0.2">
      <c r="A53" s="870" t="s">
        <v>479</v>
      </c>
      <c r="B53" s="870" t="s">
        <v>1551</v>
      </c>
      <c r="C53" s="890">
        <f>'Expenditures 15-22'!B102</f>
        <v>4000</v>
      </c>
      <c r="D53" s="889" t="str">
        <f>'Expenditures 15-22'!A102</f>
        <v>Total Payments to Other Govt Units</v>
      </c>
      <c r="E53" s="869"/>
      <c r="F53" s="1938">
        <f>'Expenditures 15-22'!K102</f>
        <v>2360088</v>
      </c>
      <c r="G53" s="866"/>
    </row>
    <row r="54" spans="1:7" x14ac:dyDescent="0.2">
      <c r="A54" s="870" t="s">
        <v>479</v>
      </c>
      <c r="B54" s="870" t="s">
        <v>1552</v>
      </c>
      <c r="C54" s="890" t="s">
        <v>1039</v>
      </c>
      <c r="D54" s="886" t="s">
        <v>1157</v>
      </c>
      <c r="E54" s="869"/>
      <c r="F54" s="1938">
        <f>'Expenditures 15-22'!G114</f>
        <v>456721</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1992</v>
      </c>
      <c r="C57" s="890">
        <f>'Expenditures 15-22'!B139</f>
        <v>4000</v>
      </c>
      <c r="D57" s="888" t="str">
        <f>'Expenditures 15-22'!A139</f>
        <v>Total Payments to Other Govt Units</v>
      </c>
      <c r="E57" s="869"/>
      <c r="F57" s="1938">
        <f>'Expenditures 15-22'!K139</f>
        <v>86714</v>
      </c>
      <c r="G57" s="866"/>
    </row>
    <row r="58" spans="1:7" x14ac:dyDescent="0.2">
      <c r="A58" s="870" t="s">
        <v>480</v>
      </c>
      <c r="B58" s="870" t="s">
        <v>1993</v>
      </c>
      <c r="C58" s="887" t="s">
        <v>1039</v>
      </c>
      <c r="D58" s="886" t="s">
        <v>1157</v>
      </c>
      <c r="E58" s="869"/>
      <c r="F58" s="1940">
        <f>'Expenditures 15-22'!G151</f>
        <v>2388625</v>
      </c>
      <c r="G58" s="866"/>
    </row>
    <row r="59" spans="1:7" x14ac:dyDescent="0.2">
      <c r="A59" s="894" t="s">
        <v>480</v>
      </c>
      <c r="B59" s="857" t="s">
        <v>1994</v>
      </c>
      <c r="C59" s="895" t="s">
        <v>1039</v>
      </c>
      <c r="D59" s="857" t="s">
        <v>309</v>
      </c>
      <c r="F59" s="1941">
        <f>'Expenditures 15-22'!I151</f>
        <v>0</v>
      </c>
      <c r="G59" s="866"/>
    </row>
    <row r="60" spans="1:7" x14ac:dyDescent="0.2">
      <c r="A60" s="894" t="s">
        <v>520</v>
      </c>
      <c r="B60" s="857" t="s">
        <v>1995</v>
      </c>
      <c r="C60" s="895">
        <v>4000</v>
      </c>
      <c r="D60" s="857" t="s">
        <v>330</v>
      </c>
      <c r="F60" s="1939">
        <f>'Expenditures 15-22'!K160</f>
        <v>0</v>
      </c>
      <c r="G60" s="866"/>
    </row>
    <row r="61" spans="1:7" x14ac:dyDescent="0.2">
      <c r="A61" s="896" t="s">
        <v>520</v>
      </c>
      <c r="B61" s="896" t="s">
        <v>1996</v>
      </c>
      <c r="C61" s="897" t="str">
        <f>'Expenditures 15-22'!B170</f>
        <v>5300</v>
      </c>
      <c r="D61" s="898" t="s">
        <v>329</v>
      </c>
      <c r="E61" s="880"/>
      <c r="F61" s="1938">
        <f>'Expenditures 15-22'!K170</f>
        <v>5725000</v>
      </c>
      <c r="G61" s="866"/>
    </row>
    <row r="62" spans="1:7" x14ac:dyDescent="0.2">
      <c r="A62" s="870" t="s">
        <v>481</v>
      </c>
      <c r="B62" s="870" t="s">
        <v>1997</v>
      </c>
      <c r="C62" s="887">
        <f>'Expenditures 15-22'!B185</f>
        <v>3000</v>
      </c>
      <c r="D62" s="877" t="s">
        <v>469</v>
      </c>
      <c r="E62" s="869"/>
      <c r="F62" s="1938">
        <f>'Expenditures 15-22'!K185-SUM('Expenditures 15-22'!G185,'Expenditures 15-22'!I185)</f>
        <v>0</v>
      </c>
      <c r="G62" s="866"/>
    </row>
    <row r="63" spans="1:7" x14ac:dyDescent="0.2">
      <c r="A63" s="870" t="s">
        <v>481</v>
      </c>
      <c r="B63" s="870" t="s">
        <v>1998</v>
      </c>
      <c r="C63" s="887" t="str">
        <f>'Expenditures 15-22'!B196</f>
        <v>4000</v>
      </c>
      <c r="D63" s="888" t="str">
        <f>'Expenditures 15-22'!A196</f>
        <v>Total Payments to Other Govt Units</v>
      </c>
      <c r="E63" s="869"/>
      <c r="F63" s="1938">
        <f>'Expenditures 15-22'!K196</f>
        <v>0</v>
      </c>
      <c r="G63" s="866"/>
    </row>
    <row r="64" spans="1:7" x14ac:dyDescent="0.2">
      <c r="A64" s="896" t="s">
        <v>481</v>
      </c>
      <c r="B64" s="896" t="s">
        <v>1999</v>
      </c>
      <c r="C64" s="897" t="str">
        <f>'Expenditures 15-22'!B206</f>
        <v>5300</v>
      </c>
      <c r="D64" s="893" t="s">
        <v>329</v>
      </c>
      <c r="E64" s="869"/>
      <c r="F64" s="1938">
        <f>'Expenditures 15-22'!K206</f>
        <v>0</v>
      </c>
      <c r="G64" s="866"/>
    </row>
    <row r="65" spans="1:8" x14ac:dyDescent="0.2">
      <c r="A65" s="870" t="s">
        <v>481</v>
      </c>
      <c r="B65" s="870" t="s">
        <v>2000</v>
      </c>
      <c r="C65" s="887" t="s">
        <v>1039</v>
      </c>
      <c r="D65" s="886" t="s">
        <v>1157</v>
      </c>
      <c r="E65" s="869"/>
      <c r="F65" s="1938">
        <f>'Expenditures 15-22'!G210</f>
        <v>935</v>
      </c>
      <c r="G65" s="866"/>
    </row>
    <row r="66" spans="1:8" x14ac:dyDescent="0.2">
      <c r="A66" s="870" t="s">
        <v>481</v>
      </c>
      <c r="B66" s="870" t="s">
        <v>2001</v>
      </c>
      <c r="C66" s="887" t="s">
        <v>1039</v>
      </c>
      <c r="D66" s="886" t="s">
        <v>309</v>
      </c>
      <c r="E66" s="869"/>
      <c r="F66" s="1938">
        <f>'Expenditures 15-22'!I210</f>
        <v>0</v>
      </c>
      <c r="G66" s="866"/>
    </row>
    <row r="67" spans="1:8" x14ac:dyDescent="0.2">
      <c r="A67" s="870" t="s">
        <v>482</v>
      </c>
      <c r="B67" s="870" t="s">
        <v>2002</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2003</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2004</v>
      </c>
      <c r="C70" s="887">
        <f>'Expenditures 15-22'!B221</f>
        <v>1300</v>
      </c>
      <c r="D70" s="888" t="str">
        <f>'Expenditures 15-22'!A221</f>
        <v>Adult/Continuing Education Programs</v>
      </c>
      <c r="E70" s="869"/>
      <c r="F70" s="1938">
        <f>'Expenditures 15-22'!K221</f>
        <v>0</v>
      </c>
      <c r="G70" s="866"/>
    </row>
    <row r="71" spans="1:8" x14ac:dyDescent="0.2">
      <c r="A71" s="870" t="s">
        <v>482</v>
      </c>
      <c r="B71" s="870" t="s">
        <v>2005</v>
      </c>
      <c r="C71" s="887">
        <f>'Expenditures 15-22'!B224</f>
        <v>1600</v>
      </c>
      <c r="D71" s="888" t="str">
        <f>'Expenditures 15-22'!A224</f>
        <v>Summer School Programs</v>
      </c>
      <c r="E71" s="869"/>
      <c r="F71" s="1938">
        <f>'Expenditures 15-22'!K224</f>
        <v>1008</v>
      </c>
      <c r="G71" s="866"/>
    </row>
    <row r="72" spans="1:8" x14ac:dyDescent="0.2">
      <c r="A72" s="870" t="s">
        <v>482</v>
      </c>
      <c r="B72" s="870" t="s">
        <v>2006</v>
      </c>
      <c r="C72" s="887">
        <f>'Expenditures 15-22'!B280</f>
        <v>3000</v>
      </c>
      <c r="D72" s="877" t="s">
        <v>469</v>
      </c>
      <c r="E72" s="869"/>
      <c r="F72" s="1938">
        <f>'Expenditures 15-22'!K280</f>
        <v>0</v>
      </c>
      <c r="G72" s="866"/>
    </row>
    <row r="73" spans="1:8" x14ac:dyDescent="0.2">
      <c r="A73" s="870" t="s">
        <v>482</v>
      </c>
      <c r="B73" s="870" t="s">
        <v>2007</v>
      </c>
      <c r="C73" s="887" t="str">
        <f>'Expenditures 15-22'!B285</f>
        <v>4000</v>
      </c>
      <c r="D73" s="888" t="str">
        <f>'Expenditures 15-22'!A285</f>
        <v>Total Payments to Other Govt Units</v>
      </c>
      <c r="E73" s="869"/>
      <c r="F73" s="1938">
        <f>'Expenditures 15-22'!K285</f>
        <v>58059</v>
      </c>
      <c r="G73" s="866"/>
    </row>
    <row r="74" spans="1:8" x14ac:dyDescent="0.2">
      <c r="A74" s="870" t="s">
        <v>456</v>
      </c>
      <c r="B74" s="870" t="s">
        <v>2008</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2009</v>
      </c>
      <c r="E76" s="1796" t="s">
        <v>1015</v>
      </c>
      <c r="F76" s="1800">
        <f>SUM(F18:F74)</f>
        <v>11236818</v>
      </c>
      <c r="G76" s="866"/>
    </row>
    <row r="77" spans="1:8" s="894" customFormat="1" ht="12" customHeight="1" thickTop="1" thickBot="1" x14ac:dyDescent="0.25">
      <c r="A77" s="1801"/>
      <c r="B77" s="1798"/>
      <c r="C77" s="1794"/>
      <c r="D77" s="1799" t="s">
        <v>2010</v>
      </c>
      <c r="E77" s="1796"/>
      <c r="F77" s="1802">
        <f>(F14-F76)</f>
        <v>24229277</v>
      </c>
      <c r="G77" s="870"/>
    </row>
    <row r="78" spans="1:8" s="894" customFormat="1" ht="12" customHeight="1" thickTop="1" x14ac:dyDescent="0.2">
      <c r="A78" s="1803"/>
      <c r="B78" s="1798"/>
      <c r="C78" s="1794"/>
      <c r="D78" s="1799" t="s">
        <v>2057</v>
      </c>
      <c r="E78" s="1796"/>
      <c r="F78" s="899">
        <v>1670.15</v>
      </c>
      <c r="G78" s="900"/>
      <c r="H78" s="870"/>
    </row>
    <row r="79" spans="1:8" s="894" customFormat="1" ht="12" customHeight="1" thickBot="1" x14ac:dyDescent="0.25">
      <c r="A79" s="1804"/>
      <c r="B79" s="1798"/>
      <c r="C79" s="1794"/>
      <c r="D79" s="1799" t="s">
        <v>2011</v>
      </c>
      <c r="E79" s="1796" t="s">
        <v>1015</v>
      </c>
      <c r="F79" s="1805">
        <f>IF(F78&gt;0,F77/F78," Complete Line 78")</f>
        <v>14507.246055743495</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476141</v>
      </c>
      <c r="G94" s="913"/>
    </row>
    <row r="95" spans="1:7" x14ac:dyDescent="0.2">
      <c r="A95" s="909" t="s">
        <v>142</v>
      </c>
      <c r="B95" s="909" t="s">
        <v>177</v>
      </c>
      <c r="C95" s="911">
        <v>1700</v>
      </c>
      <c r="D95" s="919" t="str">
        <f>'Revenues 9-14'!A82</f>
        <v>Total District/School Activity Income</v>
      </c>
      <c r="E95" s="907"/>
      <c r="F95" s="1811">
        <f>SUM('Revenues 9-14'!C82,'Revenues 9-14'!D82)</f>
        <v>359410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2994</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491500</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21955</v>
      </c>
      <c r="G106" s="913"/>
    </row>
    <row r="107" spans="1:7" x14ac:dyDescent="0.2">
      <c r="A107" s="922" t="s">
        <v>685</v>
      </c>
      <c r="B107" s="909" t="s">
        <v>843</v>
      </c>
      <c r="C107" s="921">
        <v>3300</v>
      </c>
      <c r="D107" s="912" t="str">
        <f>'Revenues 9-14'!A144</f>
        <v>Total Bilingual Ed</v>
      </c>
      <c r="E107" s="907"/>
      <c r="F107" s="1811">
        <f>SUM('Revenues 9-14'!C144,'Revenues 9-14'!G144)</f>
        <v>3108</v>
      </c>
      <c r="G107" s="913"/>
    </row>
    <row r="108" spans="1:7" x14ac:dyDescent="0.2">
      <c r="A108" s="909" t="s">
        <v>479</v>
      </c>
      <c r="B108" s="909" t="s">
        <v>844</v>
      </c>
      <c r="C108" s="921">
        <f>'Revenues 9-14'!B145</f>
        <v>3360</v>
      </c>
      <c r="D108" s="912" t="str">
        <f>'Revenues 9-14'!A145</f>
        <v>State Free Lunch &amp; Breakfast</v>
      </c>
      <c r="E108" s="907"/>
      <c r="F108" s="1811">
        <f>'Revenues 9-14'!C145</f>
        <v>3224</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49612</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1431817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2741</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276547</v>
      </c>
      <c r="G129" s="931"/>
    </row>
    <row r="130" spans="1:7" x14ac:dyDescent="0.2">
      <c r="A130" s="928" t="s">
        <v>689</v>
      </c>
      <c r="B130" s="928" t="s">
        <v>804</v>
      </c>
      <c r="C130" s="933">
        <v>4300</v>
      </c>
      <c r="D130" s="934" t="str">
        <f>'Revenues 9-14'!A211</f>
        <v>Total Title I</v>
      </c>
      <c r="E130" s="907"/>
      <c r="F130" s="1811">
        <f>SUM('Revenues 9-14'!C211,'Revenues 9-14'!D211,'Revenues 9-14'!F211,'Revenues 9-14'!G211)</f>
        <v>174647</v>
      </c>
      <c r="G130" s="931"/>
    </row>
    <row r="131" spans="1:7" x14ac:dyDescent="0.2">
      <c r="A131" s="928" t="s">
        <v>689</v>
      </c>
      <c r="B131" s="928" t="s">
        <v>805</v>
      </c>
      <c r="C131" s="933">
        <v>4400</v>
      </c>
      <c r="D131" s="934" t="str">
        <f>'Revenues 9-14'!A216</f>
        <v>Total Title IV</v>
      </c>
      <c r="E131" s="907"/>
      <c r="F131" s="1811">
        <f>SUM('Revenues 9-14'!C216,'Revenues 9-14'!D216,'Revenues 9-14'!F216,'Revenues 9-14'!G216)</f>
        <v>9000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43336</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170284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21596</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39305</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14667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116878</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v>523511.18</v>
      </c>
      <c r="G175" s="928"/>
    </row>
    <row r="176" spans="1:7" x14ac:dyDescent="0.2">
      <c r="A176" s="1943" t="s">
        <v>685</v>
      </c>
      <c r="B176" s="1944" t="s">
        <v>2056</v>
      </c>
      <c r="C176" s="1945">
        <v>3300</v>
      </c>
      <c r="D176" s="1946" t="s">
        <v>2060</v>
      </c>
      <c r="E176" s="907"/>
      <c r="F176" s="1930">
        <v>3475.54</v>
      </c>
      <c r="G176" s="928"/>
    </row>
    <row r="177" spans="1:7" ht="6" customHeight="1" x14ac:dyDescent="0.2">
      <c r="A177" s="928"/>
      <c r="B177" s="928"/>
      <c r="C177" s="950"/>
      <c r="D177" s="928"/>
      <c r="E177" s="907"/>
      <c r="F177" s="951"/>
      <c r="G177" s="948"/>
    </row>
    <row r="178" spans="1:7" x14ac:dyDescent="0.2">
      <c r="A178" s="1792"/>
      <c r="B178" s="1806"/>
      <c r="C178" s="1807"/>
      <c r="D178" s="1808" t="s">
        <v>2012</v>
      </c>
      <c r="E178" s="1809" t="s">
        <v>1015</v>
      </c>
      <c r="F178" s="1810">
        <f>SUM(F84:F136,F161:F176)</f>
        <v>4235748.72</v>
      </c>
    </row>
    <row r="179" spans="1:7" ht="12" customHeight="1" x14ac:dyDescent="0.2">
      <c r="A179" s="1792"/>
      <c r="B179" s="1806"/>
      <c r="C179" s="1807"/>
      <c r="D179" s="1808" t="s">
        <v>2013</v>
      </c>
      <c r="E179" s="1809"/>
      <c r="F179" s="1811">
        <f>'PCTC-OEPP 27-28'!F77-F178</f>
        <v>19993528.280000001</v>
      </c>
    </row>
    <row r="180" spans="1:7" ht="12" customHeight="1" x14ac:dyDescent="0.2">
      <c r="A180" s="1792"/>
      <c r="B180" s="1806"/>
      <c r="C180" s="1807"/>
      <c r="D180" s="1808" t="s">
        <v>1922</v>
      </c>
      <c r="E180" s="1809"/>
      <c r="F180" s="1811">
        <f>'Cap Outlay Deprec 26'!I18</f>
        <v>2238044</v>
      </c>
    </row>
    <row r="181" spans="1:7" ht="12" customHeight="1" x14ac:dyDescent="0.2">
      <c r="A181" s="1792"/>
      <c r="B181" s="1806"/>
      <c r="C181" s="1807"/>
      <c r="D181" s="1808" t="s">
        <v>2014</v>
      </c>
      <c r="E181" s="1809"/>
      <c r="F181" s="1811">
        <f>F179+F180</f>
        <v>22231572.280000001</v>
      </c>
    </row>
    <row r="182" spans="1:7" ht="12" customHeight="1" x14ac:dyDescent="0.2">
      <c r="A182" s="1792"/>
      <c r="B182" s="1812"/>
      <c r="C182" s="1807"/>
      <c r="D182" s="1808" t="str">
        <f>D78</f>
        <v>9 Month ADA from District Average Daily Attendance/Prior General State Aid Inquiry 2017-2018</v>
      </c>
      <c r="E182" s="1809"/>
      <c r="F182" s="1813">
        <f>'PCTC-OEPP 27-28'!F78</f>
        <v>1670.15</v>
      </c>
      <c r="G182" s="931"/>
    </row>
    <row r="183" spans="1:7" ht="12" customHeight="1" thickBot="1" x14ac:dyDescent="0.25">
      <c r="A183" s="1792"/>
      <c r="B183" s="1812"/>
      <c r="C183" s="1807"/>
      <c r="D183" s="1808" t="s">
        <v>2015</v>
      </c>
      <c r="E183" s="1809" t="s">
        <v>1626</v>
      </c>
      <c r="F183" s="1814">
        <f>F181/F182</f>
        <v>13311.123120677783</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A17" sqref="A17"/>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1938</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1923</v>
      </c>
      <c r="B4" s="2289"/>
      <c r="C4" s="2289"/>
      <c r="D4" s="2289"/>
      <c r="E4" s="2289"/>
      <c r="F4" s="2289"/>
      <c r="G4" s="2290"/>
    </row>
    <row r="5" spans="1:7" x14ac:dyDescent="0.25">
      <c r="A5" s="2291"/>
      <c r="B5" s="2292"/>
      <c r="C5" s="2292"/>
      <c r="D5" s="2292"/>
      <c r="E5" s="2292"/>
      <c r="F5" s="2292"/>
      <c r="G5" s="2293"/>
    </row>
    <row r="6" spans="1:7" ht="18.75" x14ac:dyDescent="0.25">
      <c r="A6" s="1556" t="s">
        <v>1924</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2021</v>
      </c>
      <c r="B9" s="2295"/>
      <c r="C9" s="2295"/>
      <c r="D9" s="2295"/>
      <c r="E9" s="2295"/>
      <c r="F9" s="2295"/>
      <c r="G9" s="2296"/>
    </row>
    <row r="10" spans="1:7" ht="15" customHeight="1" x14ac:dyDescent="0.25">
      <c r="A10" s="1559" t="s">
        <v>1925</v>
      </c>
      <c r="B10" s="1560"/>
      <c r="C10" s="1560"/>
      <c r="D10" s="1560"/>
      <c r="E10" s="1560"/>
      <c r="F10" s="1560"/>
      <c r="G10" s="1561"/>
    </row>
    <row r="11" spans="1:7" ht="17.25" customHeight="1" x14ac:dyDescent="0.25">
      <c r="A11" s="2294" t="s">
        <v>1939</v>
      </c>
      <c r="B11" s="2295"/>
      <c r="C11" s="2295"/>
      <c r="D11" s="2295"/>
      <c r="E11" s="2295"/>
      <c r="F11" s="2295"/>
      <c r="G11" s="2296"/>
    </row>
    <row r="12" spans="1:7" ht="15" customHeight="1" x14ac:dyDescent="0.25">
      <c r="A12" s="1559" t="s">
        <v>1930</v>
      </c>
      <c r="B12" s="1560"/>
      <c r="C12" s="1560"/>
      <c r="D12" s="1560"/>
      <c r="E12" s="1560"/>
      <c r="F12" s="1560"/>
      <c r="G12" s="1561"/>
    </row>
    <row r="13" spans="1:7" ht="32.25" customHeight="1" x14ac:dyDescent="0.25">
      <c r="A13" s="2285" t="s">
        <v>1931</v>
      </c>
      <c r="B13" s="2286"/>
      <c r="C13" s="2286"/>
      <c r="D13" s="2286"/>
      <c r="E13" s="2286"/>
      <c r="F13" s="2286"/>
      <c r="G13" s="2287"/>
    </row>
    <row r="14" spans="1:7" x14ac:dyDescent="0.25">
      <c r="A14" s="1683" t="s">
        <v>1940</v>
      </c>
      <c r="B14" s="1684"/>
      <c r="C14" s="1684"/>
      <c r="D14" s="1684"/>
      <c r="E14" s="1684"/>
      <c r="F14" s="1684"/>
      <c r="G14" s="1685"/>
    </row>
    <row r="15" spans="1:7" ht="61.5" customHeight="1" x14ac:dyDescent="0.25">
      <c r="A15" s="1568" t="s">
        <v>1932</v>
      </c>
      <c r="B15" s="1568" t="s">
        <v>1933</v>
      </c>
      <c r="C15" s="1568" t="s">
        <v>1934</v>
      </c>
      <c r="D15" s="1569" t="s">
        <v>1935</v>
      </c>
      <c r="E15" s="1569" t="s">
        <v>1926</v>
      </c>
      <c r="F15" s="1569" t="s">
        <v>1936</v>
      </c>
      <c r="G15" s="1569" t="s">
        <v>1937</v>
      </c>
    </row>
    <row r="16" spans="1:7" x14ac:dyDescent="0.25">
      <c r="A16" s="1670" t="s">
        <v>1941</v>
      </c>
      <c r="B16" s="1671" t="s">
        <v>1929</v>
      </c>
      <c r="C16" s="1672" t="s">
        <v>1927</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2166</v>
      </c>
      <c r="B17" s="1957" t="s">
        <v>2167</v>
      </c>
      <c r="C17" s="1958" t="s">
        <v>2168</v>
      </c>
      <c r="D17" s="1867">
        <v>43460</v>
      </c>
      <c r="E17" s="1562">
        <f t="shared" ref="E17:E141" si="1">IF(D17&lt;=25000,D17,IF(D17&gt;25000,25000,0))</f>
        <v>25000</v>
      </c>
      <c r="F17" s="1815">
        <f t="shared" si="0"/>
        <v>25000</v>
      </c>
      <c r="G17" s="1816">
        <f>IF(F17=0,0,D17-F17)</f>
        <v>18460</v>
      </c>
      <c r="H17" s="1669"/>
    </row>
    <row r="18" spans="1:8" x14ac:dyDescent="0.25">
      <c r="A18" s="1956" t="s">
        <v>2169</v>
      </c>
      <c r="B18" s="1957" t="s">
        <v>2170</v>
      </c>
      <c r="C18" s="1958" t="s">
        <v>2171</v>
      </c>
      <c r="D18" s="1867">
        <v>46105</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21105</v>
      </c>
    </row>
    <row r="19" spans="1:8" x14ac:dyDescent="0.25">
      <c r="A19" s="1956" t="s">
        <v>2166</v>
      </c>
      <c r="B19" s="1957" t="s">
        <v>2167</v>
      </c>
      <c r="C19" s="1958" t="s">
        <v>2172</v>
      </c>
      <c r="D19" s="1867">
        <v>33166</v>
      </c>
      <c r="E19" s="1562">
        <f t="shared" si="2"/>
        <v>25000</v>
      </c>
      <c r="F19" s="1815">
        <f t="shared" si="3"/>
        <v>25000</v>
      </c>
      <c r="G19" s="1816">
        <f t="shared" si="4"/>
        <v>8166</v>
      </c>
    </row>
    <row r="20" spans="1:8" x14ac:dyDescent="0.25">
      <c r="A20" s="1956" t="s">
        <v>2173</v>
      </c>
      <c r="B20" s="1957" t="s">
        <v>2174</v>
      </c>
      <c r="C20" s="1958" t="s">
        <v>2175</v>
      </c>
      <c r="D20" s="1867">
        <v>50952</v>
      </c>
      <c r="E20" s="1562">
        <f t="shared" si="2"/>
        <v>25000</v>
      </c>
      <c r="F20" s="1815">
        <f t="shared" si="3"/>
        <v>25000</v>
      </c>
      <c r="G20" s="1816">
        <f t="shared" si="4"/>
        <v>25952</v>
      </c>
    </row>
    <row r="21" spans="1:8" x14ac:dyDescent="0.25">
      <c r="A21" s="1956" t="s">
        <v>2176</v>
      </c>
      <c r="B21" s="1957" t="s">
        <v>2177</v>
      </c>
      <c r="C21" s="1958" t="s">
        <v>2178</v>
      </c>
      <c r="D21" s="1867">
        <v>113480</v>
      </c>
      <c r="E21" s="1562">
        <f t="shared" si="2"/>
        <v>25000</v>
      </c>
      <c r="F21" s="1815">
        <f t="shared" si="3"/>
        <v>25000</v>
      </c>
      <c r="G21" s="1816">
        <f t="shared" si="4"/>
        <v>88480</v>
      </c>
    </row>
    <row r="22" spans="1:8" x14ac:dyDescent="0.25">
      <c r="A22" s="1956" t="s">
        <v>2169</v>
      </c>
      <c r="B22" s="1957" t="s">
        <v>2170</v>
      </c>
      <c r="C22" s="1958" t="s">
        <v>2179</v>
      </c>
      <c r="D22" s="1867">
        <v>52177</v>
      </c>
      <c r="E22" s="1562">
        <f t="shared" si="2"/>
        <v>25000</v>
      </c>
      <c r="F22" s="1815">
        <f t="shared" si="3"/>
        <v>25000</v>
      </c>
      <c r="G22" s="1816">
        <f t="shared" si="4"/>
        <v>27177</v>
      </c>
    </row>
    <row r="23" spans="1:8" x14ac:dyDescent="0.25">
      <c r="A23" s="1956" t="s">
        <v>2166</v>
      </c>
      <c r="B23" s="1957" t="s">
        <v>2167</v>
      </c>
      <c r="C23" s="1958" t="s">
        <v>2180</v>
      </c>
      <c r="D23" s="1867">
        <v>70098</v>
      </c>
      <c r="E23" s="1562">
        <f t="shared" si="2"/>
        <v>25000</v>
      </c>
      <c r="F23" s="1815">
        <f t="shared" si="3"/>
        <v>25000</v>
      </c>
      <c r="G23" s="1816">
        <f t="shared" si="4"/>
        <v>45098</v>
      </c>
    </row>
    <row r="24" spans="1:8" x14ac:dyDescent="0.25">
      <c r="A24" s="1956" t="s">
        <v>2166</v>
      </c>
      <c r="B24" s="1957" t="s">
        <v>2167</v>
      </c>
      <c r="C24" s="1958" t="s">
        <v>2181</v>
      </c>
      <c r="D24" s="1867">
        <v>148902</v>
      </c>
      <c r="E24" s="1562">
        <f t="shared" si="2"/>
        <v>25000</v>
      </c>
      <c r="F24" s="1815">
        <f t="shared" si="3"/>
        <v>25000</v>
      </c>
      <c r="G24" s="1816">
        <f t="shared" si="4"/>
        <v>123902</v>
      </c>
    </row>
    <row r="25" spans="1:8" x14ac:dyDescent="0.25">
      <c r="A25" s="1956" t="s">
        <v>2176</v>
      </c>
      <c r="B25" s="1957" t="s">
        <v>2177</v>
      </c>
      <c r="C25" s="1958" t="s">
        <v>2182</v>
      </c>
      <c r="D25" s="1867">
        <v>238356</v>
      </c>
      <c r="E25" s="1562">
        <f t="shared" si="2"/>
        <v>25000</v>
      </c>
      <c r="F25" s="1815">
        <f t="shared" si="3"/>
        <v>25000</v>
      </c>
      <c r="G25" s="1816">
        <f t="shared" si="4"/>
        <v>213356</v>
      </c>
    </row>
    <row r="26" spans="1:8" x14ac:dyDescent="0.25">
      <c r="A26" s="1956" t="s">
        <v>2166</v>
      </c>
      <c r="B26" s="1957" t="s">
        <v>2167</v>
      </c>
      <c r="C26" s="1958" t="s">
        <v>2183</v>
      </c>
      <c r="D26" s="1867">
        <v>56341</v>
      </c>
      <c r="E26" s="1562">
        <f t="shared" si="2"/>
        <v>25000</v>
      </c>
      <c r="F26" s="1815">
        <f t="shared" si="3"/>
        <v>25000</v>
      </c>
      <c r="G26" s="1816">
        <f t="shared" si="4"/>
        <v>31341</v>
      </c>
    </row>
    <row r="27" spans="1:8" x14ac:dyDescent="0.25">
      <c r="A27" s="1956" t="s">
        <v>2166</v>
      </c>
      <c r="B27" s="1957" t="s">
        <v>2167</v>
      </c>
      <c r="C27" s="1958" t="s">
        <v>2184</v>
      </c>
      <c r="D27" s="1867">
        <v>94874</v>
      </c>
      <c r="E27" s="1562">
        <f t="shared" si="2"/>
        <v>25000</v>
      </c>
      <c r="F27" s="1815">
        <f t="shared" si="3"/>
        <v>25000</v>
      </c>
      <c r="G27" s="1816">
        <f t="shared" si="4"/>
        <v>69874</v>
      </c>
    </row>
    <row r="28" spans="1:8" x14ac:dyDescent="0.25">
      <c r="A28" s="1956" t="s">
        <v>2166</v>
      </c>
      <c r="B28" s="1957" t="s">
        <v>2167</v>
      </c>
      <c r="C28" s="1958" t="s">
        <v>2185</v>
      </c>
      <c r="D28" s="1867">
        <v>114175</v>
      </c>
      <c r="E28" s="1562">
        <f t="shared" si="2"/>
        <v>25000</v>
      </c>
      <c r="F28" s="1815">
        <f t="shared" si="3"/>
        <v>25000</v>
      </c>
      <c r="G28" s="1816">
        <f t="shared" si="4"/>
        <v>89175</v>
      </c>
    </row>
    <row r="29" spans="1:8" x14ac:dyDescent="0.25">
      <c r="A29" s="1956" t="s">
        <v>2166</v>
      </c>
      <c r="B29" s="1957" t="s">
        <v>2167</v>
      </c>
      <c r="C29" s="1958" t="s">
        <v>2186</v>
      </c>
      <c r="D29" s="1867">
        <v>35558</v>
      </c>
      <c r="E29" s="1562">
        <f t="shared" si="2"/>
        <v>25000</v>
      </c>
      <c r="F29" s="1815">
        <f t="shared" si="3"/>
        <v>25000</v>
      </c>
      <c r="G29" s="1816">
        <f t="shared" si="4"/>
        <v>10558</v>
      </c>
    </row>
    <row r="30" spans="1:8" x14ac:dyDescent="0.25">
      <c r="A30" s="1956" t="s">
        <v>2166</v>
      </c>
      <c r="B30" s="1957" t="s">
        <v>2167</v>
      </c>
      <c r="C30" s="1958" t="s">
        <v>2187</v>
      </c>
      <c r="D30" s="1867">
        <v>61167</v>
      </c>
      <c r="E30" s="1562">
        <f t="shared" si="2"/>
        <v>25000</v>
      </c>
      <c r="F30" s="1815">
        <f t="shared" si="3"/>
        <v>25000</v>
      </c>
      <c r="G30" s="1816">
        <f t="shared" si="4"/>
        <v>36167</v>
      </c>
    </row>
    <row r="31" spans="1:8" x14ac:dyDescent="0.25">
      <c r="A31" s="1956" t="s">
        <v>2166</v>
      </c>
      <c r="B31" s="1957" t="s">
        <v>2167</v>
      </c>
      <c r="C31" s="1958" t="s">
        <v>2188</v>
      </c>
      <c r="D31" s="1867">
        <v>33427</v>
      </c>
      <c r="E31" s="1562">
        <f t="shared" si="2"/>
        <v>25000</v>
      </c>
      <c r="F31" s="1815">
        <f t="shared" si="3"/>
        <v>25000</v>
      </c>
      <c r="G31" s="1816">
        <f t="shared" si="4"/>
        <v>8427</v>
      </c>
    </row>
    <row r="32" spans="1:8" x14ac:dyDescent="0.25">
      <c r="A32" s="1956" t="s">
        <v>2169</v>
      </c>
      <c r="B32" s="1957" t="s">
        <v>2170</v>
      </c>
      <c r="C32" s="1958" t="s">
        <v>2189</v>
      </c>
      <c r="D32" s="1867">
        <v>166737</v>
      </c>
      <c r="E32" s="1562">
        <f t="shared" si="2"/>
        <v>25000</v>
      </c>
      <c r="F32" s="1815">
        <f t="shared" si="3"/>
        <v>25000</v>
      </c>
      <c r="G32" s="1816">
        <f t="shared" si="4"/>
        <v>141737</v>
      </c>
    </row>
    <row r="33" spans="1:7" x14ac:dyDescent="0.25">
      <c r="A33" s="1956" t="s">
        <v>2173</v>
      </c>
      <c r="B33" s="1957" t="s">
        <v>2174</v>
      </c>
      <c r="C33" s="1958" t="s">
        <v>2190</v>
      </c>
      <c r="D33" s="1867">
        <v>244796</v>
      </c>
      <c r="E33" s="1562">
        <f t="shared" si="2"/>
        <v>25000</v>
      </c>
      <c r="F33" s="1815">
        <f t="shared" si="3"/>
        <v>25000</v>
      </c>
      <c r="G33" s="1816">
        <f t="shared" si="4"/>
        <v>219796</v>
      </c>
    </row>
    <row r="34" spans="1:7" x14ac:dyDescent="0.25">
      <c r="A34" s="1956" t="s">
        <v>2166</v>
      </c>
      <c r="B34" s="1957" t="s">
        <v>2167</v>
      </c>
      <c r="C34" s="1958" t="s">
        <v>2191</v>
      </c>
      <c r="D34" s="1867">
        <v>225860</v>
      </c>
      <c r="E34" s="1562">
        <f t="shared" si="2"/>
        <v>25000</v>
      </c>
      <c r="F34" s="1815">
        <f t="shared" si="3"/>
        <v>25000</v>
      </c>
      <c r="G34" s="1816">
        <f t="shared" si="4"/>
        <v>200860</v>
      </c>
    </row>
    <row r="35" spans="1:7" x14ac:dyDescent="0.25">
      <c r="A35" s="1956" t="s">
        <v>2169</v>
      </c>
      <c r="B35" s="1957" t="s">
        <v>2170</v>
      </c>
      <c r="C35" s="1958" t="s">
        <v>2192</v>
      </c>
      <c r="D35" s="1867">
        <v>29916</v>
      </c>
      <c r="E35" s="1562">
        <f t="shared" si="2"/>
        <v>25000</v>
      </c>
      <c r="F35" s="1815">
        <f t="shared" si="3"/>
        <v>25000</v>
      </c>
      <c r="G35" s="1816">
        <f t="shared" si="4"/>
        <v>4916</v>
      </c>
    </row>
    <row r="36" spans="1:7" x14ac:dyDescent="0.25">
      <c r="A36" s="1956" t="s">
        <v>2176</v>
      </c>
      <c r="B36" s="1957" t="s">
        <v>2177</v>
      </c>
      <c r="C36" s="1958" t="s">
        <v>2193</v>
      </c>
      <c r="D36" s="1867">
        <v>603099</v>
      </c>
      <c r="E36" s="1562">
        <f t="shared" si="2"/>
        <v>25000</v>
      </c>
      <c r="F36" s="1815">
        <f t="shared" si="3"/>
        <v>25000</v>
      </c>
      <c r="G36" s="1816">
        <f t="shared" si="4"/>
        <v>578099</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2462646</v>
      </c>
      <c r="E141" s="1563">
        <f t="shared" si="1"/>
        <v>25000</v>
      </c>
      <c r="F141" s="1817">
        <f>SUM(F17:F140)</f>
        <v>500000</v>
      </c>
      <c r="G141" s="1818">
        <f>SUM(G17:G140)</f>
        <v>1962646</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6"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376502</v>
      </c>
      <c r="F10" s="975"/>
      <c r="G10" s="976"/>
      <c r="H10" s="162"/>
      <c r="I10" s="162"/>
    </row>
    <row r="11" spans="1:9" s="669" customFormat="1" ht="22.5" customHeight="1" x14ac:dyDescent="0.2">
      <c r="A11" s="2305" t="s">
        <v>1943</v>
      </c>
      <c r="B11" s="2306"/>
      <c r="C11" s="2306"/>
      <c r="D11" s="2307"/>
      <c r="E11" s="978">
        <v>40285</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11802657</v>
      </c>
      <c r="F19" s="1822"/>
      <c r="G19" s="1824">
        <f>'Expenditures 15-22'!K33-SUM('Expenditures 15-22'!G33,'Expenditures 15-22'!I33)+'Expenditures 15-22'!D229</f>
        <v>11802657</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1627035</v>
      </c>
      <c r="F21" s="1825"/>
      <c r="G21" s="1828">
        <f>'Expenditures 15-22'!K42-SUM('Expenditures 15-22'!G42,'Expenditures 15-22'!I42)+'Expenditures 15-22'!K120-SUM('Expenditures 15-22'!G120,'Expenditures 15-22'!I120)+'Expenditures 15-22'!K180-SUM('Expenditures 15-22'!G180,'Expenditures 15-22'!I180)+'Expenditures 15-22'!D238</f>
        <v>1627035</v>
      </c>
      <c r="H21" s="988"/>
      <c r="I21" s="162"/>
    </row>
    <row r="22" spans="1:9" s="669" customFormat="1" ht="12" customHeight="1" x14ac:dyDescent="0.2">
      <c r="A22" s="995" t="s">
        <v>585</v>
      </c>
      <c r="B22" s="996"/>
      <c r="C22" s="994">
        <v>2200</v>
      </c>
      <c r="D22" s="1825"/>
      <c r="E22" s="1827">
        <f>'Expenditures 15-22'!K47-SUM('Expenditures 15-22'!G47,'Expenditures 15-22'!I47)+'Expenditures 15-22'!D243</f>
        <v>1624232</v>
      </c>
      <c r="F22" s="1825"/>
      <c r="G22" s="1828">
        <f>'Expenditures 15-22'!K47-SUM('Expenditures 15-22'!G47,'Expenditures 15-22'!I47)+'Expenditures 15-22'!D243</f>
        <v>1624232</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1094085</v>
      </c>
      <c r="F23" s="1825"/>
      <c r="G23" s="1827">
        <f>'Expenditures 15-22'!K53-SUM('Expenditures 15-22'!G53,'Expenditures 15-22'!I53)+'Expenditures 15-22'!D257+'Expenditures 15-22'!K330-SUM('Expenditures 15-22'!G330,'Expenditures 15-22'!I330)</f>
        <v>1094085</v>
      </c>
      <c r="H23" s="988"/>
      <c r="I23" s="162"/>
    </row>
    <row r="24" spans="1:9" s="669" customFormat="1" ht="12" customHeight="1" x14ac:dyDescent="0.2">
      <c r="A24" s="995" t="s">
        <v>587</v>
      </c>
      <c r="B24" s="996"/>
      <c r="C24" s="994">
        <v>2400</v>
      </c>
      <c r="D24" s="1825"/>
      <c r="E24" s="1827">
        <f>'Expenditures 15-22'!K57-SUM('Expenditures 15-22'!G57,'Expenditures 15-22'!I57)+'Expenditures 15-22'!D261</f>
        <v>586625</v>
      </c>
      <c r="F24" s="1825"/>
      <c r="G24" s="1828">
        <f>'Expenditures 15-22'!K57-SUM('Expenditures 15-22'!G57,'Expenditures 15-22'!I57)+'Expenditures 15-22'!D261</f>
        <v>586625</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261030</v>
      </c>
      <c r="E26" s="1827">
        <f>'Expenditures 15-22'!K122-SUM('Expenditures 15-22'!G122,'Expenditures 15-22'!I122)+E7</f>
        <v>0</v>
      </c>
      <c r="F26" s="1827">
        <f>'Expenditures 15-22'!K59-SUM('Expenditures 15-22'!G59,'Expenditures 15-22'!I59)+'Expenditures 15-22'!D263-E7</f>
        <v>261030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165149</v>
      </c>
      <c r="E27" s="1827">
        <f>E8</f>
        <v>0</v>
      </c>
      <c r="F27" s="1827">
        <f>'Expenditures 15-22'!K60-SUM('Expenditures 15-22'!G60,'Expenditures 15-22'!I60)+'Expenditures 15-22'!D264-E8</f>
        <v>165149</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2967523</v>
      </c>
      <c r="F28" s="1829">
        <f>'Expenditures 15-22'!K61-SUM('Expenditures 15-22'!G61,'Expenditures 15-22'!I61)+'Expenditures 15-22'!K124-SUM('Expenditures 15-22'!G124,'Expenditures 15-22'!I124)+'Expenditures 15-22'!D266-E9</f>
        <v>2967523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2128237</v>
      </c>
      <c r="F29" s="1825"/>
      <c r="G29" s="1828">
        <f>'Expenditures 15-22'!K62-SUM('Expenditures 15-22'!G62,'Expenditures 15-22'!I62)+'Expenditures 15-22'!K125-SUM('Expenditures 15-22'!G125,'Expenditures 15-22'!I125)+'Expenditures 15-22'!K182-SUM('Expenditures 15-22'!G182,'Expenditures 15-22'!I182)+'Expenditures 15-22'!D267</f>
        <v>2128237</v>
      </c>
      <c r="H29" s="986"/>
    </row>
    <row r="30" spans="1:9" ht="12" customHeight="1" x14ac:dyDescent="0.2">
      <c r="A30" s="995" t="s">
        <v>102</v>
      </c>
      <c r="B30" s="998"/>
      <c r="C30" s="994">
        <v>2560</v>
      </c>
      <c r="D30" s="1825"/>
      <c r="E30" s="1827">
        <f>'Expenditures 15-22'!K63-SUM('Expenditures 15-22'!G63,'Expenditures 15-22'!I63)+'Expenditures 15-22'!D268-E10</f>
        <v>432356</v>
      </c>
      <c r="F30" s="1825"/>
      <c r="G30" s="1827">
        <f>'Expenditures 15-22'!K63-SUM('Expenditures 15-22'!G63,'Expenditures 15-22'!I63)+'Expenditures 15-22'!D268-E10</f>
        <v>432356</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1060906</v>
      </c>
      <c r="F35" s="1825"/>
      <c r="G35" s="1827">
        <f>'Expenditures 15-22'!K69-SUM('Expenditures 15-22'!G69,'Expenditures 15-22'!I69)+'Expenditures 15-22'!D274</f>
        <v>1060906</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38396</v>
      </c>
      <c r="E37" s="1827">
        <f>E14</f>
        <v>0</v>
      </c>
      <c r="F37" s="1827">
        <f>'Expenditures 15-22'!K71-SUM('Expenditures 15-22'!G71,'Expenditures 15-22'!I71)+'Expenditures 15-22'!D276-E14</f>
        <v>38396</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80595</v>
      </c>
      <c r="F39" s="1825"/>
      <c r="G39" s="1827">
        <f>'Expenditures 15-22'!K75-SUM('Expenditures 15-22'!G75,'Expenditures 15-22'!I75)+'Expenditures 15-22'!K130-SUM('Expenditures 15-22'!G130,'Expenditures 15-22'!I130)+'Expenditures 15-22'!K185-SUM('Expenditures 15-22'!G185,'Expenditures 15-22'!I185)+'Expenditures 15-22'!D280</f>
        <v>80595</v>
      </c>
    </row>
    <row r="40" spans="1:7" ht="12" customHeight="1" x14ac:dyDescent="0.2">
      <c r="A40" s="991" t="s">
        <v>1928</v>
      </c>
      <c r="B40" s="992"/>
      <c r="C40" s="994"/>
      <c r="D40" s="1825"/>
      <c r="E40" s="1829">
        <f>-'Contracts Paid in CY 29'!G141</f>
        <v>-1962646</v>
      </c>
      <c r="F40" s="1825"/>
      <c r="G40" s="1829">
        <f>-'Contracts Paid in CY 29'!G141</f>
        <v>-1962646</v>
      </c>
    </row>
    <row r="41" spans="1:7" ht="12" customHeight="1" x14ac:dyDescent="0.2">
      <c r="A41" s="999" t="s">
        <v>158</v>
      </c>
      <c r="B41" s="1000"/>
      <c r="C41" s="1001"/>
      <c r="D41" s="1829">
        <f>SUM(D19:D39)</f>
        <v>464575</v>
      </c>
      <c r="E41" s="1829">
        <f>SUM(E19:E40)</f>
        <v>21441605</v>
      </c>
      <c r="F41" s="1829">
        <f>SUM(F19:F39)</f>
        <v>3432098</v>
      </c>
      <c r="G41" s="1829">
        <f>SUM(G19:G40)</f>
        <v>18474082</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464575</v>
      </c>
      <c r="F43" s="1830" t="s">
        <v>495</v>
      </c>
      <c r="G43" s="1831">
        <f>F41</f>
        <v>3432098</v>
      </c>
    </row>
    <row r="44" spans="1:7" ht="12" customHeight="1" x14ac:dyDescent="0.2">
      <c r="A44" s="988"/>
      <c r="B44" s="162"/>
      <c r="C44" s="1002"/>
      <c r="D44" s="1830" t="s">
        <v>494</v>
      </c>
      <c r="E44" s="1831">
        <f>E41</f>
        <v>21441605</v>
      </c>
      <c r="F44" s="1830" t="s">
        <v>494</v>
      </c>
      <c r="G44" s="1831">
        <f>G41</f>
        <v>18474082</v>
      </c>
    </row>
    <row r="45" spans="1:7" ht="12" customHeight="1" x14ac:dyDescent="0.2">
      <c r="A45" s="988"/>
      <c r="B45" s="162"/>
      <c r="C45" s="162"/>
      <c r="D45" s="1832" t="s">
        <v>1063</v>
      </c>
      <c r="E45" s="1833">
        <f>(E43/E44)</f>
        <v>2.1666988082282086E-2</v>
      </c>
      <c r="F45" s="1832" t="s">
        <v>1063</v>
      </c>
      <c r="G45" s="1833">
        <f>(G43/G44)</f>
        <v>0.18577908228403447</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Grant CHSD 124</v>
      </c>
      <c r="D6" s="2326"/>
      <c r="E6" s="2326"/>
      <c r="F6" s="1876"/>
    </row>
    <row r="7" spans="1:10" ht="11.25" customHeight="1" thickBot="1" x14ac:dyDescent="0.3">
      <c r="A7" s="1874"/>
      <c r="B7" s="1875"/>
      <c r="C7" s="2327">
        <f>COVER!A13</f>
        <v>34049124016</v>
      </c>
      <c r="D7" s="2327"/>
      <c r="E7" s="232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t="s">
        <v>2075</v>
      </c>
      <c r="D19" s="1889" t="s">
        <v>2075</v>
      </c>
      <c r="E19" s="1892"/>
      <c r="F19" s="1891" t="s">
        <v>2094</v>
      </c>
      <c r="H19" s="1902">
        <f t="shared" si="0"/>
        <v>5</v>
      </c>
      <c r="I19" s="1902">
        <f t="shared" si="1"/>
        <v>5</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2075</v>
      </c>
      <c r="D26" s="1889" t="s">
        <v>2075</v>
      </c>
      <c r="E26" s="1892"/>
      <c r="F26" s="1891" t="s">
        <v>2095</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c r="D31" s="1889"/>
      <c r="E31" s="1892"/>
      <c r="F31" s="1891"/>
      <c r="H31" s="1902">
        <f t="shared" si="0"/>
        <v>0</v>
      </c>
      <c r="I31" s="1902">
        <f t="shared" si="1"/>
        <v>0</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c r="B41" s="2320"/>
      <c r="C41" s="2320"/>
      <c r="D41" s="2320"/>
      <c r="E41" s="2320"/>
      <c r="F41" s="2321"/>
      <c r="H41" s="1903"/>
      <c r="I41" s="1903"/>
      <c r="J41" s="1903"/>
      <c r="K41" s="1903"/>
    </row>
    <row r="42" spans="1:11" s="1894" customFormat="1" ht="12" customHeight="1" x14ac:dyDescent="0.25">
      <c r="A42" s="2319"/>
      <c r="B42" s="2320"/>
      <c r="C42" s="2320"/>
      <c r="D42" s="2320"/>
      <c r="E42" s="2320"/>
      <c r="F42" s="2321"/>
      <c r="H42" s="1903"/>
      <c r="I42" s="1903"/>
      <c r="J42" s="1903"/>
      <c r="K42" s="1903"/>
    </row>
    <row r="43" spans="1:11" s="1894" customFormat="1" ht="15" x14ac:dyDescent="0.25">
      <c r="A43" s="2308"/>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6" sqref="H16"/>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Grant CHSD 124</v>
      </c>
      <c r="J6" s="2336"/>
      <c r="Q6" s="1686"/>
    </row>
    <row r="7" spans="1:17" x14ac:dyDescent="0.2">
      <c r="A7" s="2337" t="s">
        <v>924</v>
      </c>
      <c r="B7" s="2338"/>
      <c r="C7" s="2338"/>
      <c r="D7" s="2338"/>
      <c r="E7" s="2339"/>
      <c r="F7" s="1018"/>
      <c r="G7" s="1010"/>
      <c r="H7" s="1017" t="s">
        <v>390</v>
      </c>
      <c r="I7" s="2340">
        <f>COVER!A13</f>
        <v>34049124016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321798</v>
      </c>
      <c r="F12" s="1040"/>
      <c r="G12" s="1834">
        <f t="shared" ref="G12:G18" si="0">SUM(E12:F12)</f>
        <v>321798</v>
      </c>
      <c r="H12" s="1041">
        <v>345241</v>
      </c>
      <c r="I12" s="1040"/>
      <c r="J12" s="1834">
        <f t="shared" ref="J12:J18" si="1">SUM(H12:I12)</f>
        <v>345241</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259989</v>
      </c>
      <c r="F15" s="1834">
        <f>'Expenditures 15-22'!K122</f>
        <v>0</v>
      </c>
      <c r="G15" s="1834">
        <f t="shared" si="0"/>
        <v>259989</v>
      </c>
      <c r="H15" s="1041">
        <v>217933</v>
      </c>
      <c r="I15" s="1041"/>
      <c r="J15" s="1834">
        <f t="shared" si="1"/>
        <v>217933</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581787</v>
      </c>
      <c r="F19" s="1836">
        <f t="shared" si="2"/>
        <v>0</v>
      </c>
      <c r="G19" s="1836">
        <f t="shared" si="2"/>
        <v>581787</v>
      </c>
      <c r="H19" s="1836">
        <f t="shared" si="2"/>
        <v>563174</v>
      </c>
      <c r="I19" s="1836">
        <f t="shared" si="2"/>
        <v>0</v>
      </c>
      <c r="J19" s="1836">
        <f t="shared" si="2"/>
        <v>563174</v>
      </c>
    </row>
    <row r="20" spans="1:10" ht="13.5" thickTop="1" x14ac:dyDescent="0.2">
      <c r="A20" s="1036">
        <v>9</v>
      </c>
      <c r="B20" s="2347" t="s">
        <v>1703</v>
      </c>
      <c r="C20" s="2347"/>
      <c r="D20" s="2348"/>
      <c r="E20" s="1047"/>
      <c r="F20" s="1047"/>
      <c r="G20" s="1047"/>
      <c r="H20" s="1047"/>
      <c r="I20" s="1047"/>
      <c r="J20" s="1837">
        <f>IF(AND(G19&gt;0,J19&gt;0),(((J19-G19)/G19)),"Enter Budget Data")</f>
        <v>-3.1992808364573286E-2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1942</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40" sqref="B40"/>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1955" t="s">
        <v>2158</v>
      </c>
    </row>
    <row r="6" spans="1:2" x14ac:dyDescent="0.2">
      <c r="A6" s="1069"/>
      <c r="B6" s="329" t="s">
        <v>2159</v>
      </c>
    </row>
    <row r="7" spans="1:2" x14ac:dyDescent="0.2">
      <c r="A7" s="1069"/>
    </row>
    <row r="8" spans="1:2" x14ac:dyDescent="0.2">
      <c r="A8" s="1069"/>
      <c r="B8" s="329" t="s">
        <v>2160</v>
      </c>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v>2</v>
      </c>
      <c r="B15" s="1955" t="s">
        <v>6</v>
      </c>
    </row>
    <row r="16" spans="1:2" x14ac:dyDescent="0.2">
      <c r="A16" s="1069"/>
      <c r="B16" s="329" t="s">
        <v>2161</v>
      </c>
    </row>
    <row r="17" spans="1:2" x14ac:dyDescent="0.2">
      <c r="A17" s="1069"/>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v>3</v>
      </c>
      <c r="B25" s="1955" t="s">
        <v>2162</v>
      </c>
    </row>
    <row r="26" spans="1:2" x14ac:dyDescent="0.2">
      <c r="A26" s="1069"/>
      <c r="B26" s="329" t="s">
        <v>2163</v>
      </c>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2" x14ac:dyDescent="0.2">
      <c r="A33" s="1069"/>
    </row>
    <row r="34" spans="1:2" x14ac:dyDescent="0.2">
      <c r="A34" s="1069"/>
    </row>
    <row r="35" spans="1:2" x14ac:dyDescent="0.2">
      <c r="A35" s="1069"/>
    </row>
    <row r="36" spans="1:2" x14ac:dyDescent="0.2">
      <c r="A36" s="1069"/>
    </row>
    <row r="37" spans="1:2" x14ac:dyDescent="0.2">
      <c r="A37" s="1069">
        <v>4</v>
      </c>
      <c r="B37" s="1955" t="s">
        <v>2164</v>
      </c>
    </row>
    <row r="38" spans="1:2" x14ac:dyDescent="0.2">
      <c r="A38" s="1070"/>
      <c r="B38" s="329" t="s">
        <v>2165</v>
      </c>
    </row>
    <row r="39" spans="1:2" x14ac:dyDescent="0.2">
      <c r="A39" s="1070"/>
    </row>
    <row r="40" spans="1:2" x14ac:dyDescent="0.2">
      <c r="A40" s="1070"/>
    </row>
    <row r="41" spans="1:2" x14ac:dyDescent="0.2">
      <c r="A41" s="1070"/>
    </row>
    <row r="42" spans="1:2" x14ac:dyDescent="0.2">
      <c r="A42" s="1070"/>
    </row>
    <row r="43" spans="1:2" x14ac:dyDescent="0.2">
      <c r="A43" s="1070"/>
    </row>
    <row r="44" spans="1:2" x14ac:dyDescent="0.2">
      <c r="A44" s="1070"/>
    </row>
    <row r="45" spans="1:2" x14ac:dyDescent="0.2">
      <c r="A45" s="1070"/>
    </row>
    <row r="46" spans="1:2" x14ac:dyDescent="0.2">
      <c r="A46" s="1070"/>
    </row>
    <row r="47" spans="1:2" x14ac:dyDescent="0.2">
      <c r="A47" s="1070"/>
    </row>
    <row r="48" spans="1:2"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Grant CHSD 124</v>
      </c>
    </row>
    <row r="65" spans="2:2" x14ac:dyDescent="0.2">
      <c r="B65" s="1071">
        <f>COVER!A13</f>
        <v>34049124016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1969</v>
      </c>
      <c r="C4" s="162" t="s">
        <v>1231</v>
      </c>
      <c r="D4" s="169" t="s">
        <v>10</v>
      </c>
      <c r="E4" s="170" t="s">
        <v>22</v>
      </c>
    </row>
    <row r="5" spans="1:5" x14ac:dyDescent="0.2">
      <c r="A5" s="168" t="s">
        <v>1971</v>
      </c>
      <c r="C5" s="162" t="s">
        <v>1231</v>
      </c>
      <c r="D5" s="169" t="s">
        <v>10</v>
      </c>
      <c r="E5" s="170" t="s">
        <v>22</v>
      </c>
    </row>
    <row r="6" spans="1:5" x14ac:dyDescent="0.2">
      <c r="A6" s="168" t="s">
        <v>1970</v>
      </c>
      <c r="C6" s="162" t="s">
        <v>1231</v>
      </c>
      <c r="D6" s="167" t="s">
        <v>11</v>
      </c>
      <c r="E6" s="170" t="s">
        <v>998</v>
      </c>
    </row>
    <row r="7" spans="1:5" x14ac:dyDescent="0.2">
      <c r="A7" s="168" t="s">
        <v>1972</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1973</v>
      </c>
      <c r="C11" s="162" t="s">
        <v>1231</v>
      </c>
      <c r="D11" s="169" t="s">
        <v>14</v>
      </c>
      <c r="E11" s="170" t="s">
        <v>1218</v>
      </c>
    </row>
    <row r="12" spans="1:5" x14ac:dyDescent="0.2">
      <c r="B12" s="169" t="s">
        <v>1974</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1975</v>
      </c>
      <c r="C15" s="162" t="s">
        <v>1231</v>
      </c>
      <c r="D15" s="169" t="s">
        <v>17</v>
      </c>
      <c r="E15" s="170" t="s">
        <v>657</v>
      </c>
    </row>
    <row r="16" spans="1:5" x14ac:dyDescent="0.2">
      <c r="A16" s="172"/>
      <c r="B16" s="162" t="s">
        <v>1976</v>
      </c>
      <c r="C16" s="162" t="s">
        <v>1231</v>
      </c>
      <c r="D16" s="169" t="s">
        <v>702</v>
      </c>
      <c r="E16" s="170" t="s">
        <v>1100</v>
      </c>
    </row>
    <row r="17" spans="1:5" x14ac:dyDescent="0.2">
      <c r="B17" s="167" t="s">
        <v>1045</v>
      </c>
      <c r="C17" s="162" t="s">
        <v>1231</v>
      </c>
    </row>
    <row r="18" spans="1:5" x14ac:dyDescent="0.2">
      <c r="B18" s="167" t="s">
        <v>1982</v>
      </c>
      <c r="D18" s="169" t="s">
        <v>18</v>
      </c>
      <c r="E18" s="170" t="s">
        <v>1101</v>
      </c>
    </row>
    <row r="19" spans="1:5" x14ac:dyDescent="0.2">
      <c r="A19" s="168" t="s">
        <v>1161</v>
      </c>
      <c r="C19" s="162" t="s">
        <v>1231</v>
      </c>
      <c r="D19" s="169"/>
      <c r="E19" s="171"/>
    </row>
    <row r="20" spans="1:5" x14ac:dyDescent="0.2">
      <c r="B20" s="167" t="s">
        <v>1977</v>
      </c>
      <c r="C20" s="162" t="s">
        <v>1231</v>
      </c>
      <c r="D20" s="169" t="s">
        <v>19</v>
      </c>
      <c r="E20" s="170" t="s">
        <v>53</v>
      </c>
    </row>
    <row r="21" spans="1:5" x14ac:dyDescent="0.2">
      <c r="B21" s="167" t="s">
        <v>1978</v>
      </c>
      <c r="C21" s="162" t="s">
        <v>1231</v>
      </c>
      <c r="D21" s="169" t="s">
        <v>20</v>
      </c>
      <c r="E21" s="170" t="s">
        <v>1708</v>
      </c>
    </row>
    <row r="22" spans="1:5" x14ac:dyDescent="0.2">
      <c r="A22" s="168"/>
      <c r="B22" s="162" t="s">
        <v>1966</v>
      </c>
      <c r="C22" s="162" t="s">
        <v>1231</v>
      </c>
      <c r="D22" s="167" t="s">
        <v>1968</v>
      </c>
      <c r="E22" s="1859" t="s">
        <v>1709</v>
      </c>
    </row>
    <row r="23" spans="1:5" x14ac:dyDescent="0.2">
      <c r="A23" s="168"/>
      <c r="B23" s="162" t="s">
        <v>1967</v>
      </c>
      <c r="D23" s="167" t="s">
        <v>658</v>
      </c>
      <c r="E23" s="1859" t="s">
        <v>1016</v>
      </c>
    </row>
    <row r="24" spans="1:5" x14ac:dyDescent="0.2">
      <c r="A24" s="168" t="s">
        <v>1707</v>
      </c>
      <c r="C24" s="162" t="s">
        <v>1231</v>
      </c>
      <c r="D24" s="167" t="s">
        <v>1460</v>
      </c>
      <c r="E24" s="170" t="s">
        <v>1017</v>
      </c>
    </row>
    <row r="25" spans="1:5" x14ac:dyDescent="0.2">
      <c r="A25" s="168" t="s">
        <v>1979</v>
      </c>
      <c r="C25" s="162" t="s">
        <v>1231</v>
      </c>
      <c r="D25" s="169" t="s">
        <v>21</v>
      </c>
      <c r="E25" s="170" t="s">
        <v>1102</v>
      </c>
    </row>
    <row r="26" spans="1:5" x14ac:dyDescent="0.2">
      <c r="A26" s="168" t="s">
        <v>1980</v>
      </c>
      <c r="C26" s="162" t="s">
        <v>1231</v>
      </c>
      <c r="D26" s="169" t="s">
        <v>584</v>
      </c>
      <c r="E26" s="170" t="s">
        <v>1103</v>
      </c>
    </row>
    <row r="27" spans="1:5" x14ac:dyDescent="0.2">
      <c r="A27" s="168" t="s">
        <v>1981</v>
      </c>
      <c r="C27" s="162" t="s">
        <v>1231</v>
      </c>
      <c r="D27" s="169" t="s">
        <v>578</v>
      </c>
      <c r="E27" s="170" t="s">
        <v>704</v>
      </c>
    </row>
    <row r="28" spans="1:5" x14ac:dyDescent="0.2">
      <c r="A28" s="168" t="s">
        <v>1983</v>
      </c>
      <c r="D28" s="169" t="s">
        <v>705</v>
      </c>
      <c r="E28" s="170" t="s">
        <v>1433</v>
      </c>
    </row>
    <row r="29" spans="1:5" x14ac:dyDescent="0.2">
      <c r="A29" s="168" t="s">
        <v>1984</v>
      </c>
      <c r="D29" s="169" t="s">
        <v>1461</v>
      </c>
      <c r="E29" s="170" t="s">
        <v>1442</v>
      </c>
    </row>
    <row r="30" spans="1:5" x14ac:dyDescent="0.2">
      <c r="A30" s="173" t="s">
        <v>1985</v>
      </c>
      <c r="C30" s="162" t="s">
        <v>1231</v>
      </c>
      <c r="D30" s="169" t="s">
        <v>42</v>
      </c>
      <c r="E30" s="170" t="s">
        <v>1039</v>
      </c>
    </row>
    <row r="31" spans="1:5" x14ac:dyDescent="0.2">
      <c r="A31" s="168" t="s">
        <v>1602</v>
      </c>
      <c r="C31" s="162" t="s">
        <v>1231</v>
      </c>
      <c r="D31" s="167"/>
      <c r="E31" s="171"/>
    </row>
    <row r="32" spans="1:5" x14ac:dyDescent="0.2">
      <c r="B32" s="167" t="s">
        <v>1986</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2016</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1872</v>
      </c>
    </row>
    <row r="52" spans="1:3" x14ac:dyDescent="0.2">
      <c r="A52" s="190"/>
      <c r="B52" s="188" t="s">
        <v>1892</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1873</v>
      </c>
    </row>
    <row r="57" spans="1:3" x14ac:dyDescent="0.2">
      <c r="A57" s="193"/>
      <c r="B57" s="190" t="s">
        <v>1875</v>
      </c>
    </row>
    <row r="58" spans="1:3" x14ac:dyDescent="0.2">
      <c r="A58" s="194"/>
      <c r="B58" s="190" t="s">
        <v>1876</v>
      </c>
    </row>
    <row r="59" spans="1:3" x14ac:dyDescent="0.2">
      <c r="A59" s="195"/>
      <c r="B59" s="1507" t="s">
        <v>1877</v>
      </c>
    </row>
    <row r="60" spans="1:3" x14ac:dyDescent="0.2">
      <c r="A60" s="196"/>
      <c r="B60" s="1507" t="s">
        <v>1878</v>
      </c>
    </row>
    <row r="61" spans="1:3" ht="6" customHeight="1" x14ac:dyDescent="0.2">
      <c r="A61" s="197"/>
      <c r="B61" s="189"/>
    </row>
    <row r="62" spans="1:3" x14ac:dyDescent="0.2">
      <c r="A62" s="169" t="s">
        <v>1714</v>
      </c>
      <c r="B62" s="198" t="s">
        <v>1874</v>
      </c>
    </row>
    <row r="63" spans="1:3" x14ac:dyDescent="0.2">
      <c r="A63" s="188"/>
      <c r="B63" s="169" t="s">
        <v>1889</v>
      </c>
    </row>
    <row r="64" spans="1:3" x14ac:dyDescent="0.2">
      <c r="A64" s="195"/>
      <c r="B64" s="1509" t="s">
        <v>1879</v>
      </c>
    </row>
    <row r="65" spans="1:9" x14ac:dyDescent="0.2">
      <c r="A65" s="188"/>
      <c r="B65" s="169" t="s">
        <v>1890</v>
      </c>
    </row>
    <row r="66" spans="1:9" x14ac:dyDescent="0.2">
      <c r="A66" s="190"/>
      <c r="B66" s="190" t="s">
        <v>1880</v>
      </c>
    </row>
    <row r="67" spans="1:9" ht="12" customHeight="1" x14ac:dyDescent="0.2">
      <c r="A67" s="188"/>
      <c r="B67" s="169" t="s">
        <v>1891</v>
      </c>
    </row>
    <row r="68" spans="1:9" x14ac:dyDescent="0.2">
      <c r="A68" s="189"/>
      <c r="B68" s="190" t="s">
        <v>1881</v>
      </c>
    </row>
    <row r="69" spans="1:9" x14ac:dyDescent="0.2">
      <c r="A69" s="190"/>
      <c r="B69" s="188" t="s">
        <v>1882</v>
      </c>
    </row>
    <row r="70" spans="1:9" ht="13.5" customHeight="1" x14ac:dyDescent="0.2">
      <c r="A70" s="190"/>
      <c r="B70" s="188" t="s">
        <v>1883</v>
      </c>
    </row>
    <row r="71" spans="1:9" ht="12" customHeight="1" x14ac:dyDescent="0.2">
      <c r="A71" s="192"/>
      <c r="B71" s="1508" t="s">
        <v>1717</v>
      </c>
    </row>
    <row r="72" spans="1:9" ht="9" customHeight="1" x14ac:dyDescent="0.2">
      <c r="A72" s="192"/>
      <c r="B72" s="199"/>
    </row>
    <row r="73" spans="1:9" x14ac:dyDescent="0.2">
      <c r="A73" s="189" t="s">
        <v>1718</v>
      </c>
      <c r="B73" s="169" t="s">
        <v>1885</v>
      </c>
    </row>
    <row r="74" spans="1:9" x14ac:dyDescent="0.2">
      <c r="A74" s="189"/>
      <c r="B74" s="169" t="s">
        <v>1884</v>
      </c>
    </row>
    <row r="75" spans="1:9" ht="8.25" customHeight="1" x14ac:dyDescent="0.2">
      <c r="A75" s="189"/>
      <c r="B75" s="189"/>
    </row>
    <row r="76" spans="1:9" ht="12.2" customHeight="1" x14ac:dyDescent="0.2">
      <c r="A76" s="189" t="s">
        <v>1719</v>
      </c>
      <c r="B76" s="198" t="s">
        <v>1886</v>
      </c>
    </row>
    <row r="77" spans="1:9" ht="12.2" customHeight="1" x14ac:dyDescent="0.2">
      <c r="A77" s="190"/>
      <c r="B77" s="169" t="s">
        <v>1720</v>
      </c>
      <c r="C77" s="179"/>
      <c r="D77" s="180"/>
      <c r="E77" s="181"/>
      <c r="F77" s="181"/>
      <c r="G77" s="181"/>
      <c r="H77" s="181"/>
      <c r="I77" s="181"/>
    </row>
    <row r="78" spans="1:9" ht="11.25" customHeight="1" x14ac:dyDescent="0.2">
      <c r="A78" s="190"/>
      <c r="B78" s="190" t="s">
        <v>1888</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1887</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2066925</xdr:colOff>
                <xdr:row>5</xdr:row>
                <xdr:rowOff>76200</xdr:rowOff>
              </from>
              <to>
                <xdr:col>1</xdr:col>
                <xdr:colOff>2924175</xdr:colOff>
                <xdr:row>8</xdr:row>
                <xdr:rowOff>104775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21035271</v>
      </c>
      <c r="C8" s="1838">
        <f>'Acct Summary 7-8'!D8</f>
        <v>5190874</v>
      </c>
      <c r="D8" s="1838">
        <f>'Acct Summary 7-8'!F8</f>
        <v>1708466</v>
      </c>
      <c r="E8" s="1838">
        <f>'Acct Summary 7-8'!I8</f>
        <v>416506</v>
      </c>
      <c r="F8" s="1838">
        <f>SUM(B8:E8)</f>
        <v>28351117</v>
      </c>
    </row>
    <row r="9" spans="1:8" s="1080" customFormat="1" ht="14.25" customHeight="1" thickBot="1" x14ac:dyDescent="0.25">
      <c r="A9" s="1079" t="s">
        <v>1436</v>
      </c>
      <c r="B9" s="1839">
        <f>'Acct Summary 7-8'!C17</f>
        <v>21540978</v>
      </c>
      <c r="C9" s="1839">
        <f>'Acct Summary 7-8'!D17</f>
        <v>5241593</v>
      </c>
      <c r="D9" s="1839">
        <f>'Acct Summary 7-8'!F17</f>
        <v>2038429</v>
      </c>
      <c r="E9" s="1838"/>
      <c r="F9" s="1838">
        <f>SUM(B9:E9)</f>
        <v>28821000</v>
      </c>
    </row>
    <row r="10" spans="1:8" s="1080" customFormat="1" ht="14.25" thickTop="1" thickBot="1" x14ac:dyDescent="0.25">
      <c r="A10" s="1081" t="s">
        <v>1437</v>
      </c>
      <c r="B10" s="1840">
        <f>(B8-B9)</f>
        <v>-505707</v>
      </c>
      <c r="C10" s="1840">
        <f>(C8-C9)</f>
        <v>-50719</v>
      </c>
      <c r="D10" s="1840">
        <f>(D8-D9)</f>
        <v>-329963</v>
      </c>
      <c r="E10" s="1839">
        <f>(E8-E9)</f>
        <v>416506</v>
      </c>
      <c r="F10" s="1841">
        <f>SUM(F8-F9)</f>
        <v>-469883</v>
      </c>
    </row>
    <row r="11" spans="1:8" s="1080" customFormat="1" ht="14.25" thickTop="1" thickBot="1" x14ac:dyDescent="0.25">
      <c r="A11" s="1082" t="s">
        <v>1785</v>
      </c>
      <c r="B11" s="1842">
        <f>'Acct Summary 7-8'!C81</f>
        <v>30832936</v>
      </c>
      <c r="C11" s="1842">
        <f>'Acct Summary 7-8'!D81</f>
        <v>2553051</v>
      </c>
      <c r="D11" s="1842">
        <f>'Acct Summary 7-8'!F81</f>
        <v>2523131</v>
      </c>
      <c r="E11" s="1842">
        <f>'Acct Summary 7-8'!I81</f>
        <v>3135409</v>
      </c>
      <c r="F11" s="1843">
        <f>SUM(B11:E11)</f>
        <v>39044527</v>
      </c>
    </row>
    <row r="12" spans="1:8" ht="16.5" customHeight="1" thickTop="1" x14ac:dyDescent="0.2">
      <c r="A12" s="1083"/>
      <c r="B12" s="1084"/>
      <c r="C12" s="2359" t="str">
        <f>IF(AND(F10&lt;0,F11&gt;=0,ABS(F10*3)&gt;ABS(F11)),A16,IF(AND(F10&lt;0,F11&gt;0,ABS(F10*3)&lt;=ABS(F11)),A17,IF(AND(F10&lt;0,F11&lt;0),A16,IF(F11=0,A19,A18))))</f>
        <v>Unbalanced -  however, a deficit reduction plan is not required at this time.</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A44" sqref="A4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1944</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2017</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34049124016</v>
      </c>
    </row>
    <row r="3" spans="1:2" x14ac:dyDescent="0.2">
      <c r="A3" t="s">
        <v>1013</v>
      </c>
      <c r="B3" s="138" t="str">
        <f>COVER!A15</f>
        <v>LAKE</v>
      </c>
    </row>
    <row r="4" spans="1:2" x14ac:dyDescent="0.2">
      <c r="A4" t="s">
        <v>1064</v>
      </c>
      <c r="B4" s="138" t="str">
        <f>COVER!A17</f>
        <v>Grant CHSD 124</v>
      </c>
    </row>
    <row r="5" spans="1:2" x14ac:dyDescent="0.2">
      <c r="A5" t="s">
        <v>728</v>
      </c>
      <c r="B5" s="138" t="str">
        <f>COVER!A38</f>
        <v>Dr. Christine Sefcik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John D. Aceto, Jr., CPA</v>
      </c>
    </row>
    <row r="18" spans="1:2" x14ac:dyDescent="0.2">
      <c r="A18" t="s">
        <v>1212</v>
      </c>
      <c r="B18" s="138" t="str">
        <f>COVER!T17</f>
        <v>2122 Yeoman Street</v>
      </c>
    </row>
    <row r="19" spans="1:2" x14ac:dyDescent="0.2">
      <c r="A19" t="s">
        <v>941</v>
      </c>
      <c r="B19" s="138" t="str">
        <f>COVER!T25</f>
        <v>jaceto@ekjllp.com</v>
      </c>
    </row>
    <row r="20" spans="1:2" x14ac:dyDescent="0.2">
      <c r="A20" t="s">
        <v>942</v>
      </c>
      <c r="B20" s="138" t="str">
        <f>COVER!T19</f>
        <v>Waukegan</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33604</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30832936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30832936</v>
      </c>
      <c r="D92" s="2" t="str">
        <f t="shared" si="0"/>
        <v>Error?</v>
      </c>
    </row>
    <row r="93" spans="1:4" x14ac:dyDescent="0.2">
      <c r="A93" s="5">
        <v>32</v>
      </c>
      <c r="B93" s="138">
        <f>'Assets-Liab 5-6'!C41</f>
        <v>30832936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2553051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2553051</v>
      </c>
      <c r="D123" s="2" t="str">
        <f t="shared" si="0"/>
        <v>Error?</v>
      </c>
    </row>
    <row r="124" spans="1:4" x14ac:dyDescent="0.2">
      <c r="A124" s="5">
        <v>63</v>
      </c>
      <c r="B124" s="138">
        <f>'Assets-Liab 5-6'!D41</f>
        <v>2553051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261084</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261084</v>
      </c>
      <c r="D140" s="2" t="str">
        <f t="shared" si="1"/>
        <v>Error?</v>
      </c>
    </row>
    <row r="141" spans="1:4" x14ac:dyDescent="0.2">
      <c r="A141" s="5">
        <v>80</v>
      </c>
      <c r="B141" s="138">
        <f>'Assets-Liab 5-6'!E41</f>
        <v>261084</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2523131</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2523131</v>
      </c>
      <c r="D170" s="2" t="str">
        <f t="shared" si="1"/>
        <v>Error?</v>
      </c>
    </row>
    <row r="171" spans="1:4" x14ac:dyDescent="0.2">
      <c r="A171" s="5">
        <v>110</v>
      </c>
      <c r="B171" s="138">
        <f>'Assets-Liab 5-6'!F41</f>
        <v>2523131</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904693</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904693</v>
      </c>
      <c r="D189" s="2" t="str">
        <f t="shared" si="1"/>
        <v>Error?</v>
      </c>
    </row>
    <row r="190" spans="1:4" x14ac:dyDescent="0.2">
      <c r="A190" s="5">
        <v>129</v>
      </c>
      <c r="B190" s="138">
        <f>'Assets-Liab 5-6'!G41</f>
        <v>904693</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432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432</v>
      </c>
      <c r="D212" s="2" t="str">
        <f t="shared" si="2"/>
        <v>Error?</v>
      </c>
    </row>
    <row r="213" spans="1:4" x14ac:dyDescent="0.2">
      <c r="A213" s="12">
        <v>152</v>
      </c>
      <c r="B213" s="138">
        <f>'Assets-Liab 5-6'!H41</f>
        <v>432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4190703</v>
      </c>
      <c r="D273" s="2" t="str">
        <f t="shared" si="3"/>
        <v>Error?</v>
      </c>
    </row>
    <row r="274" spans="1:4" x14ac:dyDescent="0.2">
      <c r="A274" s="5">
        <v>213</v>
      </c>
      <c r="B274" s="138">
        <f>'Assets-Liab 5-6'!M17</f>
        <v>73646034</v>
      </c>
      <c r="D274" s="2" t="str">
        <f t="shared" si="3"/>
        <v>Error?</v>
      </c>
    </row>
    <row r="275" spans="1:4" x14ac:dyDescent="0.2">
      <c r="A275" s="5">
        <v>214</v>
      </c>
      <c r="B275" s="138">
        <f>'Assets-Liab 5-6'!M18</f>
        <v>6497234</v>
      </c>
      <c r="D275" s="2" t="str">
        <f t="shared" si="3"/>
        <v>Error?</v>
      </c>
    </row>
    <row r="276" spans="1:4" x14ac:dyDescent="0.2">
      <c r="A276" s="5">
        <v>215</v>
      </c>
      <c r="B276" s="138">
        <f>'Assets-Liab 5-6'!M19</f>
        <v>9300250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93634221</v>
      </c>
      <c r="C279" s="2" t="s">
        <v>594</v>
      </c>
      <c r="D279" s="2" t="str">
        <f t="shared" si="3"/>
        <v>Error?</v>
      </c>
    </row>
    <row r="280" spans="1:4" x14ac:dyDescent="0.2">
      <c r="A280" s="5">
        <v>219</v>
      </c>
      <c r="B280" s="138">
        <f>'Assets-Liab 5-6'!M40</f>
        <v>93634221</v>
      </c>
      <c r="D280" s="2" t="str">
        <f t="shared" si="3"/>
        <v>Error?</v>
      </c>
    </row>
    <row r="281" spans="1:4" x14ac:dyDescent="0.2">
      <c r="A281" s="5">
        <v>220</v>
      </c>
      <c r="B281" s="138">
        <f>'Assets-Liab 5-6'!M41</f>
        <v>93634221</v>
      </c>
      <c r="C281" s="2" t="s">
        <v>594</v>
      </c>
      <c r="D281" s="2" t="str">
        <f t="shared" si="3"/>
        <v>Error?</v>
      </c>
    </row>
    <row r="282" spans="1:4" x14ac:dyDescent="0.2">
      <c r="A282" s="5">
        <v>221</v>
      </c>
      <c r="B282" s="138">
        <f>'Assets-Liab 5-6'!N21</f>
        <v>261084</v>
      </c>
      <c r="D282" s="2" t="str">
        <f t="shared" si="3"/>
        <v>Error?</v>
      </c>
    </row>
    <row r="283" spans="1:4" x14ac:dyDescent="0.2">
      <c r="A283" s="5">
        <v>222</v>
      </c>
      <c r="B283" s="138">
        <f>'Assets-Liab 5-6'!N22</f>
        <v>-261084</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6003716</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514969</v>
      </c>
      <c r="D717" s="2" t="str">
        <f t="shared" si="10"/>
        <v>Error?</v>
      </c>
    </row>
    <row r="718" spans="1:4" x14ac:dyDescent="0.2">
      <c r="A718" s="5">
        <v>657</v>
      </c>
      <c r="B718" s="138">
        <f>'Expenditures 15-22'!C14</f>
        <v>1076198</v>
      </c>
      <c r="D718" s="2" t="str">
        <f t="shared" si="10"/>
        <v>Error?</v>
      </c>
    </row>
    <row r="719" spans="1:4" x14ac:dyDescent="0.2">
      <c r="A719" s="5">
        <v>658</v>
      </c>
      <c r="B719" s="138">
        <f>'Expenditures 15-22'!C15</f>
        <v>71177</v>
      </c>
      <c r="D719" s="2" t="str">
        <f t="shared" si="10"/>
        <v>Error?</v>
      </c>
    </row>
    <row r="720" spans="1:4" x14ac:dyDescent="0.2">
      <c r="A720" s="5">
        <v>659</v>
      </c>
      <c r="B720" s="138">
        <f>'Expenditures 15-22'!C33</f>
        <v>8905025</v>
      </c>
      <c r="C720" s="2" t="s">
        <v>594</v>
      </c>
      <c r="D720" s="2" t="str">
        <f t="shared" si="10"/>
        <v>Error?</v>
      </c>
    </row>
    <row r="721" spans="1:4" x14ac:dyDescent="0.2">
      <c r="A721" s="5">
        <v>660</v>
      </c>
      <c r="B721" s="138">
        <f>'Expenditures 15-22'!C36</f>
        <v>254929</v>
      </c>
      <c r="D721" s="2" t="str">
        <f t="shared" si="10"/>
        <v>Error?</v>
      </c>
    </row>
    <row r="722" spans="1:4" x14ac:dyDescent="0.2">
      <c r="A722" s="5">
        <v>661</v>
      </c>
      <c r="B722" s="138">
        <f>'Expenditures 15-22'!C37</f>
        <v>826255</v>
      </c>
      <c r="D722" s="2" t="str">
        <f t="shared" si="10"/>
        <v>Error?</v>
      </c>
    </row>
    <row r="723" spans="1:4" x14ac:dyDescent="0.2">
      <c r="A723" s="5">
        <v>662</v>
      </c>
      <c r="B723" s="138">
        <f>'Expenditures 15-22'!C38</f>
        <v>73141</v>
      </c>
      <c r="D723" s="2" t="str">
        <f t="shared" si="10"/>
        <v>Error?</v>
      </c>
    </row>
    <row r="724" spans="1:4" x14ac:dyDescent="0.2">
      <c r="A724" s="5">
        <v>663</v>
      </c>
      <c r="B724" s="138">
        <f>'Expenditures 15-22'!C39</f>
        <v>182536</v>
      </c>
      <c r="D724" s="2" t="str">
        <f t="shared" si="10"/>
        <v>Error?</v>
      </c>
    </row>
    <row r="725" spans="1:4" x14ac:dyDescent="0.2">
      <c r="A725" s="5">
        <v>664</v>
      </c>
      <c r="B725" s="138">
        <f>'Expenditures 15-22'!C40</f>
        <v>16103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1352964</v>
      </c>
      <c r="C727" s="2" t="s">
        <v>594</v>
      </c>
      <c r="D727" s="2" t="str">
        <f t="shared" si="10"/>
        <v>Error?</v>
      </c>
    </row>
    <row r="728" spans="1:4" x14ac:dyDescent="0.2">
      <c r="A728" s="5">
        <v>667</v>
      </c>
      <c r="B728" s="138">
        <f>'Expenditures 15-22'!C44</f>
        <v>840268</v>
      </c>
      <c r="D728" s="2" t="str">
        <f t="shared" si="10"/>
        <v>Error?</v>
      </c>
    </row>
    <row r="729" spans="1:4" x14ac:dyDescent="0.2">
      <c r="A729" s="5">
        <v>668</v>
      </c>
      <c r="B729" s="138">
        <f>'Expenditures 15-22'!C45</f>
        <v>152624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992892</v>
      </c>
      <c r="C731" s="2" t="s">
        <v>594</v>
      </c>
      <c r="D731" s="2" t="str">
        <f t="shared" si="10"/>
        <v>Error?</v>
      </c>
    </row>
    <row r="732" spans="1:4" x14ac:dyDescent="0.2">
      <c r="A732" s="5">
        <v>671</v>
      </c>
      <c r="B732" s="138">
        <f>'Expenditures 15-22'!C49</f>
        <v>9399</v>
      </c>
      <c r="D732" s="2" t="str">
        <f t="shared" si="10"/>
        <v>Error?</v>
      </c>
    </row>
    <row r="733" spans="1:4" x14ac:dyDescent="0.2">
      <c r="A733" s="5">
        <v>672</v>
      </c>
      <c r="B733" s="138">
        <f>'Expenditures 15-22'!C50</f>
        <v>277644</v>
      </c>
      <c r="D733" s="2" t="str">
        <f t="shared" si="10"/>
        <v>Error?</v>
      </c>
    </row>
    <row r="734" spans="1:4" x14ac:dyDescent="0.2">
      <c r="A734" s="5">
        <v>673</v>
      </c>
      <c r="B734" s="138">
        <f>'Expenditures 15-22'!C53</f>
        <v>287043</v>
      </c>
      <c r="C734" s="2" t="s">
        <v>594</v>
      </c>
      <c r="D734" s="2" t="str">
        <f t="shared" si="10"/>
        <v>Error?</v>
      </c>
    </row>
    <row r="735" spans="1:4" x14ac:dyDescent="0.2">
      <c r="A735" s="5">
        <v>674</v>
      </c>
      <c r="B735" s="138">
        <f>'Expenditures 15-22'!C55</f>
        <v>407495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407495</v>
      </c>
      <c r="C737" s="2" t="s">
        <v>594</v>
      </c>
      <c r="D737" s="2" t="str">
        <f t="shared" si="10"/>
        <v>Error?</v>
      </c>
    </row>
    <row r="738" spans="1:4" x14ac:dyDescent="0.2">
      <c r="A738" s="5">
        <v>677</v>
      </c>
      <c r="B738" s="138">
        <f>'Expenditures 15-22'!C59</f>
        <v>116193</v>
      </c>
      <c r="D738" s="2" t="str">
        <f t="shared" si="10"/>
        <v>Error?</v>
      </c>
    </row>
    <row r="739" spans="1:4" x14ac:dyDescent="0.2">
      <c r="A739" s="5">
        <v>678</v>
      </c>
      <c r="B739" s="138">
        <f>'Expenditures 15-22'!C60</f>
        <v>140060</v>
      </c>
      <c r="D739" s="2" t="str">
        <f t="shared" si="10"/>
        <v>Error?</v>
      </c>
    </row>
    <row r="740" spans="1:4" x14ac:dyDescent="0.2">
      <c r="A740" s="5">
        <v>679</v>
      </c>
      <c r="B740" s="138">
        <f>'Expenditures 15-22'!C61</f>
        <v>26973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302089</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585315</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342262</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342262</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3967971</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12872996</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777476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67889</v>
      </c>
      <c r="D775" s="2" t="str">
        <f t="shared" si="11"/>
        <v>Error?</v>
      </c>
    </row>
    <row r="776" spans="1:4" x14ac:dyDescent="0.2">
      <c r="A776" s="5">
        <v>715</v>
      </c>
      <c r="B776" s="138">
        <f>'Expenditures 15-22'!D14</f>
        <v>104014</v>
      </c>
      <c r="D776" s="2" t="str">
        <f t="shared" si="11"/>
        <v>Error?</v>
      </c>
    </row>
    <row r="777" spans="1:4" x14ac:dyDescent="0.2">
      <c r="A777" s="5">
        <v>716</v>
      </c>
      <c r="B777" s="138">
        <f>'Expenditures 15-22'!D15</f>
        <v>7896</v>
      </c>
      <c r="D777" s="2" t="str">
        <f t="shared" si="11"/>
        <v>Error?</v>
      </c>
    </row>
    <row r="778" spans="1:4" x14ac:dyDescent="0.2">
      <c r="A778" s="5">
        <v>717</v>
      </c>
      <c r="B778" s="138">
        <f>'Expenditures 15-22'!D33</f>
        <v>1157788</v>
      </c>
      <c r="C778" s="2" t="s">
        <v>594</v>
      </c>
      <c r="D778" s="2" t="str">
        <f t="shared" si="11"/>
        <v>Error?</v>
      </c>
    </row>
    <row r="779" spans="1:4" x14ac:dyDescent="0.2">
      <c r="A779" s="5">
        <v>718</v>
      </c>
      <c r="B779" s="138">
        <f>'Expenditures 15-22'!D36</f>
        <v>8244</v>
      </c>
      <c r="D779" s="2" t="str">
        <f t="shared" si="11"/>
        <v>Error?</v>
      </c>
    </row>
    <row r="780" spans="1:4" x14ac:dyDescent="0.2">
      <c r="A780" s="5">
        <v>719</v>
      </c>
      <c r="B780" s="138">
        <f>'Expenditures 15-22'!D37</f>
        <v>84259</v>
      </c>
      <c r="D780" s="2" t="str">
        <f t="shared" si="11"/>
        <v>Error?</v>
      </c>
    </row>
    <row r="781" spans="1:4" x14ac:dyDescent="0.2">
      <c r="A781" s="5">
        <v>720</v>
      </c>
      <c r="B781" s="138">
        <f>'Expenditures 15-22'!D38</f>
        <v>25884</v>
      </c>
      <c r="D781" s="2" t="str">
        <f t="shared" si="11"/>
        <v>Error?</v>
      </c>
    </row>
    <row r="782" spans="1:4" x14ac:dyDescent="0.2">
      <c r="A782" s="5">
        <v>721</v>
      </c>
      <c r="B782" s="138">
        <f>'Expenditures 15-22'!D39</f>
        <v>27491</v>
      </c>
      <c r="D782" s="2" t="str">
        <f t="shared" si="11"/>
        <v>Error?</v>
      </c>
    </row>
    <row r="783" spans="1:4" x14ac:dyDescent="0.2">
      <c r="A783" s="5">
        <v>722</v>
      </c>
      <c r="B783" s="138">
        <f>'Expenditures 15-22'!D40</f>
        <v>1851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147729</v>
      </c>
      <c r="C785" s="2" t="s">
        <v>594</v>
      </c>
      <c r="D785" s="2" t="str">
        <f t="shared" si="11"/>
        <v>Error?</v>
      </c>
    </row>
    <row r="786" spans="1:4" x14ac:dyDescent="0.2">
      <c r="A786" s="5">
        <v>725</v>
      </c>
      <c r="B786" s="138">
        <f>'Expenditures 15-22'!D44</f>
        <v>242047</v>
      </c>
      <c r="D786" s="2" t="str">
        <f t="shared" si="11"/>
        <v>Error?</v>
      </c>
    </row>
    <row r="787" spans="1:4" x14ac:dyDescent="0.2">
      <c r="A787" s="5">
        <v>726</v>
      </c>
      <c r="B787" s="138">
        <f>'Expenditures 15-22'!D45</f>
        <v>24795</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266842</v>
      </c>
      <c r="C789" s="2" t="s">
        <v>594</v>
      </c>
      <c r="D789" s="2" t="str">
        <f t="shared" si="11"/>
        <v>Error?</v>
      </c>
    </row>
    <row r="790" spans="1:4" x14ac:dyDescent="0.2">
      <c r="A790" s="5">
        <v>729</v>
      </c>
      <c r="B790" s="138">
        <f>'Expenditures 15-22'!D49</f>
        <v>1202</v>
      </c>
      <c r="D790" s="2" t="str">
        <f t="shared" si="11"/>
        <v>Error?</v>
      </c>
    </row>
    <row r="791" spans="1:4" x14ac:dyDescent="0.2">
      <c r="A791" s="5">
        <v>730</v>
      </c>
      <c r="B791" s="138">
        <f>'Expenditures 15-22'!D50</f>
        <v>36872</v>
      </c>
      <c r="D791" s="2" t="str">
        <f t="shared" si="11"/>
        <v>Error?</v>
      </c>
    </row>
    <row r="792" spans="1:4" x14ac:dyDescent="0.2">
      <c r="A792" s="5">
        <v>731</v>
      </c>
      <c r="B792" s="138">
        <f>'Expenditures 15-22'!D53</f>
        <v>38074</v>
      </c>
      <c r="C792" s="2" t="s">
        <v>594</v>
      </c>
      <c r="D792" s="2" t="str">
        <f t="shared" si="11"/>
        <v>Error?</v>
      </c>
    </row>
    <row r="793" spans="1:4" x14ac:dyDescent="0.2">
      <c r="A793" s="5">
        <v>732</v>
      </c>
      <c r="B793" s="138">
        <f>'Expenditures 15-22'!D55</f>
        <v>126340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126340</v>
      </c>
      <c r="C795" s="2" t="s">
        <v>594</v>
      </c>
      <c r="D795" s="2" t="str">
        <f t="shared" si="11"/>
        <v>Error?</v>
      </c>
    </row>
    <row r="796" spans="1:4" x14ac:dyDescent="0.2">
      <c r="A796" s="5">
        <v>735</v>
      </c>
      <c r="B796" s="138">
        <f>'Expenditures 15-22'!D59</f>
        <v>74617</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73445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148062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70800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70800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797847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1955635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39676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17447</v>
      </c>
      <c r="D833" s="2" t="str">
        <f t="shared" si="12"/>
        <v>Error?</v>
      </c>
    </row>
    <row r="834" spans="1:4" x14ac:dyDescent="0.2">
      <c r="A834" s="5">
        <v>773</v>
      </c>
      <c r="B834" s="138">
        <f>'Expenditures 15-22'!E14</f>
        <v>83163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1126679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1595</v>
      </c>
      <c r="D838" s="2" t="str">
        <f t="shared" si="12"/>
        <v>Error?</v>
      </c>
    </row>
    <row r="839" spans="1:4" x14ac:dyDescent="0.2">
      <c r="A839" s="5">
        <v>778</v>
      </c>
      <c r="B839" s="138">
        <f>'Expenditures 15-22'!E38</f>
        <v>8076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20459</v>
      </c>
      <c r="D842" s="2" t="str">
        <f t="shared" si="12"/>
        <v>Error?</v>
      </c>
    </row>
    <row r="843" spans="1:4" x14ac:dyDescent="0.2">
      <c r="A843" s="5">
        <v>782</v>
      </c>
      <c r="B843" s="138">
        <f>'Expenditures 15-22'!E42</f>
        <v>30130</v>
      </c>
      <c r="C843" s="2" t="s">
        <v>594</v>
      </c>
      <c r="D843" s="2" t="str">
        <f t="shared" si="12"/>
        <v>Error?</v>
      </c>
    </row>
    <row r="844" spans="1:4" x14ac:dyDescent="0.2">
      <c r="A844" s="5">
        <v>783</v>
      </c>
      <c r="B844" s="138">
        <f>'Expenditures 15-22'!E44</f>
        <v>100958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8812</v>
      </c>
      <c r="D846" s="2" t="str">
        <f t="shared" si="12"/>
        <v>Error?</v>
      </c>
    </row>
    <row r="847" spans="1:4" x14ac:dyDescent="0.2">
      <c r="A847" s="5">
        <v>786</v>
      </c>
      <c r="B847" s="138">
        <f>'Expenditures 15-22'!E47</f>
        <v>109770</v>
      </c>
      <c r="C847" s="2" t="s">
        <v>594</v>
      </c>
      <c r="D847" s="2" t="str">
        <f t="shared" si="12"/>
        <v>Error?</v>
      </c>
    </row>
    <row r="848" spans="1:4" x14ac:dyDescent="0.2">
      <c r="A848" s="5">
        <v>787</v>
      </c>
      <c r="B848" s="138">
        <f>'Expenditures 15-22'!E49</f>
        <v>718579</v>
      </c>
      <c r="D848" s="2" t="str">
        <f t="shared" si="12"/>
        <v>Error?</v>
      </c>
    </row>
    <row r="849" spans="1:4" x14ac:dyDescent="0.2">
      <c r="A849" s="5">
        <v>788</v>
      </c>
      <c r="B849" s="138">
        <f>'Expenditures 15-22'!E50</f>
        <v>640</v>
      </c>
      <c r="D849" s="2" t="str">
        <f t="shared" si="12"/>
        <v>Error?</v>
      </c>
    </row>
    <row r="850" spans="1:4" x14ac:dyDescent="0.2">
      <c r="A850" s="5">
        <v>789</v>
      </c>
      <c r="B850" s="138">
        <f>'Expenditures 15-22'!E53</f>
        <v>719219</v>
      </c>
      <c r="C850" s="2" t="s">
        <v>594</v>
      </c>
      <c r="D850" s="2" t="str">
        <f t="shared" si="12"/>
        <v>Error?</v>
      </c>
    </row>
    <row r="851" spans="1:4" x14ac:dyDescent="0.2">
      <c r="A851" s="5">
        <v>790</v>
      </c>
      <c r="B851" s="138">
        <f>'Expenditures 15-22'!E55</f>
        <v>129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129</v>
      </c>
      <c r="C853" s="2" t="s">
        <v>594</v>
      </c>
      <c r="D853" s="2" t="str">
        <f t="shared" si="12"/>
        <v>Error?</v>
      </c>
    </row>
    <row r="854" spans="1:4" x14ac:dyDescent="0.2">
      <c r="A854" s="5">
        <v>793</v>
      </c>
      <c r="B854" s="138">
        <f>'Expenditures 15-22'!E59</f>
        <v>63601</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65824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69457</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38189</v>
      </c>
      <c r="D867" s="2" t="str">
        <f t="shared" si="12"/>
        <v>Error?</v>
      </c>
    </row>
    <row r="868" spans="1:4" x14ac:dyDescent="0.2">
      <c r="A868" s="10">
        <v>807</v>
      </c>
      <c r="D868" s="2" t="str">
        <f t="shared" si="12"/>
        <v>OK</v>
      </c>
    </row>
    <row r="869" spans="1:4" x14ac:dyDescent="0.2">
      <c r="A869" s="5">
        <v>808</v>
      </c>
      <c r="B869" s="138">
        <f>'Expenditures 15-22'!E72</f>
        <v>107646</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1032718</v>
      </c>
      <c r="C871" s="2" t="s">
        <v>594</v>
      </c>
      <c r="D871" s="2" t="str">
        <f t="shared" si="12"/>
        <v>Error?</v>
      </c>
    </row>
    <row r="872" spans="1:4" x14ac:dyDescent="0.2">
      <c r="A872" s="5">
        <v>811</v>
      </c>
      <c r="B872" s="138">
        <f>'Expenditures 15-22'!E75</f>
        <v>80595</v>
      </c>
      <c r="D872" s="2" t="str">
        <f t="shared" si="12"/>
        <v>Error?</v>
      </c>
    </row>
    <row r="873" spans="1:4" x14ac:dyDescent="0.2">
      <c r="A873" s="5">
        <v>812</v>
      </c>
      <c r="B873" s="138">
        <f>'Expenditures 15-22'!E114</f>
        <v>2286159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247874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46452</v>
      </c>
      <c r="D891" s="2" t="str">
        <f t="shared" si="12"/>
        <v>Error?</v>
      </c>
    </row>
    <row r="892" spans="1:4" x14ac:dyDescent="0.2">
      <c r="A892" s="5">
        <v>831</v>
      </c>
      <c r="B892" s="138">
        <f>'Expenditures 15-22'!F14</f>
        <v>64797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372539</v>
      </c>
      <c r="C894" s="2" t="s">
        <v>594</v>
      </c>
      <c r="D894" s="2" t="str">
        <f t="shared" si="12"/>
        <v>Error?</v>
      </c>
    </row>
    <row r="895" spans="1:4" x14ac:dyDescent="0.2">
      <c r="A895" s="5">
        <v>834</v>
      </c>
      <c r="B895" s="138">
        <f>'Expenditures 15-22'!F36</f>
        <v>4340</v>
      </c>
      <c r="D895" s="2" t="str">
        <f t="shared" ref="D895:D958" si="13">IF(ISBLANK(B895),"OK",IF(A895-B895=0,"OK","Error?"))</f>
        <v>Error?</v>
      </c>
    </row>
    <row r="896" spans="1:4" x14ac:dyDescent="0.2">
      <c r="A896" s="5">
        <v>835</v>
      </c>
      <c r="B896" s="138">
        <f>'Expenditures 15-22'!F37</f>
        <v>12234</v>
      </c>
      <c r="D896" s="2" t="str">
        <f t="shared" si="13"/>
        <v>Error?</v>
      </c>
    </row>
    <row r="897" spans="1:4" x14ac:dyDescent="0.2">
      <c r="A897" s="5">
        <v>836</v>
      </c>
      <c r="B897" s="138">
        <f>'Expenditures 15-22'!F38</f>
        <v>2422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14500</v>
      </c>
      <c r="D900" s="2" t="str">
        <f t="shared" si="13"/>
        <v>Error?</v>
      </c>
    </row>
    <row r="901" spans="1:4" x14ac:dyDescent="0.2">
      <c r="A901" s="5">
        <v>840</v>
      </c>
      <c r="B901" s="138">
        <f>'Expenditures 15-22'!F42</f>
        <v>33496</v>
      </c>
      <c r="C901" s="2" t="s">
        <v>594</v>
      </c>
      <c r="D901" s="2" t="str">
        <f t="shared" si="13"/>
        <v>Error?</v>
      </c>
    </row>
    <row r="902" spans="1:4" x14ac:dyDescent="0.2">
      <c r="A902" s="5">
        <v>841</v>
      </c>
      <c r="B902" s="138">
        <f>'Expenditures 15-22'!F44</f>
        <v>170312</v>
      </c>
      <c r="D902" s="2" t="str">
        <f t="shared" si="13"/>
        <v>Error?</v>
      </c>
    </row>
    <row r="903" spans="1:4" x14ac:dyDescent="0.2">
      <c r="A903" s="5">
        <v>842</v>
      </c>
      <c r="B903" s="138">
        <f>'Expenditures 15-22'!F45</f>
        <v>51313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221625</v>
      </c>
      <c r="C905" s="2" t="s">
        <v>594</v>
      </c>
      <c r="D905" s="2" t="str">
        <f t="shared" si="13"/>
        <v>Error?</v>
      </c>
    </row>
    <row r="906" spans="1:4" x14ac:dyDescent="0.2">
      <c r="A906" s="5">
        <v>845</v>
      </c>
      <c r="B906" s="138">
        <f>'Expenditures 15-22'!F49</f>
        <v>9072</v>
      </c>
      <c r="D906" s="2" t="str">
        <f t="shared" si="13"/>
        <v>Error?</v>
      </c>
    </row>
    <row r="907" spans="1:4" x14ac:dyDescent="0.2">
      <c r="A907" s="5">
        <v>846</v>
      </c>
      <c r="B907" s="138">
        <f>'Expenditures 15-22'!F50</f>
        <v>1236</v>
      </c>
      <c r="D907" s="2" t="str">
        <f t="shared" si="13"/>
        <v>Error?</v>
      </c>
    </row>
    <row r="908" spans="1:4" x14ac:dyDescent="0.2">
      <c r="A908" s="5">
        <v>847</v>
      </c>
      <c r="B908" s="138">
        <f>'Expenditures 15-22'!F53</f>
        <v>10308</v>
      </c>
      <c r="C908" s="2" t="s">
        <v>594</v>
      </c>
      <c r="D908" s="2" t="str">
        <f t="shared" si="13"/>
        <v>Error?</v>
      </c>
    </row>
    <row r="909" spans="1:4" x14ac:dyDescent="0.2">
      <c r="A909" s="5">
        <v>848</v>
      </c>
      <c r="B909" s="138">
        <f>'Expenditures 15-22'!F55</f>
        <v>17683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17683</v>
      </c>
      <c r="C911" s="2" t="s">
        <v>594</v>
      </c>
      <c r="D911" s="2" t="str">
        <f t="shared" si="13"/>
        <v>Error?</v>
      </c>
    </row>
    <row r="912" spans="1:4" x14ac:dyDescent="0.2">
      <c r="A912" s="5">
        <v>851</v>
      </c>
      <c r="B912" s="138">
        <f>'Expenditures 15-22'!F59</f>
        <v>3948</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376502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380450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534480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207</v>
      </c>
      <c r="D925" s="2" t="str">
        <f t="shared" si="13"/>
        <v>Error?</v>
      </c>
    </row>
    <row r="926" spans="1:4" x14ac:dyDescent="0.2">
      <c r="A926" s="10">
        <v>865</v>
      </c>
      <c r="D926" s="2" t="str">
        <f t="shared" si="13"/>
        <v>OK</v>
      </c>
    </row>
    <row r="927" spans="1:4" x14ac:dyDescent="0.2">
      <c r="A927" s="5">
        <v>866</v>
      </c>
      <c r="B927" s="138">
        <f>'Expenditures 15-22'!F72</f>
        <v>534687</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1198249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1570788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11267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16203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27470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429251</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429251</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429251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456721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2602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29607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32569</v>
      </c>
      <c r="C1010" s="2" t="s">
        <v>594</v>
      </c>
      <c r="D1010" s="2" t="str">
        <f t="shared" si="14"/>
        <v>Error?</v>
      </c>
    </row>
    <row r="1011" spans="1:4" x14ac:dyDescent="0.2">
      <c r="A1011" s="5">
        <v>950</v>
      </c>
      <c r="B1011" s="138">
        <f>'Expenditures 15-22'!H36</f>
        <v>81</v>
      </c>
      <c r="D1011" s="2" t="str">
        <f t="shared" si="14"/>
        <v>Error?</v>
      </c>
    </row>
    <row r="1012" spans="1:4" x14ac:dyDescent="0.2">
      <c r="A1012" s="5">
        <v>951</v>
      </c>
      <c r="B1012" s="138">
        <f>'Expenditures 15-22'!H37</f>
        <v>168</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8945</v>
      </c>
      <c r="D1016" s="2" t="str">
        <f t="shared" si="14"/>
        <v>Error?</v>
      </c>
    </row>
    <row r="1017" spans="1:4" x14ac:dyDescent="0.2">
      <c r="A1017" s="5">
        <v>956</v>
      </c>
      <c r="B1017" s="138">
        <f>'Expenditures 15-22'!H42</f>
        <v>9194</v>
      </c>
      <c r="C1017" s="2" t="s">
        <v>594</v>
      </c>
      <c r="D1017" s="2" t="str">
        <f t="shared" si="14"/>
        <v>Error?</v>
      </c>
    </row>
    <row r="1018" spans="1:4" x14ac:dyDescent="0.2">
      <c r="A1018" s="5">
        <v>957</v>
      </c>
      <c r="B1018" s="138">
        <f>'Expenditures 15-22'!H44</f>
        <v>2578</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2578</v>
      </c>
      <c r="C1021" s="2" t="s">
        <v>594</v>
      </c>
      <c r="D1021" s="2" t="str">
        <f t="shared" si="14"/>
        <v>Error?</v>
      </c>
    </row>
    <row r="1022" spans="1:4" x14ac:dyDescent="0.2">
      <c r="A1022" s="5">
        <v>961</v>
      </c>
      <c r="B1022" s="138">
        <f>'Expenditures 15-22'!H49</f>
        <v>18006</v>
      </c>
      <c r="D1022" s="2" t="str">
        <f t="shared" si="14"/>
        <v>Error?</v>
      </c>
    </row>
    <row r="1023" spans="1:4" x14ac:dyDescent="0.2">
      <c r="A1023" s="5">
        <v>962</v>
      </c>
      <c r="B1023" s="138">
        <f>'Expenditures 15-22'!H50</f>
        <v>5406</v>
      </c>
      <c r="D1023" s="2" t="str">
        <f t="shared" ref="D1023:D1086" si="15">IF(ISBLANK(B1023),"OK",IF(A1023-B1023=0,"OK","Error?"))</f>
        <v>Error?</v>
      </c>
    </row>
    <row r="1024" spans="1:4" x14ac:dyDescent="0.2">
      <c r="A1024" s="5">
        <v>963</v>
      </c>
      <c r="B1024" s="138">
        <f>'Expenditures 15-22'!H53</f>
        <v>23412</v>
      </c>
      <c r="C1024" s="2" t="s">
        <v>594</v>
      </c>
      <c r="D1024" s="2" t="str">
        <f t="shared" si="15"/>
        <v>Error?</v>
      </c>
    </row>
    <row r="1025" spans="1:4" x14ac:dyDescent="0.2">
      <c r="A1025" s="5">
        <v>964</v>
      </c>
      <c r="B1025" s="138">
        <f>'Expenditures 15-22'!H55</f>
        <v>13512</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13512</v>
      </c>
      <c r="C1027" s="2" t="s">
        <v>594</v>
      </c>
      <c r="D1027" s="2" t="str">
        <f t="shared" si="15"/>
        <v>Error?</v>
      </c>
    </row>
    <row r="1028" spans="1:4" x14ac:dyDescent="0.2">
      <c r="A1028" s="5">
        <v>967</v>
      </c>
      <c r="B1028" s="138">
        <f>'Expenditures 15-22'!H59</f>
        <v>1630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1863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3493</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52189</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2313921</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2398679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7082611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646757</v>
      </c>
      <c r="C1105" s="2" t="s">
        <v>594</v>
      </c>
      <c r="D1105" s="2" t="str">
        <f t="shared" si="16"/>
        <v>Error?</v>
      </c>
    </row>
    <row r="1106" spans="1:4" x14ac:dyDescent="0.2">
      <c r="A1106" s="5">
        <v>1045</v>
      </c>
      <c r="B1106" s="138">
        <f>'Expenditures 15-22'!K14</f>
        <v>1373982</v>
      </c>
      <c r="C1106" s="2" t="s">
        <v>594</v>
      </c>
      <c r="D1106" s="2" t="str">
        <f t="shared" si="16"/>
        <v>Error?</v>
      </c>
    </row>
    <row r="1107" spans="1:4" x14ac:dyDescent="0.2">
      <c r="A1107" s="5">
        <v>1046</v>
      </c>
      <c r="B1107" s="138">
        <f>'Expenditures 15-22'!K15</f>
        <v>79073</v>
      </c>
      <c r="C1107" s="2" t="s">
        <v>594</v>
      </c>
      <c r="D1107" s="2" t="str">
        <f t="shared" si="16"/>
        <v>Error?</v>
      </c>
    </row>
    <row r="1108" spans="1:4" x14ac:dyDescent="0.2">
      <c r="A1108" s="5">
        <v>1047</v>
      </c>
      <c r="B1108" s="138">
        <f>'Expenditures 15-22'!K33</f>
        <v>11622070</v>
      </c>
      <c r="C1108" s="2" t="s">
        <v>594</v>
      </c>
      <c r="D1108" s="2" t="str">
        <f t="shared" si="16"/>
        <v>Error?</v>
      </c>
    </row>
    <row r="1109" spans="1:4" x14ac:dyDescent="0.2">
      <c r="A1109" s="5">
        <v>1048</v>
      </c>
      <c r="B1109" s="138">
        <f>'Expenditures 15-22'!K36</f>
        <v>267594</v>
      </c>
      <c r="C1109" s="2" t="s">
        <v>594</v>
      </c>
      <c r="D1109" s="2" t="str">
        <f t="shared" si="16"/>
        <v>Error?</v>
      </c>
    </row>
    <row r="1110" spans="1:4" x14ac:dyDescent="0.2">
      <c r="A1110" s="5">
        <v>1049</v>
      </c>
      <c r="B1110" s="138">
        <f>'Expenditures 15-22'!K37</f>
        <v>924511</v>
      </c>
      <c r="C1110" s="2" t="s">
        <v>594</v>
      </c>
      <c r="D1110" s="2" t="str">
        <f t="shared" si="16"/>
        <v>Error?</v>
      </c>
    </row>
    <row r="1111" spans="1:4" x14ac:dyDescent="0.2">
      <c r="A1111" s="5">
        <v>1050</v>
      </c>
      <c r="B1111" s="138">
        <f>'Expenditures 15-22'!K38</f>
        <v>109523</v>
      </c>
      <c r="C1111" s="2" t="s">
        <v>594</v>
      </c>
      <c r="D1111" s="2" t="str">
        <f t="shared" si="16"/>
        <v>Error?</v>
      </c>
    </row>
    <row r="1112" spans="1:4" x14ac:dyDescent="0.2">
      <c r="A1112" s="5">
        <v>1051</v>
      </c>
      <c r="B1112" s="138">
        <f>'Expenditures 15-22'!K39</f>
        <v>210027</v>
      </c>
      <c r="C1112" s="2" t="s">
        <v>594</v>
      </c>
      <c r="D1112" s="2" t="str">
        <f t="shared" si="16"/>
        <v>Error?</v>
      </c>
    </row>
    <row r="1113" spans="1:4" x14ac:dyDescent="0.2">
      <c r="A1113" s="5">
        <v>1052</v>
      </c>
      <c r="B1113" s="138">
        <f>'Expenditures 15-22'!K40</f>
        <v>17954</v>
      </c>
      <c r="C1113" s="2" t="s">
        <v>594</v>
      </c>
      <c r="D1113" s="2" t="str">
        <f t="shared" si="16"/>
        <v>Error?</v>
      </c>
    </row>
    <row r="1114" spans="1:4" x14ac:dyDescent="0.2">
      <c r="A1114" s="5">
        <v>1053</v>
      </c>
      <c r="B1114" s="138">
        <f>'Expenditures 15-22'!K41</f>
        <v>43904</v>
      </c>
      <c r="C1114" s="2" t="s">
        <v>594</v>
      </c>
      <c r="D1114" s="2" t="str">
        <f t="shared" si="16"/>
        <v>Error?</v>
      </c>
    </row>
    <row r="1115" spans="1:4" x14ac:dyDescent="0.2">
      <c r="A1115" s="5">
        <v>1054</v>
      </c>
      <c r="B1115" s="138">
        <f>'Expenditures 15-22'!K42</f>
        <v>1573513</v>
      </c>
      <c r="C1115" s="2" t="s">
        <v>594</v>
      </c>
      <c r="D1115" s="2" t="str">
        <f t="shared" si="16"/>
        <v>Error?</v>
      </c>
    </row>
    <row r="1116" spans="1:4" x14ac:dyDescent="0.2">
      <c r="A1116" s="5">
        <v>1055</v>
      </c>
      <c r="B1116" s="138">
        <f>'Expenditures 15-22'!K44</f>
        <v>1356163</v>
      </c>
      <c r="C1116" s="2" t="s">
        <v>594</v>
      </c>
      <c r="D1116" s="2" t="str">
        <f t="shared" si="16"/>
        <v>Error?</v>
      </c>
    </row>
    <row r="1117" spans="1:4" x14ac:dyDescent="0.2">
      <c r="A1117" s="5">
        <v>1056</v>
      </c>
      <c r="B1117" s="138">
        <f>'Expenditures 15-22'!K45</f>
        <v>228732</v>
      </c>
      <c r="C1117" s="2" t="s">
        <v>594</v>
      </c>
      <c r="D1117" s="2" t="str">
        <f t="shared" si="16"/>
        <v>Error?</v>
      </c>
    </row>
    <row r="1118" spans="1:4" x14ac:dyDescent="0.2">
      <c r="A1118" s="5">
        <v>1057</v>
      </c>
      <c r="B1118" s="138">
        <f>'Expenditures 15-22'!K46</f>
        <v>8812</v>
      </c>
      <c r="C1118" s="2" t="s">
        <v>594</v>
      </c>
      <c r="D1118" s="2" t="str">
        <f t="shared" si="16"/>
        <v>Error?</v>
      </c>
    </row>
    <row r="1119" spans="1:4" x14ac:dyDescent="0.2">
      <c r="A1119" s="5">
        <v>1058</v>
      </c>
      <c r="B1119" s="138">
        <f>'Expenditures 15-22'!K47</f>
        <v>1593707</v>
      </c>
      <c r="C1119" s="2" t="s">
        <v>594</v>
      </c>
      <c r="D1119" s="2" t="str">
        <f t="shared" si="16"/>
        <v>Error?</v>
      </c>
    </row>
    <row r="1120" spans="1:4" x14ac:dyDescent="0.2">
      <c r="A1120" s="5">
        <v>1059</v>
      </c>
      <c r="B1120" s="138">
        <f>'Expenditures 15-22'!K49</f>
        <v>756258</v>
      </c>
      <c r="C1120" s="2" t="s">
        <v>594</v>
      </c>
      <c r="D1120" s="2" t="str">
        <f t="shared" si="16"/>
        <v>Error?</v>
      </c>
    </row>
    <row r="1121" spans="1:4" x14ac:dyDescent="0.2">
      <c r="A1121" s="5">
        <v>1060</v>
      </c>
      <c r="B1121" s="138">
        <f>'Expenditures 15-22'!K50</f>
        <v>321798</v>
      </c>
      <c r="C1121" s="2" t="s">
        <v>594</v>
      </c>
      <c r="D1121" s="2" t="str">
        <f t="shared" si="16"/>
        <v>Error?</v>
      </c>
    </row>
    <row r="1122" spans="1:4" x14ac:dyDescent="0.2">
      <c r="A1122" s="5">
        <v>1061</v>
      </c>
      <c r="B1122" s="138">
        <f>'Expenditures 15-22'!K53</f>
        <v>1078056</v>
      </c>
      <c r="C1122" s="2" t="s">
        <v>594</v>
      </c>
      <c r="D1122" s="2" t="str">
        <f t="shared" si="16"/>
        <v>Error?</v>
      </c>
    </row>
    <row r="1123" spans="1:4" x14ac:dyDescent="0.2">
      <c r="A1123" s="5">
        <v>1062</v>
      </c>
      <c r="B1123" s="138">
        <f>'Expenditures 15-22'!K55</f>
        <v>565159</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565159</v>
      </c>
      <c r="C1125" s="2" t="s">
        <v>594</v>
      </c>
      <c r="D1125" s="2" t="str">
        <f t="shared" si="16"/>
        <v>Error?</v>
      </c>
    </row>
    <row r="1126" spans="1:4" x14ac:dyDescent="0.2">
      <c r="A1126" s="5">
        <v>1065</v>
      </c>
      <c r="B1126" s="138">
        <f>'Expenditures 15-22'!K59</f>
        <v>259989</v>
      </c>
      <c r="C1126" s="2" t="s">
        <v>594</v>
      </c>
      <c r="D1126" s="2" t="str">
        <f t="shared" si="16"/>
        <v>Error?</v>
      </c>
    </row>
    <row r="1127" spans="1:4" x14ac:dyDescent="0.2">
      <c r="A1127" s="5">
        <v>1066</v>
      </c>
      <c r="B1127" s="138">
        <f>'Expenditures 15-22'!K60</f>
        <v>140060</v>
      </c>
      <c r="C1127" s="2" t="s">
        <v>594</v>
      </c>
      <c r="D1127" s="2" t="str">
        <f t="shared" si="16"/>
        <v>Error?</v>
      </c>
    </row>
    <row r="1128" spans="1:4" x14ac:dyDescent="0.2">
      <c r="A1128" s="5">
        <v>1067</v>
      </c>
      <c r="B1128" s="138">
        <f>'Expenditures 15-22'!K61</f>
        <v>26973</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756122</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1183144</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1446250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38396</v>
      </c>
      <c r="C1139" s="2" t="s">
        <v>594</v>
      </c>
      <c r="D1139" s="2" t="str">
        <f t="shared" si="16"/>
        <v>Error?</v>
      </c>
    </row>
    <row r="1140" spans="1:4" x14ac:dyDescent="0.2">
      <c r="A1140" s="10">
        <v>1079</v>
      </c>
      <c r="D1140" s="2" t="str">
        <f t="shared" si="16"/>
        <v>OK</v>
      </c>
    </row>
    <row r="1141" spans="1:4" x14ac:dyDescent="0.2">
      <c r="A1141" s="5">
        <v>1080</v>
      </c>
      <c r="B1141" s="138">
        <f>'Expenditures 15-22'!K72</f>
        <v>1484646</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7478225</v>
      </c>
      <c r="C1143" s="2" t="s">
        <v>594</v>
      </c>
      <c r="D1143" s="2" t="str">
        <f t="shared" si="16"/>
        <v>Error?</v>
      </c>
    </row>
    <row r="1144" spans="1:4" x14ac:dyDescent="0.2">
      <c r="A1144" s="5">
        <v>1083</v>
      </c>
      <c r="B1144" s="138">
        <f>'Expenditures 15-22'!K75</f>
        <v>80595</v>
      </c>
      <c r="C1144" s="2" t="s">
        <v>594</v>
      </c>
      <c r="D1144" s="2" t="str">
        <f t="shared" si="16"/>
        <v>Error?</v>
      </c>
    </row>
    <row r="1145" spans="1:4" x14ac:dyDescent="0.2">
      <c r="A1145" s="5">
        <v>1084</v>
      </c>
      <c r="B1145" s="138">
        <f>'Expenditures 15-22'!K102</f>
        <v>2360088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21540978</v>
      </c>
      <c r="C1152" s="2" t="s">
        <v>594</v>
      </c>
      <c r="D1152" s="2" t="str">
        <f t="shared" si="17"/>
        <v>Error?</v>
      </c>
    </row>
    <row r="1153" spans="1:4" x14ac:dyDescent="0.2">
      <c r="A1153" s="5">
        <v>1092</v>
      </c>
      <c r="B1153" s="138">
        <f>'Expenditures 15-22'!K115</f>
        <v>-505707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985005</v>
      </c>
      <c r="D1221" s="2" t="str">
        <f t="shared" si="18"/>
        <v>Error?</v>
      </c>
    </row>
    <row r="1222" spans="1:4" x14ac:dyDescent="0.2">
      <c r="A1222" s="10">
        <v>1161</v>
      </c>
      <c r="D1222" s="2" t="str">
        <f t="shared" si="18"/>
        <v>OK</v>
      </c>
    </row>
    <row r="1223" spans="1:4" x14ac:dyDescent="0.2">
      <c r="A1223" s="5">
        <v>1162</v>
      </c>
      <c r="B1223" s="138">
        <f>'Expenditures 15-22'!C127</f>
        <v>985005</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985005</v>
      </c>
      <c r="C1225" s="2" t="s">
        <v>594</v>
      </c>
      <c r="D1225" s="2" t="str">
        <f t="shared" si="18"/>
        <v>Error?</v>
      </c>
    </row>
    <row r="1226" spans="1:4" x14ac:dyDescent="0.2">
      <c r="A1226" s="5">
        <v>1165</v>
      </c>
      <c r="B1226" s="138">
        <f>'Expenditures 15-22'!C151</f>
        <v>985005</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223372</v>
      </c>
      <c r="D1229" s="2" t="str">
        <f t="shared" si="18"/>
        <v>Error?</v>
      </c>
    </row>
    <row r="1230" spans="1:4" x14ac:dyDescent="0.2">
      <c r="A1230" s="10">
        <v>1169</v>
      </c>
      <c r="D1230" s="2" t="str">
        <f t="shared" si="18"/>
        <v>OK</v>
      </c>
    </row>
    <row r="1231" spans="1:4" x14ac:dyDescent="0.2">
      <c r="A1231" s="5">
        <v>1170</v>
      </c>
      <c r="B1231" s="138">
        <f>'Expenditures 15-22'!D127</f>
        <v>223372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223372</v>
      </c>
      <c r="C1233" s="2" t="s">
        <v>594</v>
      </c>
      <c r="D1233" s="2" t="str">
        <f t="shared" si="18"/>
        <v>Error?</v>
      </c>
    </row>
    <row r="1234" spans="1:4" x14ac:dyDescent="0.2">
      <c r="A1234" s="5">
        <v>1173</v>
      </c>
      <c r="B1234" s="138">
        <f>'Expenditures 15-22'!D151</f>
        <v>223372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751463</v>
      </c>
      <c r="D1237" s="2" t="str">
        <f t="shared" si="18"/>
        <v>Error?</v>
      </c>
    </row>
    <row r="1238" spans="1:4" x14ac:dyDescent="0.2">
      <c r="A1238" s="10">
        <v>1177</v>
      </c>
      <c r="D1238" s="2" t="str">
        <f t="shared" si="18"/>
        <v>OK</v>
      </c>
    </row>
    <row r="1239" spans="1:4" x14ac:dyDescent="0.2">
      <c r="A1239" s="5">
        <v>1178</v>
      </c>
      <c r="B1239" s="138">
        <f>'Expenditures 15-22'!E127</f>
        <v>751463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751463</v>
      </c>
      <c r="C1241" s="2" t="s">
        <v>594</v>
      </c>
      <c r="D1241" s="2" t="str">
        <f t="shared" si="18"/>
        <v>Error?</v>
      </c>
    </row>
    <row r="1242" spans="1:4" x14ac:dyDescent="0.2">
      <c r="A1242" s="5">
        <v>1181</v>
      </c>
      <c r="B1242" s="138">
        <f>'Expenditures 15-22'!E151</f>
        <v>838177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806208</v>
      </c>
      <c r="D1245" s="2" t="str">
        <f t="shared" si="18"/>
        <v>Error?</v>
      </c>
    </row>
    <row r="1246" spans="1:4" x14ac:dyDescent="0.2">
      <c r="A1246" s="10">
        <v>1185</v>
      </c>
      <c r="D1246" s="2" t="str">
        <f t="shared" si="18"/>
        <v>OK</v>
      </c>
    </row>
    <row r="1247" spans="1:4" x14ac:dyDescent="0.2">
      <c r="A1247" s="5">
        <v>1186</v>
      </c>
      <c r="B1247" s="138">
        <f>'Expenditures 15-22'!F127</f>
        <v>806208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806208</v>
      </c>
      <c r="C1249" s="2" t="s">
        <v>594</v>
      </c>
      <c r="D1249" s="2" t="str">
        <f t="shared" si="18"/>
        <v>Error?</v>
      </c>
    </row>
    <row r="1250" spans="1:4" x14ac:dyDescent="0.2">
      <c r="A1250" s="5">
        <v>1189</v>
      </c>
      <c r="B1250" s="138">
        <f>'Expenditures 15-22'!F151</f>
        <v>806208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2388625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2388625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2388625</v>
      </c>
      <c r="C1258" s="2" t="s">
        <v>594</v>
      </c>
      <c r="D1258" s="2" t="str">
        <f t="shared" si="18"/>
        <v>Error?</v>
      </c>
    </row>
    <row r="1259" spans="1:4" x14ac:dyDescent="0.2">
      <c r="A1259" s="5">
        <v>1198</v>
      </c>
      <c r="B1259" s="138">
        <f>'Expenditures 15-22'!G151</f>
        <v>2388625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206</v>
      </c>
      <c r="D1262" s="2" t="str">
        <f t="shared" si="18"/>
        <v>Error?</v>
      </c>
    </row>
    <row r="1263" spans="1:4" x14ac:dyDescent="0.2">
      <c r="A1263" s="10">
        <v>1202</v>
      </c>
      <c r="D1263" s="2" t="str">
        <f t="shared" si="18"/>
        <v>OK</v>
      </c>
    </row>
    <row r="1264" spans="1:4" x14ac:dyDescent="0.2">
      <c r="A1264" s="5">
        <v>1203</v>
      </c>
      <c r="B1264" s="138">
        <f>'Expenditures 15-22'!H127</f>
        <v>206</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206</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206</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5154879</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5154879</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5154879</v>
      </c>
      <c r="C1281" s="2" t="s">
        <v>594</v>
      </c>
      <c r="D1281" s="2" t="str">
        <f t="shared" si="19"/>
        <v>Error?</v>
      </c>
    </row>
    <row r="1282" spans="1:4" x14ac:dyDescent="0.2">
      <c r="A1282" s="5">
        <v>1221</v>
      </c>
      <c r="B1282" s="138">
        <f>'Expenditures 15-22'!K139</f>
        <v>86714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5241593</v>
      </c>
      <c r="C1288" s="2" t="s">
        <v>594</v>
      </c>
      <c r="D1288" s="2" t="str">
        <f t="shared" si="19"/>
        <v>Error?</v>
      </c>
    </row>
    <row r="1289" spans="1:4" x14ac:dyDescent="0.2">
      <c r="A1289" s="5">
        <v>1228</v>
      </c>
      <c r="B1289" s="138">
        <f>'Expenditures 15-22'!K152</f>
        <v>-50719</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143125</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5725000</v>
      </c>
      <c r="D1315" s="2" t="str">
        <f t="shared" si="19"/>
        <v>Error?</v>
      </c>
    </row>
    <row r="1316" spans="1:4" x14ac:dyDescent="0.2">
      <c r="A1316" s="5">
        <v>1255</v>
      </c>
      <c r="B1316" s="138">
        <f>'Expenditures 15-22'!H171</f>
        <v>1500</v>
      </c>
      <c r="D1316" s="2" t="str">
        <f t="shared" si="19"/>
        <v>Error?</v>
      </c>
    </row>
    <row r="1317" spans="1:4" x14ac:dyDescent="0.2">
      <c r="A1317" s="5">
        <v>1256</v>
      </c>
      <c r="B1317" s="138">
        <f>'Expenditures 15-22'!H172</f>
        <v>5869625</v>
      </c>
      <c r="C1317" s="2" t="s">
        <v>594</v>
      </c>
      <c r="D1317" s="2" t="str">
        <f t="shared" si="19"/>
        <v>Error?</v>
      </c>
    </row>
    <row r="1318" spans="1:4" x14ac:dyDescent="0.2">
      <c r="A1318" s="5">
        <v>1257</v>
      </c>
      <c r="B1318" s="138">
        <f>'Expenditures 15-22'!H174</f>
        <v>5869625</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143125</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5725000</v>
      </c>
      <c r="C1329" s="2" t="s">
        <v>594</v>
      </c>
      <c r="D1329" s="2" t="str">
        <f t="shared" si="19"/>
        <v>Error?</v>
      </c>
    </row>
    <row r="1330" spans="1:4" x14ac:dyDescent="0.2">
      <c r="A1330" s="5">
        <v>1269</v>
      </c>
      <c r="B1330" s="138">
        <f>'Expenditures 15-22'!K171</f>
        <v>1500</v>
      </c>
      <c r="C1330" s="2" t="s">
        <v>594</v>
      </c>
      <c r="D1330" s="2" t="str">
        <f t="shared" si="19"/>
        <v>Error?</v>
      </c>
    </row>
    <row r="1331" spans="1:4" x14ac:dyDescent="0.2">
      <c r="A1331" s="5">
        <v>1270</v>
      </c>
      <c r="B1331" s="138">
        <f>'Expenditures 15-22'!K172</f>
        <v>5869625</v>
      </c>
      <c r="C1331" s="2" t="s">
        <v>594</v>
      </c>
      <c r="D1331" s="2" t="str">
        <f t="shared" si="19"/>
        <v>Error?</v>
      </c>
    </row>
    <row r="1332" spans="1:4" x14ac:dyDescent="0.2">
      <c r="A1332" s="5">
        <v>1271</v>
      </c>
      <c r="B1332" s="138">
        <f>'Expenditures 15-22'!K174</f>
        <v>5869625</v>
      </c>
      <c r="C1332" s="2" t="s">
        <v>594</v>
      </c>
      <c r="D1332" s="2" t="str">
        <f t="shared" si="19"/>
        <v>Error?</v>
      </c>
    </row>
    <row r="1333" spans="1:4" x14ac:dyDescent="0.2">
      <c r="A1333" s="5">
        <v>1272</v>
      </c>
      <c r="B1333" s="138">
        <f>'Expenditures 15-22'!K175</f>
        <v>-2957788</v>
      </c>
      <c r="C1333" s="2" t="s">
        <v>594</v>
      </c>
      <c r="D1333" s="2" t="str">
        <f t="shared" si="19"/>
        <v>Error?</v>
      </c>
    </row>
    <row r="1334" spans="1:4" x14ac:dyDescent="0.2">
      <c r="A1334" s="10">
        <v>1273</v>
      </c>
      <c r="D1334" s="2" t="str">
        <f t="shared" si="19"/>
        <v>OK</v>
      </c>
    </row>
    <row r="1335" spans="1:4" x14ac:dyDescent="0.2">
      <c r="A1335" s="5">
        <v>1274</v>
      </c>
      <c r="B1335" s="138">
        <f>'Expenditures 15-22'!C182</f>
        <v>513441</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513441</v>
      </c>
      <c r="C1339" s="2" t="s">
        <v>594</v>
      </c>
      <c r="D1339" s="2" t="str">
        <f t="shared" si="19"/>
        <v>Error?</v>
      </c>
    </row>
    <row r="1340" spans="1:4" x14ac:dyDescent="0.2">
      <c r="A1340" s="5">
        <v>1279</v>
      </c>
      <c r="B1340" s="138">
        <f>'Expenditures 15-22'!C210</f>
        <v>513441</v>
      </c>
      <c r="C1340" s="2" t="s">
        <v>594</v>
      </c>
      <c r="D1340" s="2" t="str">
        <f t="shared" si="19"/>
        <v>Error?</v>
      </c>
    </row>
    <row r="1341" spans="1:4" x14ac:dyDescent="0.2">
      <c r="A1341" s="5">
        <v>1280</v>
      </c>
      <c r="B1341" s="138">
        <f>'Expenditures 15-22'!D182</f>
        <v>133420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133420</v>
      </c>
      <c r="C1345" s="2" t="s">
        <v>594</v>
      </c>
      <c r="D1345" s="2" t="str">
        <f t="shared" si="20"/>
        <v>Error?</v>
      </c>
    </row>
    <row r="1346" spans="1:4" x14ac:dyDescent="0.2">
      <c r="A1346" s="5">
        <v>1285</v>
      </c>
      <c r="B1346" s="138">
        <f>'Expenditures 15-22'!D210</f>
        <v>133420</v>
      </c>
      <c r="C1346" s="2" t="s">
        <v>594</v>
      </c>
      <c r="D1346" s="2" t="str">
        <f t="shared" si="20"/>
        <v>Error?</v>
      </c>
    </row>
    <row r="1347" spans="1:4" x14ac:dyDescent="0.2">
      <c r="A1347" s="5">
        <v>1286</v>
      </c>
      <c r="B1347" s="138">
        <f>'Expenditures 15-22'!E182</f>
        <v>1304369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1304369</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1304369</v>
      </c>
      <c r="C1353" s="2" t="s">
        <v>594</v>
      </c>
      <c r="D1353" s="2" t="str">
        <f t="shared" si="20"/>
        <v>Error?</v>
      </c>
    </row>
    <row r="1354" spans="1:4" x14ac:dyDescent="0.2">
      <c r="A1354" s="5">
        <v>1293</v>
      </c>
      <c r="B1354" s="138">
        <f>'Expenditures 15-22'!F182</f>
        <v>86214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86214</v>
      </c>
      <c r="C1358" s="2" t="s">
        <v>594</v>
      </c>
      <c r="D1358" s="2" t="str">
        <f t="shared" si="20"/>
        <v>Error?</v>
      </c>
    </row>
    <row r="1359" spans="1:4" x14ac:dyDescent="0.2">
      <c r="A1359" s="5">
        <v>1298</v>
      </c>
      <c r="B1359" s="138">
        <f>'Expenditures 15-22'!F210</f>
        <v>86214</v>
      </c>
      <c r="C1359" s="2" t="s">
        <v>594</v>
      </c>
      <c r="D1359" s="2" t="str">
        <f t="shared" si="20"/>
        <v>Error?</v>
      </c>
    </row>
    <row r="1360" spans="1:4" x14ac:dyDescent="0.2">
      <c r="A1360" s="5">
        <v>1299</v>
      </c>
      <c r="B1360" s="138">
        <f>'Expenditures 15-22'!G182</f>
        <v>935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935</v>
      </c>
      <c r="C1364" s="2" t="s">
        <v>594</v>
      </c>
      <c r="D1364" s="2" t="str">
        <f t="shared" si="20"/>
        <v>Error?</v>
      </c>
    </row>
    <row r="1365" spans="1:4" x14ac:dyDescent="0.2">
      <c r="A1365" s="5">
        <v>1304</v>
      </c>
      <c r="B1365" s="138">
        <f>'Expenditures 15-22'!G210</f>
        <v>935</v>
      </c>
      <c r="C1365" s="2" t="s">
        <v>594</v>
      </c>
      <c r="D1365" s="2" t="str">
        <f t="shared" si="20"/>
        <v>Error?</v>
      </c>
    </row>
    <row r="1366" spans="1:4" x14ac:dyDescent="0.2">
      <c r="A1366" s="5">
        <v>1305</v>
      </c>
      <c r="B1366" s="138">
        <f>'Expenditures 15-22'!H182</f>
        <v>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50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50</v>
      </c>
      <c r="C1376" s="2" t="s">
        <v>594</v>
      </c>
      <c r="D1376" s="2" t="str">
        <f t="shared" si="20"/>
        <v>Error?</v>
      </c>
    </row>
    <row r="1377" spans="1:4" x14ac:dyDescent="0.2">
      <c r="A1377" s="5">
        <v>1316</v>
      </c>
      <c r="B1377" s="138">
        <f>'Expenditures 15-22'!K182</f>
        <v>2038429</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2038429</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2038429</v>
      </c>
      <c r="C1388" s="2" t="s">
        <v>594</v>
      </c>
      <c r="D1388" s="2" t="str">
        <f t="shared" si="20"/>
        <v>Error?</v>
      </c>
    </row>
    <row r="1389" spans="1:4" x14ac:dyDescent="0.2">
      <c r="A1389" s="5">
        <v>1328</v>
      </c>
      <c r="B1389" s="138">
        <f>'Expenditures 15-22'!K211</f>
        <v>-329963</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6866</v>
      </c>
      <c r="D1407" s="2" t="str">
        <f t="shared" ref="D1407:D1470" si="21">IF(ISBLANK(B1407),"OK",IF(A1407-B1407=0,"OK","Error?"))</f>
        <v>Error?</v>
      </c>
    </row>
    <row r="1408" spans="1:4" x14ac:dyDescent="0.2">
      <c r="A1408" s="5">
        <v>1347</v>
      </c>
      <c r="B1408" s="138">
        <f>'Expenditures 15-22'!D223</f>
        <v>46559</v>
      </c>
      <c r="D1408" s="2" t="str">
        <f t="shared" si="21"/>
        <v>Error?</v>
      </c>
    </row>
    <row r="1409" spans="1:4" x14ac:dyDescent="0.2">
      <c r="A1409" s="5">
        <v>1348</v>
      </c>
      <c r="B1409" s="138">
        <f>'Expenditures 15-22'!D224</f>
        <v>1008</v>
      </c>
      <c r="D1409" s="2" t="str">
        <f t="shared" si="21"/>
        <v>Error?</v>
      </c>
    </row>
    <row r="1410" spans="1:4" x14ac:dyDescent="0.2">
      <c r="A1410" s="5">
        <v>1349</v>
      </c>
      <c r="B1410" s="138">
        <f>'Expenditures 15-22'!D229</f>
        <v>208057</v>
      </c>
      <c r="C1410" s="2" t="s">
        <v>594</v>
      </c>
      <c r="D1410" s="2" t="str">
        <f t="shared" si="21"/>
        <v>Error?</v>
      </c>
    </row>
    <row r="1411" spans="1:4" x14ac:dyDescent="0.2">
      <c r="A1411" s="5">
        <v>1350</v>
      </c>
      <c r="B1411" s="138">
        <f>'Expenditures 15-22'!D232</f>
        <v>11270</v>
      </c>
      <c r="D1411" s="2" t="str">
        <f t="shared" si="21"/>
        <v>Error?</v>
      </c>
    </row>
    <row r="1412" spans="1:4" x14ac:dyDescent="0.2">
      <c r="A1412" s="5">
        <v>1351</v>
      </c>
      <c r="B1412" s="138">
        <f>'Expenditures 15-22'!D233</f>
        <v>27019</v>
      </c>
      <c r="D1412" s="2" t="str">
        <f t="shared" si="21"/>
        <v>Error?</v>
      </c>
    </row>
    <row r="1413" spans="1:4" x14ac:dyDescent="0.2">
      <c r="A1413" s="5">
        <v>1352</v>
      </c>
      <c r="B1413" s="138">
        <f>'Expenditures 15-22'!D234</f>
        <v>11811</v>
      </c>
      <c r="D1413" s="2" t="str">
        <f t="shared" si="21"/>
        <v>Error?</v>
      </c>
    </row>
    <row r="1414" spans="1:4" x14ac:dyDescent="0.2">
      <c r="A1414" s="5">
        <v>1353</v>
      </c>
      <c r="B1414" s="138">
        <f>'Expenditures 15-22'!D235</f>
        <v>3188</v>
      </c>
      <c r="D1414" s="2" t="str">
        <f t="shared" si="21"/>
        <v>Error?</v>
      </c>
    </row>
    <row r="1415" spans="1:4" x14ac:dyDescent="0.2">
      <c r="A1415" s="5">
        <v>1354</v>
      </c>
      <c r="B1415" s="138">
        <f>'Expenditures 15-22'!D236</f>
        <v>234</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53522</v>
      </c>
      <c r="C1417" s="2" t="s">
        <v>594</v>
      </c>
      <c r="D1417" s="2" t="str">
        <f t="shared" si="21"/>
        <v>Error?</v>
      </c>
    </row>
    <row r="1418" spans="1:4" x14ac:dyDescent="0.2">
      <c r="A1418" s="5">
        <v>1357</v>
      </c>
      <c r="B1418" s="138">
        <f>'Expenditures 15-22'!D240</f>
        <v>22381</v>
      </c>
      <c r="D1418" s="2" t="str">
        <f t="shared" si="21"/>
        <v>Error?</v>
      </c>
    </row>
    <row r="1419" spans="1:4" x14ac:dyDescent="0.2">
      <c r="A1419" s="5">
        <v>1358</v>
      </c>
      <c r="B1419" s="138">
        <f>'Expenditures 15-22'!D241</f>
        <v>8144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30525</v>
      </c>
      <c r="C1421" s="2" t="s">
        <v>594</v>
      </c>
      <c r="D1421" s="2" t="str">
        <f t="shared" si="21"/>
        <v>Error?</v>
      </c>
    </row>
    <row r="1422" spans="1:4" x14ac:dyDescent="0.2">
      <c r="A1422" s="5">
        <v>1361</v>
      </c>
      <c r="B1422" s="138">
        <f>'Expenditures 15-22'!D245</f>
        <v>224</v>
      </c>
      <c r="D1422" s="2" t="str">
        <f t="shared" si="21"/>
        <v>Error?</v>
      </c>
    </row>
    <row r="1423" spans="1:4" x14ac:dyDescent="0.2">
      <c r="A1423" s="5">
        <v>1362</v>
      </c>
      <c r="B1423" s="138">
        <f>'Expenditures 15-22'!D246</f>
        <v>15805</v>
      </c>
      <c r="D1423" s="2" t="str">
        <f t="shared" si="21"/>
        <v>Error?</v>
      </c>
    </row>
    <row r="1424" spans="1:4" x14ac:dyDescent="0.2">
      <c r="A1424" s="5">
        <v>1363</v>
      </c>
      <c r="B1424" s="138">
        <f>'Expenditures 15-22'!D257</f>
        <v>16029</v>
      </c>
      <c r="C1424" s="2" t="s">
        <v>594</v>
      </c>
      <c r="D1424" s="2" t="str">
        <f t="shared" si="21"/>
        <v>Error?</v>
      </c>
    </row>
    <row r="1425" spans="1:4" x14ac:dyDescent="0.2">
      <c r="A1425" s="5">
        <v>1364</v>
      </c>
      <c r="B1425" s="138">
        <f>'Expenditures 15-22'!D259</f>
        <v>21466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21466</v>
      </c>
      <c r="C1427" s="2" t="s">
        <v>594</v>
      </c>
      <c r="D1427" s="2" t="str">
        <f t="shared" si="21"/>
        <v>Error?</v>
      </c>
    </row>
    <row r="1428" spans="1:4" x14ac:dyDescent="0.2">
      <c r="A1428" s="5">
        <v>1367</v>
      </c>
      <c r="B1428" s="138">
        <f>'Expenditures 15-22'!D263</f>
        <v>1041</v>
      </c>
      <c r="D1428" s="2" t="str">
        <f t="shared" si="21"/>
        <v>Error?</v>
      </c>
    </row>
    <row r="1429" spans="1:4" x14ac:dyDescent="0.2">
      <c r="A1429" s="5">
        <v>1368</v>
      </c>
      <c r="B1429" s="138">
        <f>'Expenditures 15-22'!D264</f>
        <v>25089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174296</v>
      </c>
      <c r="D1431" s="2" t="str">
        <f t="shared" si="21"/>
        <v>Error?</v>
      </c>
    </row>
    <row r="1432" spans="1:4" x14ac:dyDescent="0.2">
      <c r="A1432" s="5">
        <v>1371</v>
      </c>
      <c r="B1432" s="138">
        <f>'Expenditures 15-22'!D267</f>
        <v>90743</v>
      </c>
      <c r="D1432" s="2" t="str">
        <f t="shared" si="21"/>
        <v>Error?</v>
      </c>
    </row>
    <row r="1433" spans="1:4" x14ac:dyDescent="0.2">
      <c r="A1433" s="5">
        <v>1372</v>
      </c>
      <c r="B1433" s="138">
        <f>'Expenditures 15-22'!D268</f>
        <v>52736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343905</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43907</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43907</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509354</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775470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6866</v>
      </c>
      <c r="C1471" s="2" t="s">
        <v>594</v>
      </c>
      <c r="D1471" s="2" t="str">
        <f t="shared" ref="D1471:D1534" si="22">IF(ISBLANK(B1471),"OK",IF(A1471-B1471=0,"OK","Error?"))</f>
        <v>Error?</v>
      </c>
    </row>
    <row r="1472" spans="1:4" x14ac:dyDescent="0.2">
      <c r="A1472" s="5">
        <v>1411</v>
      </c>
      <c r="B1472" s="138">
        <f>'Expenditures 15-22'!K223</f>
        <v>46559</v>
      </c>
      <c r="C1472" s="2" t="s">
        <v>594</v>
      </c>
      <c r="D1472" s="2" t="str">
        <f t="shared" si="22"/>
        <v>Error?</v>
      </c>
    </row>
    <row r="1473" spans="1:4" x14ac:dyDescent="0.2">
      <c r="A1473" s="5">
        <v>1412</v>
      </c>
      <c r="B1473" s="138">
        <f>'Expenditures 15-22'!K224</f>
        <v>1008</v>
      </c>
      <c r="C1473" s="2" t="s">
        <v>594</v>
      </c>
      <c r="D1473" s="2" t="str">
        <f t="shared" si="22"/>
        <v>Error?</v>
      </c>
    </row>
    <row r="1474" spans="1:4" x14ac:dyDescent="0.2">
      <c r="A1474" s="5">
        <v>1413</v>
      </c>
      <c r="B1474" s="138">
        <f>'Expenditures 15-22'!K229</f>
        <v>208057</v>
      </c>
      <c r="C1474" s="2" t="s">
        <v>594</v>
      </c>
      <c r="D1474" s="2" t="str">
        <f t="shared" si="22"/>
        <v>Error?</v>
      </c>
    </row>
    <row r="1475" spans="1:4" x14ac:dyDescent="0.2">
      <c r="A1475" s="5">
        <v>1414</v>
      </c>
      <c r="B1475" s="138">
        <f>'Expenditures 15-22'!K232</f>
        <v>11270</v>
      </c>
      <c r="C1475" s="2" t="s">
        <v>594</v>
      </c>
      <c r="D1475" s="2" t="str">
        <f t="shared" si="22"/>
        <v>Error?</v>
      </c>
    </row>
    <row r="1476" spans="1:4" x14ac:dyDescent="0.2">
      <c r="A1476" s="5">
        <v>1415</v>
      </c>
      <c r="B1476" s="138">
        <f>'Expenditures 15-22'!K233</f>
        <v>27019</v>
      </c>
      <c r="C1476" s="2" t="s">
        <v>594</v>
      </c>
      <c r="D1476" s="2" t="str">
        <f t="shared" si="22"/>
        <v>Error?</v>
      </c>
    </row>
    <row r="1477" spans="1:4" x14ac:dyDescent="0.2">
      <c r="A1477" s="5">
        <v>1416</v>
      </c>
      <c r="B1477" s="138">
        <f>'Expenditures 15-22'!K234</f>
        <v>11811</v>
      </c>
      <c r="C1477" s="2" t="s">
        <v>594</v>
      </c>
      <c r="D1477" s="2" t="str">
        <f t="shared" si="22"/>
        <v>Error?</v>
      </c>
    </row>
    <row r="1478" spans="1:4" x14ac:dyDescent="0.2">
      <c r="A1478" s="5">
        <v>1417</v>
      </c>
      <c r="B1478" s="138">
        <f>'Expenditures 15-22'!K235</f>
        <v>3188</v>
      </c>
      <c r="C1478" s="2" t="s">
        <v>594</v>
      </c>
      <c r="D1478" s="2" t="str">
        <f t="shared" si="22"/>
        <v>Error?</v>
      </c>
    </row>
    <row r="1479" spans="1:4" x14ac:dyDescent="0.2">
      <c r="A1479" s="5">
        <v>1418</v>
      </c>
      <c r="B1479" s="138">
        <f>'Expenditures 15-22'!K236</f>
        <v>234</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53522</v>
      </c>
      <c r="C1481" s="2" t="s">
        <v>594</v>
      </c>
      <c r="D1481" s="2" t="str">
        <f t="shared" si="22"/>
        <v>Error?</v>
      </c>
    </row>
    <row r="1482" spans="1:4" x14ac:dyDescent="0.2">
      <c r="A1482" s="5">
        <v>1421</v>
      </c>
      <c r="B1482" s="138">
        <f>'Expenditures 15-22'!K240</f>
        <v>22381</v>
      </c>
      <c r="C1482" s="2" t="s">
        <v>594</v>
      </c>
      <c r="D1482" s="2" t="str">
        <f t="shared" si="22"/>
        <v>Error?</v>
      </c>
    </row>
    <row r="1483" spans="1:4" x14ac:dyDescent="0.2">
      <c r="A1483" s="5">
        <v>1422</v>
      </c>
      <c r="B1483" s="138">
        <f>'Expenditures 15-22'!K241</f>
        <v>8144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30525</v>
      </c>
      <c r="C1485" s="2" t="s">
        <v>594</v>
      </c>
      <c r="D1485" s="2" t="str">
        <f t="shared" si="22"/>
        <v>Error?</v>
      </c>
    </row>
    <row r="1486" spans="1:4" x14ac:dyDescent="0.2">
      <c r="A1486" s="5">
        <v>1425</v>
      </c>
      <c r="B1486" s="138">
        <f>'Expenditures 15-22'!K245</f>
        <v>224</v>
      </c>
      <c r="C1486" s="2" t="s">
        <v>594</v>
      </c>
      <c r="D1486" s="2" t="str">
        <f t="shared" si="22"/>
        <v>Error?</v>
      </c>
    </row>
    <row r="1487" spans="1:4" x14ac:dyDescent="0.2">
      <c r="A1487" s="5">
        <v>1426</v>
      </c>
      <c r="B1487" s="138">
        <f>'Expenditures 15-22'!K246</f>
        <v>15805</v>
      </c>
      <c r="C1487" s="2" t="s">
        <v>594</v>
      </c>
      <c r="D1487" s="2" t="str">
        <f t="shared" si="22"/>
        <v>Error?</v>
      </c>
    </row>
    <row r="1488" spans="1:4" x14ac:dyDescent="0.2">
      <c r="A1488" s="5">
        <v>1427</v>
      </c>
      <c r="B1488" s="138">
        <f>'Expenditures 15-22'!K257</f>
        <v>16029</v>
      </c>
      <c r="C1488" s="2" t="s">
        <v>594</v>
      </c>
      <c r="D1488" s="2" t="str">
        <f t="shared" si="22"/>
        <v>Error?</v>
      </c>
    </row>
    <row r="1489" spans="1:4" x14ac:dyDescent="0.2">
      <c r="A1489" s="5">
        <v>1428</v>
      </c>
      <c r="B1489" s="138">
        <f>'Expenditures 15-22'!K259</f>
        <v>21466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21466</v>
      </c>
      <c r="C1491" s="2" t="s">
        <v>594</v>
      </c>
      <c r="D1491" s="2" t="str">
        <f t="shared" si="22"/>
        <v>Error?</v>
      </c>
    </row>
    <row r="1492" spans="1:4" x14ac:dyDescent="0.2">
      <c r="A1492" s="5">
        <v>1431</v>
      </c>
      <c r="B1492" s="138">
        <f>'Expenditures 15-22'!K263</f>
        <v>1041</v>
      </c>
      <c r="C1492" s="2" t="s">
        <v>594</v>
      </c>
      <c r="D1492" s="2" t="str">
        <f t="shared" si="22"/>
        <v>Error?</v>
      </c>
    </row>
    <row r="1493" spans="1:4" x14ac:dyDescent="0.2">
      <c r="A1493" s="5">
        <v>1432</v>
      </c>
      <c r="B1493" s="138">
        <f>'Expenditures 15-22'!K264</f>
        <v>25089</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174296</v>
      </c>
      <c r="C1495" s="2" t="s">
        <v>594</v>
      </c>
      <c r="D1495" s="2" t="str">
        <f t="shared" si="22"/>
        <v>Error?</v>
      </c>
    </row>
    <row r="1496" spans="1:4" x14ac:dyDescent="0.2">
      <c r="A1496" s="5">
        <v>1435</v>
      </c>
      <c r="B1496" s="138">
        <f>'Expenditures 15-22'!K267</f>
        <v>90743</v>
      </c>
      <c r="C1496" s="2" t="s">
        <v>594</v>
      </c>
      <c r="D1496" s="2" t="str">
        <f t="shared" si="22"/>
        <v>Error?</v>
      </c>
    </row>
    <row r="1497" spans="1:4" x14ac:dyDescent="0.2">
      <c r="A1497" s="5">
        <v>1436</v>
      </c>
      <c r="B1497" s="138">
        <f>'Expenditures 15-22'!K268</f>
        <v>52736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343905</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43907</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43907</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509354</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775470</v>
      </c>
      <c r="C1517" s="2" t="s">
        <v>594</v>
      </c>
      <c r="D1517" s="2" t="str">
        <f t="shared" si="22"/>
        <v>Error?</v>
      </c>
    </row>
    <row r="1518" spans="1:4" x14ac:dyDescent="0.2">
      <c r="A1518" s="5">
        <v>1457</v>
      </c>
      <c r="B1518" s="138">
        <f>'Expenditures 15-22'!K296</f>
        <v>21693</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31338643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30832936</v>
      </c>
      <c r="C1630" s="2" t="s">
        <v>594</v>
      </c>
      <c r="D1630" s="2" t="str">
        <f t="shared" si="24"/>
        <v>Error?</v>
      </c>
    </row>
    <row r="1631" spans="1:4" x14ac:dyDescent="0.2">
      <c r="A1631" s="5">
        <v>1570</v>
      </c>
      <c r="B1631" s="138">
        <f>'Acct Summary 7-8'!D79</f>
        <v>2603770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2553051</v>
      </c>
      <c r="C1644" s="2" t="s">
        <v>594</v>
      </c>
      <c r="D1644" s="2" t="str">
        <f t="shared" si="24"/>
        <v>Error?</v>
      </c>
    </row>
    <row r="1645" spans="1:4" x14ac:dyDescent="0.2">
      <c r="A1645" s="5">
        <v>1584</v>
      </c>
      <c r="B1645" s="138">
        <f>'Acct Summary 7-8'!E79</f>
        <v>3218872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261084</v>
      </c>
      <c r="C1658" s="2" t="s">
        <v>594</v>
      </c>
      <c r="D1658" s="2" t="str">
        <f t="shared" si="24"/>
        <v>Error?</v>
      </c>
    </row>
    <row r="1659" spans="1:4" x14ac:dyDescent="0.2">
      <c r="A1659" s="5">
        <v>1598</v>
      </c>
      <c r="B1659" s="138">
        <f>'Acct Summary 7-8'!F79</f>
        <v>2853094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2523131</v>
      </c>
      <c r="C1672" s="2" t="s">
        <v>594</v>
      </c>
      <c r="D1672" s="2" t="str">
        <f t="shared" si="25"/>
        <v>Error?</v>
      </c>
    </row>
    <row r="1673" spans="1:4" x14ac:dyDescent="0.2">
      <c r="A1673" s="5">
        <v>1612</v>
      </c>
      <c r="B1673" s="138">
        <f>'Acct Summary 7-8'!G79</f>
        <v>883000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904693</v>
      </c>
      <c r="C1686" s="2" t="s">
        <v>594</v>
      </c>
      <c r="D1686" s="2" t="str">
        <f t="shared" si="25"/>
        <v>Error?</v>
      </c>
    </row>
    <row r="1687" spans="1:4" x14ac:dyDescent="0.2">
      <c r="A1687" s="5">
        <v>1626</v>
      </c>
      <c r="B1687" s="138">
        <f>'Acct Summary 7-8'!H79</f>
        <v>432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432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14995602</v>
      </c>
      <c r="C1744" s="2" t="s">
        <v>594</v>
      </c>
      <c r="D1744" s="2" t="str">
        <f t="shared" si="26"/>
        <v>Error?</v>
      </c>
    </row>
    <row r="1745" spans="1:5" x14ac:dyDescent="0.2">
      <c r="A1745" s="5">
        <v>1684</v>
      </c>
      <c r="B1745" s="138">
        <f>'Tax Sched 23'!B5</f>
        <v>4065775</v>
      </c>
      <c r="C1745" s="2" t="s">
        <v>594</v>
      </c>
      <c r="D1745" s="2" t="str">
        <f t="shared" si="26"/>
        <v>Error?</v>
      </c>
    </row>
    <row r="1746" spans="1:5" x14ac:dyDescent="0.2">
      <c r="A1746" s="5">
        <v>1685</v>
      </c>
      <c r="B1746" s="138">
        <f>'Tax Sched 23'!B6</f>
        <v>2897295</v>
      </c>
      <c r="C1746" s="2" t="s">
        <v>594</v>
      </c>
      <c r="D1746" s="2" t="str">
        <f t="shared" si="26"/>
        <v>Error?</v>
      </c>
    </row>
    <row r="1747" spans="1:5" x14ac:dyDescent="0.2">
      <c r="A1747" s="5">
        <v>1686</v>
      </c>
      <c r="B1747" s="138">
        <f>'Tax Sched 23'!B7</f>
        <v>259451</v>
      </c>
      <c r="C1747" s="2" t="s">
        <v>594</v>
      </c>
      <c r="D1747" s="2" t="str">
        <f t="shared" si="26"/>
        <v>Error?</v>
      </c>
    </row>
    <row r="1748" spans="1:5" x14ac:dyDescent="0.2">
      <c r="A1748" s="5">
        <v>1687</v>
      </c>
      <c r="B1748" s="138">
        <f>'Tax Sched 23'!B8</f>
        <v>347543</v>
      </c>
      <c r="C1748" s="2" t="s">
        <v>594</v>
      </c>
      <c r="D1748" s="2" t="str">
        <f t="shared" si="26"/>
        <v>Error?</v>
      </c>
    </row>
    <row r="1749" spans="1:5" x14ac:dyDescent="0.2">
      <c r="A1749" s="5">
        <v>1688</v>
      </c>
      <c r="B1749" s="138">
        <f>'Tax Sched 23'!B10</f>
        <v>361941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23332125</v>
      </c>
      <c r="C1759" s="2" t="s">
        <v>594</v>
      </c>
      <c r="D1759" s="2" t="str">
        <f t="shared" si="26"/>
        <v>Error?</v>
      </c>
    </row>
    <row r="1760" spans="1:5" x14ac:dyDescent="0.2">
      <c r="A1760" s="5">
        <v>1699</v>
      </c>
      <c r="B1760" s="138">
        <f>'Tax Sched 23'!D4</f>
        <v>7209697</v>
      </c>
      <c r="C1760" s="2" t="s">
        <v>594</v>
      </c>
      <c r="D1760" s="2" t="str">
        <f t="shared" si="26"/>
        <v>Error?</v>
      </c>
    </row>
    <row r="1761" spans="1:5" x14ac:dyDescent="0.2">
      <c r="A1761" s="5">
        <v>1700</v>
      </c>
      <c r="B1761" s="138">
        <f>'Tax Sched 23'!D5</f>
        <v>1954688</v>
      </c>
      <c r="C1761" s="2" t="s">
        <v>594</v>
      </c>
      <c r="D1761" s="2" t="str">
        <f t="shared" si="26"/>
        <v>Error?</v>
      </c>
    </row>
    <row r="1762" spans="1:5" s="8" customFormat="1" x14ac:dyDescent="0.2">
      <c r="A1762" s="5">
        <v>1701</v>
      </c>
      <c r="B1762" s="138">
        <f>'Tax Sched 23'!D6</f>
        <v>2897295</v>
      </c>
      <c r="C1762" s="2" t="s">
        <v>594</v>
      </c>
      <c r="D1762" s="2" t="str">
        <f t="shared" si="26"/>
        <v>Error?</v>
      </c>
      <c r="E1762" s="9"/>
    </row>
    <row r="1763" spans="1:5" x14ac:dyDescent="0.2">
      <c r="A1763" s="5">
        <v>1702</v>
      </c>
      <c r="B1763" s="138">
        <f>'Tax Sched 23'!D7</f>
        <v>129958</v>
      </c>
      <c r="C1763" s="2" t="s">
        <v>594</v>
      </c>
      <c r="D1763" s="2" t="str">
        <f t="shared" si="26"/>
        <v>Error?</v>
      </c>
    </row>
    <row r="1764" spans="1:5" x14ac:dyDescent="0.2">
      <c r="A1764" s="5">
        <v>1703</v>
      </c>
      <c r="B1764" s="138">
        <f>'Tax Sched 23'!D8</f>
        <v>167365</v>
      </c>
      <c r="C1764" s="2" t="s">
        <v>594</v>
      </c>
      <c r="D1764" s="2" t="str">
        <f t="shared" si="26"/>
        <v>Error?</v>
      </c>
    </row>
    <row r="1765" spans="1:5" x14ac:dyDescent="0.2">
      <c r="A1765" s="5">
        <v>1704</v>
      </c>
      <c r="B1765" s="138">
        <f>'Tax Sched 23'!D10</f>
        <v>174039</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12727694</v>
      </c>
      <c r="C1775" s="2" t="s">
        <v>594</v>
      </c>
      <c r="D1775" s="2" t="str">
        <f t="shared" si="26"/>
        <v>Error?</v>
      </c>
    </row>
    <row r="1776" spans="1:5" x14ac:dyDescent="0.2">
      <c r="A1776" s="5">
        <v>1715</v>
      </c>
      <c r="B1776" s="138">
        <f>'Tax Sched 23'!C4</f>
        <v>7785905</v>
      </c>
      <c r="D1776" s="2" t="str">
        <f t="shared" si="26"/>
        <v>Error?</v>
      </c>
    </row>
    <row r="1777" spans="1:4" x14ac:dyDescent="0.2">
      <c r="A1777" s="5">
        <v>1716</v>
      </c>
      <c r="B1777" s="138">
        <f>'Tax Sched 23'!C5</f>
        <v>2111087</v>
      </c>
      <c r="D1777" s="2" t="str">
        <f t="shared" si="26"/>
        <v>Error?</v>
      </c>
    </row>
    <row r="1778" spans="1:4" x14ac:dyDescent="0.2">
      <c r="A1778" s="5">
        <v>1717</v>
      </c>
      <c r="B1778" s="138">
        <f>'Tax Sched 23'!C6</f>
        <v>0</v>
      </c>
      <c r="D1778" s="2" t="str">
        <f t="shared" si="26"/>
        <v>Error?</v>
      </c>
    </row>
    <row r="1779" spans="1:4" x14ac:dyDescent="0.2">
      <c r="A1779" s="5">
        <v>1718</v>
      </c>
      <c r="B1779" s="138">
        <f>'Tax Sched 23'!C7</f>
        <v>129493</v>
      </c>
      <c r="D1779" s="2" t="str">
        <f t="shared" si="26"/>
        <v>Error?</v>
      </c>
    </row>
    <row r="1780" spans="1:4" x14ac:dyDescent="0.2">
      <c r="A1780" s="5">
        <v>1719</v>
      </c>
      <c r="B1780" s="138">
        <f>'Tax Sched 23'!C8</f>
        <v>180178</v>
      </c>
      <c r="D1780" s="2" t="str">
        <f t="shared" si="26"/>
        <v>Error?</v>
      </c>
    </row>
    <row r="1781" spans="1:4" x14ac:dyDescent="0.2">
      <c r="A1781" s="5">
        <v>1720</v>
      </c>
      <c r="B1781" s="138">
        <f>'Tax Sched 23'!C10</f>
        <v>187902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10604431</v>
      </c>
      <c r="C1791" s="2" t="s">
        <v>594</v>
      </c>
      <c r="D1791" s="2" t="str">
        <f t="shared" ref="D1791:D1854" si="27">IF(ISBLANK(B1791),"OK",IF(A1791-B1791=0,"OK","Error?"))</f>
        <v>Error?</v>
      </c>
    </row>
    <row r="1792" spans="1:4" x14ac:dyDescent="0.2">
      <c r="A1792" s="5">
        <v>1731</v>
      </c>
      <c r="B1792" s="138">
        <f>'Tax Sched 23'!F4</f>
        <v>7335020</v>
      </c>
      <c r="C1792" s="2" t="s">
        <v>594</v>
      </c>
      <c r="D1792" s="2" t="str">
        <f t="shared" si="27"/>
        <v>Error?</v>
      </c>
    </row>
    <row r="1793" spans="1:4" x14ac:dyDescent="0.2">
      <c r="A1793" s="5">
        <v>1732</v>
      </c>
      <c r="B1793" s="138">
        <f>'Tax Sched 23'!F5</f>
        <v>1988833</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121995</v>
      </c>
      <c r="C1795" s="2" t="s">
        <v>594</v>
      </c>
      <c r="D1795" s="2" t="str">
        <f t="shared" si="27"/>
        <v>Error?</v>
      </c>
    </row>
    <row r="1796" spans="1:4" x14ac:dyDescent="0.2">
      <c r="A1796" s="5">
        <v>1735</v>
      </c>
      <c r="B1796" s="138">
        <f>'Tax Sched 23'!F8</f>
        <v>169743</v>
      </c>
      <c r="C1796" s="2" t="s">
        <v>594</v>
      </c>
      <c r="D1796" s="2" t="str">
        <f t="shared" si="27"/>
        <v>Error?</v>
      </c>
    </row>
    <row r="1797" spans="1:4" x14ac:dyDescent="0.2">
      <c r="A1797" s="5">
        <v>1736</v>
      </c>
      <c r="B1797" s="138">
        <f>'Tax Sched 23'!F10</f>
        <v>177021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9990323</v>
      </c>
      <c r="C1807" s="2" t="s">
        <v>594</v>
      </c>
      <c r="D1807" s="2" t="str">
        <f t="shared" si="27"/>
        <v>Error?</v>
      </c>
    </row>
    <row r="1808" spans="1:4" x14ac:dyDescent="0.2">
      <c r="A1808" s="5">
        <v>1747</v>
      </c>
      <c r="B1808" s="138">
        <f>'Tax Sched 23'!E4</f>
        <v>15120925</v>
      </c>
      <c r="D1808" s="2" t="str">
        <f t="shared" si="27"/>
        <v>Error?</v>
      </c>
    </row>
    <row r="1809" spans="1:4" x14ac:dyDescent="0.2">
      <c r="A1809" s="5">
        <v>1748</v>
      </c>
      <c r="B1809" s="138">
        <f>'Tax Sched 23'!E5</f>
        <v>4099920</v>
      </c>
      <c r="D1809" s="2" t="str">
        <f t="shared" si="27"/>
        <v>Error?</v>
      </c>
    </row>
    <row r="1810" spans="1:4" x14ac:dyDescent="0.2">
      <c r="A1810" s="5">
        <v>1749</v>
      </c>
      <c r="B1810" s="138">
        <f>'Tax Sched 23'!E6</f>
        <v>0</v>
      </c>
      <c r="D1810" s="2" t="str">
        <f t="shared" si="27"/>
        <v>Error?</v>
      </c>
    </row>
    <row r="1811" spans="1:4" x14ac:dyDescent="0.2">
      <c r="A1811" s="5">
        <v>1750</v>
      </c>
      <c r="B1811" s="138">
        <f>'Tax Sched 23'!E7</f>
        <v>251488</v>
      </c>
      <c r="D1811" s="2" t="str">
        <f t="shared" si="27"/>
        <v>Error?</v>
      </c>
    </row>
    <row r="1812" spans="1:4" x14ac:dyDescent="0.2">
      <c r="A1812" s="5">
        <v>1751</v>
      </c>
      <c r="B1812" s="138">
        <f>'Tax Sched 23'!E8</f>
        <v>349921</v>
      </c>
      <c r="D1812" s="2" t="str">
        <f t="shared" si="27"/>
        <v>Error?</v>
      </c>
    </row>
    <row r="1813" spans="1:4" x14ac:dyDescent="0.2">
      <c r="A1813" s="5">
        <v>1752</v>
      </c>
      <c r="B1813" s="138">
        <f>'Tax Sched 23'!E10</f>
        <v>364923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20594754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5725000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4190703</v>
      </c>
      <c r="D2008" s="2" t="str">
        <f t="shared" si="30"/>
        <v>Error?</v>
      </c>
    </row>
    <row r="2009" spans="1:4" x14ac:dyDescent="0.2">
      <c r="A2009" s="5">
        <v>1948</v>
      </c>
      <c r="B2009" s="138">
        <f>'Cap Outlay Deprec 26'!C8</f>
        <v>71594660</v>
      </c>
      <c r="D2009" s="2" t="str">
        <f t="shared" si="30"/>
        <v>Error?</v>
      </c>
    </row>
    <row r="2010" spans="1:4" x14ac:dyDescent="0.2">
      <c r="A2010" s="5">
        <v>1949</v>
      </c>
      <c r="B2010" s="138">
        <f>'Cap Outlay Deprec 26'!C10</f>
        <v>6497234</v>
      </c>
      <c r="D2010" s="2" t="str">
        <f t="shared" si="30"/>
        <v>Error?</v>
      </c>
    </row>
    <row r="2011" spans="1:4" x14ac:dyDescent="0.2">
      <c r="A2011" s="5">
        <v>1950</v>
      </c>
      <c r="B2011" s="138">
        <f>'Cap Outlay Deprec 26'!C12</f>
        <v>7792697</v>
      </c>
      <c r="D2011" s="2" t="str">
        <f t="shared" si="30"/>
        <v>Error?</v>
      </c>
    </row>
    <row r="2012" spans="1:4" x14ac:dyDescent="0.2">
      <c r="A2012" s="5">
        <v>1951</v>
      </c>
      <c r="B2012" s="138">
        <f>'Cap Outlay Deprec 26'!C13</f>
        <v>712646</v>
      </c>
      <c r="D2012" s="2" t="str">
        <f t="shared" si="30"/>
        <v>Error?</v>
      </c>
    </row>
    <row r="2013" spans="1:4" x14ac:dyDescent="0.2">
      <c r="A2013" s="5">
        <v>1952</v>
      </c>
      <c r="B2013" s="138">
        <f>'Cap Outlay Deprec 26'!C16</f>
        <v>90787940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2051374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794907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2846281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4190703</v>
      </c>
      <c r="C2026" s="2" t="s">
        <v>594</v>
      </c>
      <c r="D2026" s="2" t="str">
        <f t="shared" si="30"/>
        <v>Error?</v>
      </c>
    </row>
    <row r="2027" spans="1:4" x14ac:dyDescent="0.2">
      <c r="A2027" s="5">
        <v>1966</v>
      </c>
      <c r="B2027" s="138">
        <f>'Cap Outlay Deprec 26'!F8</f>
        <v>73646034</v>
      </c>
      <c r="C2027" s="2" t="s">
        <v>594</v>
      </c>
      <c r="D2027" s="2" t="str">
        <f t="shared" si="30"/>
        <v>Error?</v>
      </c>
    </row>
    <row r="2028" spans="1:4" x14ac:dyDescent="0.2">
      <c r="A2028" s="5">
        <v>1967</v>
      </c>
      <c r="B2028" s="138">
        <f>'Cap Outlay Deprec 26'!F10</f>
        <v>6497234</v>
      </c>
      <c r="C2028" s="2" t="s">
        <v>594</v>
      </c>
      <c r="D2028" s="2" t="str">
        <f t="shared" si="30"/>
        <v>Error?</v>
      </c>
    </row>
    <row r="2029" spans="1:4" x14ac:dyDescent="0.2">
      <c r="A2029" s="5">
        <v>1968</v>
      </c>
      <c r="B2029" s="138">
        <f>'Cap Outlay Deprec 26'!F12</f>
        <v>8587604</v>
      </c>
      <c r="C2029" s="2" t="s">
        <v>594</v>
      </c>
      <c r="D2029" s="2" t="str">
        <f t="shared" si="30"/>
        <v>Error?</v>
      </c>
    </row>
    <row r="2030" spans="1:4" x14ac:dyDescent="0.2">
      <c r="A2030" s="5">
        <v>1969</v>
      </c>
      <c r="B2030" s="138">
        <f>'Cap Outlay Deprec 26'!F13</f>
        <v>712646</v>
      </c>
      <c r="C2030" s="2" t="s">
        <v>594</v>
      </c>
      <c r="D2030" s="2" t="str">
        <f t="shared" si="30"/>
        <v>Error?</v>
      </c>
    </row>
    <row r="2031" spans="1:4" x14ac:dyDescent="0.2">
      <c r="A2031" s="5">
        <v>1970</v>
      </c>
      <c r="B2031" s="138">
        <f>'Cap Outlay Deprec 26'!F16</f>
        <v>93634221</v>
      </c>
      <c r="C2031" s="2" t="s">
        <v>594</v>
      </c>
      <c r="D2031" s="2" t="str">
        <f t="shared" si="30"/>
        <v>Error?</v>
      </c>
    </row>
    <row r="2032" spans="1:4" x14ac:dyDescent="0.2">
      <c r="A2032" s="10">
        <v>1971</v>
      </c>
      <c r="D2032" s="2" t="str">
        <f t="shared" si="30"/>
        <v>OK</v>
      </c>
    </row>
    <row r="2033" spans="1:4" x14ac:dyDescent="0.2">
      <c r="A2033" s="5">
        <v>1972</v>
      </c>
      <c r="B2033" s="138">
        <f>'Cap Outlay Deprec 26'!H8</f>
        <v>19198597</v>
      </c>
      <c r="D2033" s="2" t="str">
        <f t="shared" si="30"/>
        <v>Error?</v>
      </c>
    </row>
    <row r="2034" spans="1:4" x14ac:dyDescent="0.2">
      <c r="A2034" s="5">
        <v>1973</v>
      </c>
      <c r="B2034" s="138">
        <f>'Cap Outlay Deprec 26'!H10</f>
        <v>1751801</v>
      </c>
      <c r="D2034" s="2" t="str">
        <f t="shared" si="30"/>
        <v>Error?</v>
      </c>
    </row>
    <row r="2035" spans="1:4" x14ac:dyDescent="0.2">
      <c r="A2035" s="5">
        <v>1974</v>
      </c>
      <c r="B2035" s="138">
        <f>'Cap Outlay Deprec 26'!H12</f>
        <v>5710581</v>
      </c>
      <c r="D2035" s="2" t="str">
        <f t="shared" si="30"/>
        <v>Error?</v>
      </c>
    </row>
    <row r="2036" spans="1:4" x14ac:dyDescent="0.2">
      <c r="A2036" s="5">
        <v>1975</v>
      </c>
      <c r="B2036" s="138">
        <f>'Cap Outlay Deprec 26'!H13</f>
        <v>572102</v>
      </c>
      <c r="D2036" s="2" t="str">
        <f t="shared" si="30"/>
        <v>Error?</v>
      </c>
    </row>
    <row r="2037" spans="1:4" x14ac:dyDescent="0.2">
      <c r="A2037" s="5">
        <v>1976</v>
      </c>
      <c r="B2037" s="138">
        <f>'Cap Outlay Deprec 26'!H16</f>
        <v>27233081</v>
      </c>
      <c r="C2037" s="2" t="s">
        <v>594</v>
      </c>
      <c r="D2037" s="2" t="str">
        <f t="shared" si="30"/>
        <v>Error?</v>
      </c>
    </row>
    <row r="2038" spans="1:4" x14ac:dyDescent="0.2">
      <c r="A2038" s="10">
        <v>1977</v>
      </c>
      <c r="D2038" s="2" t="str">
        <f t="shared" si="30"/>
        <v>OK</v>
      </c>
    </row>
    <row r="2039" spans="1:4" x14ac:dyDescent="0.2">
      <c r="A2039" s="5">
        <v>1978</v>
      </c>
      <c r="B2039" s="138">
        <f>'Cap Outlay Deprec 26'!I8</f>
        <v>1473099</v>
      </c>
      <c r="D2039" s="2" t="str">
        <f t="shared" si="30"/>
        <v>Error?</v>
      </c>
    </row>
    <row r="2040" spans="1:4" x14ac:dyDescent="0.2">
      <c r="A2040" s="5">
        <v>1979</v>
      </c>
      <c r="B2040" s="138">
        <f>'Cap Outlay Deprec 26'!I10</f>
        <v>308796</v>
      </c>
      <c r="D2040" s="2" t="str">
        <f t="shared" si="30"/>
        <v>Error?</v>
      </c>
    </row>
    <row r="2041" spans="1:4" x14ac:dyDescent="0.2">
      <c r="A2041" s="5">
        <v>1980</v>
      </c>
      <c r="B2041" s="138">
        <f>'Cap Outlay Deprec 26'!I12</f>
        <v>450080</v>
      </c>
      <c r="D2041" s="2" t="str">
        <f t="shared" si="30"/>
        <v>Error?</v>
      </c>
    </row>
    <row r="2042" spans="1:4" x14ac:dyDescent="0.2">
      <c r="A2042" s="5">
        <v>1981</v>
      </c>
      <c r="B2042" s="138">
        <f>'Cap Outlay Deprec 26'!I13</f>
        <v>6069</v>
      </c>
      <c r="D2042" s="2" t="str">
        <f t="shared" si="30"/>
        <v>Error?</v>
      </c>
    </row>
    <row r="2043" spans="1:4" x14ac:dyDescent="0.2">
      <c r="A2043" s="5">
        <v>1982</v>
      </c>
      <c r="B2043" s="138">
        <f>'Cap Outlay Deprec 26'!I16</f>
        <v>2238044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20671696</v>
      </c>
      <c r="C2051" s="2" t="s">
        <v>594</v>
      </c>
      <c r="D2051" s="2" t="str">
        <f t="shared" si="31"/>
        <v>Error?</v>
      </c>
    </row>
    <row r="2052" spans="1:4" x14ac:dyDescent="0.2">
      <c r="A2052" s="5">
        <v>1991</v>
      </c>
      <c r="B2052" s="138">
        <f>'Cap Outlay Deprec 26'!K10</f>
        <v>2060597</v>
      </c>
      <c r="C2052" s="2" t="s">
        <v>594</v>
      </c>
      <c r="D2052" s="2" t="str">
        <f t="shared" si="31"/>
        <v>Error?</v>
      </c>
    </row>
    <row r="2053" spans="1:4" x14ac:dyDescent="0.2">
      <c r="A2053" s="5">
        <v>1992</v>
      </c>
      <c r="B2053" s="138">
        <f>'Cap Outlay Deprec 26'!K12</f>
        <v>6160661</v>
      </c>
      <c r="C2053" s="2" t="s">
        <v>594</v>
      </c>
      <c r="D2053" s="2" t="str">
        <f t="shared" si="31"/>
        <v>Error?</v>
      </c>
    </row>
    <row r="2054" spans="1:4" x14ac:dyDescent="0.2">
      <c r="A2054" s="5">
        <v>1993</v>
      </c>
      <c r="B2054" s="138">
        <f>'Cap Outlay Deprec 26'!K13</f>
        <v>578171</v>
      </c>
      <c r="C2054" s="2" t="s">
        <v>594</v>
      </c>
      <c r="D2054" s="2" t="str">
        <f t="shared" si="31"/>
        <v>Error?</v>
      </c>
    </row>
    <row r="2055" spans="1:4" x14ac:dyDescent="0.2">
      <c r="A2055" s="5">
        <v>1994</v>
      </c>
      <c r="B2055" s="138">
        <f>'Cap Outlay Deprec 26'!K16</f>
        <v>29471125</v>
      </c>
      <c r="C2055" s="2" t="s">
        <v>594</v>
      </c>
      <c r="D2055" s="2" t="str">
        <f t="shared" si="31"/>
        <v>Error?</v>
      </c>
    </row>
    <row r="2056" spans="1:4" x14ac:dyDescent="0.2">
      <c r="A2056" s="5">
        <v>1995</v>
      </c>
      <c r="B2056" s="138">
        <f>'Cap Outlay Deprec 26'!L5</f>
        <v>4190703</v>
      </c>
      <c r="C2056" s="2" t="s">
        <v>594</v>
      </c>
      <c r="D2056" s="2" t="str">
        <f t="shared" si="31"/>
        <v>Error?</v>
      </c>
    </row>
    <row r="2057" spans="1:4" x14ac:dyDescent="0.2">
      <c r="A2057" s="5">
        <v>1996</v>
      </c>
      <c r="B2057" s="138">
        <f>'Cap Outlay Deprec 26'!L8</f>
        <v>52974338</v>
      </c>
      <c r="C2057" s="2" t="s">
        <v>594</v>
      </c>
      <c r="D2057" s="2" t="str">
        <f t="shared" si="31"/>
        <v>Error?</v>
      </c>
    </row>
    <row r="2058" spans="1:4" x14ac:dyDescent="0.2">
      <c r="A2058" s="5">
        <v>1997</v>
      </c>
      <c r="B2058" s="138">
        <f>'Cap Outlay Deprec 26'!L10</f>
        <v>4436637</v>
      </c>
      <c r="C2058" s="2" t="s">
        <v>594</v>
      </c>
      <c r="D2058" s="2" t="str">
        <f t="shared" si="31"/>
        <v>Error?</v>
      </c>
    </row>
    <row r="2059" spans="1:4" x14ac:dyDescent="0.2">
      <c r="A2059" s="5">
        <v>1998</v>
      </c>
      <c r="B2059" s="138">
        <f>'Cap Outlay Deprec 26'!L12</f>
        <v>2426943</v>
      </c>
      <c r="C2059" s="2" t="s">
        <v>594</v>
      </c>
      <c r="D2059" s="2" t="str">
        <f t="shared" si="31"/>
        <v>Error?</v>
      </c>
    </row>
    <row r="2060" spans="1:4" x14ac:dyDescent="0.2">
      <c r="A2060" s="5">
        <v>1999</v>
      </c>
      <c r="B2060" s="138">
        <f>'Cap Outlay Deprec 26'!L13</f>
        <v>134475</v>
      </c>
      <c r="C2060" s="2" t="s">
        <v>594</v>
      </c>
      <c r="D2060" s="2" t="str">
        <f t="shared" si="31"/>
        <v>Error?</v>
      </c>
    </row>
    <row r="2061" spans="1:4" x14ac:dyDescent="0.2">
      <c r="A2061" s="5">
        <v>2000</v>
      </c>
      <c r="B2061" s="138">
        <f>'Cap Outlay Deprec 26'!L16</f>
        <v>64163096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2313921</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2360088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86714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16407047</v>
      </c>
      <c r="C2551" s="2" t="s">
        <v>594</v>
      </c>
      <c r="D2551" s="2" t="str">
        <f t="shared" si="38"/>
        <v>Error?</v>
      </c>
    </row>
    <row r="2552" spans="1:4" x14ac:dyDescent="0.2">
      <c r="A2552" s="10">
        <v>2491</v>
      </c>
      <c r="D2552" s="2" t="str">
        <f t="shared" si="38"/>
        <v>OK</v>
      </c>
    </row>
    <row r="2553" spans="1:4" x14ac:dyDescent="0.2">
      <c r="A2553" s="5">
        <v>2492</v>
      </c>
      <c r="B2553" s="138">
        <f>'Acct Summary 7-8'!C6</f>
        <v>3761964</v>
      </c>
      <c r="C2553" s="2" t="s">
        <v>594</v>
      </c>
      <c r="D2553" s="2" t="str">
        <f t="shared" si="38"/>
        <v>Error?</v>
      </c>
    </row>
    <row r="2554" spans="1:4" x14ac:dyDescent="0.2">
      <c r="A2554" s="5">
        <v>2493</v>
      </c>
      <c r="B2554" s="138">
        <f>'Acct Summary 7-8'!C7</f>
        <v>866260</v>
      </c>
      <c r="C2554" s="2" t="s">
        <v>594</v>
      </c>
      <c r="D2554" s="2" t="str">
        <f t="shared" si="38"/>
        <v>Error?</v>
      </c>
    </row>
    <row r="2555" spans="1:4" x14ac:dyDescent="0.2">
      <c r="A2555" s="5">
        <v>2494</v>
      </c>
      <c r="B2555" s="138">
        <f>'Acct Summary 7-8'!C8</f>
        <v>21035271</v>
      </c>
      <c r="C2555" s="2" t="s">
        <v>594</v>
      </c>
      <c r="D2555" s="2" t="str">
        <f t="shared" si="38"/>
        <v>Error?</v>
      </c>
    </row>
    <row r="2556" spans="1:4" x14ac:dyDescent="0.2">
      <c r="A2556" s="5">
        <v>2495</v>
      </c>
      <c r="B2556" s="138">
        <f>'Acct Summary 7-8'!C12</f>
        <v>11622070</v>
      </c>
      <c r="C2556" s="2" t="s">
        <v>594</v>
      </c>
      <c r="D2556" s="2" t="str">
        <f t="shared" si="38"/>
        <v>Error?</v>
      </c>
    </row>
    <row r="2557" spans="1:4" x14ac:dyDescent="0.2">
      <c r="A2557" s="5">
        <v>2496</v>
      </c>
      <c r="B2557" s="138">
        <f>'Acct Summary 7-8'!C13</f>
        <v>7478225</v>
      </c>
      <c r="C2557" s="2" t="s">
        <v>594</v>
      </c>
      <c r="D2557" s="2" t="str">
        <f t="shared" si="38"/>
        <v>Error?</v>
      </c>
    </row>
    <row r="2558" spans="1:4" x14ac:dyDescent="0.2">
      <c r="A2558" s="5">
        <v>2497</v>
      </c>
      <c r="B2558" s="138">
        <f>'Acct Summary 7-8'!C14</f>
        <v>80595</v>
      </c>
      <c r="C2558" s="2" t="s">
        <v>594</v>
      </c>
      <c r="D2558" s="2" t="str">
        <f t="shared" si="38"/>
        <v>Error?</v>
      </c>
    </row>
    <row r="2559" spans="1:4" x14ac:dyDescent="0.2">
      <c r="A2559" s="5">
        <v>2498</v>
      </c>
      <c r="B2559" s="138">
        <f>'Acct Summary 7-8'!C15</f>
        <v>2360088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21540978</v>
      </c>
      <c r="C2561" s="2" t="s">
        <v>594</v>
      </c>
      <c r="D2561" s="2" t="str">
        <f t="shared" si="39"/>
        <v>Error?</v>
      </c>
    </row>
    <row r="2562" spans="1:4" x14ac:dyDescent="0.2">
      <c r="A2562" s="5">
        <v>2501</v>
      </c>
      <c r="B2562" s="138">
        <f>'Acct Summary 7-8'!C20</f>
        <v>-505707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4190874</v>
      </c>
      <c r="C2564" s="2" t="s">
        <v>594</v>
      </c>
      <c r="D2564" s="2" t="str">
        <f t="shared" si="39"/>
        <v>Error?</v>
      </c>
    </row>
    <row r="2565" spans="1:4" x14ac:dyDescent="0.2">
      <c r="A2565" s="10">
        <v>2504</v>
      </c>
      <c r="D2565" s="2" t="str">
        <f t="shared" si="39"/>
        <v>OK</v>
      </c>
    </row>
    <row r="2566" spans="1:4" x14ac:dyDescent="0.2">
      <c r="A2566" s="5">
        <v>2505</v>
      </c>
      <c r="B2566" s="138">
        <f>'Acct Summary 7-8'!D6</f>
        <v>1000000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5190874</v>
      </c>
      <c r="C2568" s="2" t="s">
        <v>594</v>
      </c>
      <c r="D2568" s="2" t="str">
        <f t="shared" si="39"/>
        <v>Error?</v>
      </c>
    </row>
    <row r="2569" spans="1:4" x14ac:dyDescent="0.2">
      <c r="A2569" s="5">
        <v>2508</v>
      </c>
      <c r="B2569" s="138">
        <f>'Acct Summary 7-8'!D13</f>
        <v>5154879</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86714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5241593</v>
      </c>
      <c r="C2573" s="2" t="s">
        <v>594</v>
      </c>
      <c r="D2573" s="2" t="str">
        <f t="shared" si="39"/>
        <v>Error?</v>
      </c>
    </row>
    <row r="2574" spans="1:4" x14ac:dyDescent="0.2">
      <c r="A2574" s="5">
        <v>2513</v>
      </c>
      <c r="B2574" s="138">
        <f>'Acct Summary 7-8'!D20</f>
        <v>-50719</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276649</v>
      </c>
      <c r="C2591" s="2" t="s">
        <v>594</v>
      </c>
      <c r="D2591" s="2" t="str">
        <f t="shared" si="39"/>
        <v>Error?</v>
      </c>
    </row>
    <row r="2592" spans="1:4" x14ac:dyDescent="0.2">
      <c r="A2592" s="10">
        <v>2531</v>
      </c>
      <c r="D2592" s="2" t="str">
        <f t="shared" si="39"/>
        <v>OK</v>
      </c>
    </row>
    <row r="2593" spans="1:4" x14ac:dyDescent="0.2">
      <c r="A2593" s="5">
        <v>2532</v>
      </c>
      <c r="B2593" s="138">
        <f>'Acct Summary 7-8'!F6</f>
        <v>1431817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1708466</v>
      </c>
      <c r="C2595" s="2" t="s">
        <v>594</v>
      </c>
      <c r="D2595" s="2" t="str">
        <f t="shared" si="39"/>
        <v>Error?</v>
      </c>
    </row>
    <row r="2596" spans="1:4" x14ac:dyDescent="0.2">
      <c r="A2596" s="5">
        <v>2535</v>
      </c>
      <c r="B2596" s="138">
        <f>'Acct Summary 7-8'!F13</f>
        <v>2038429</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2038429</v>
      </c>
      <c r="C2600" s="2" t="s">
        <v>594</v>
      </c>
      <c r="D2600" s="2" t="str">
        <f t="shared" si="39"/>
        <v>Error?</v>
      </c>
    </row>
    <row r="2601" spans="1:4" x14ac:dyDescent="0.2">
      <c r="A2601" s="5">
        <v>2540</v>
      </c>
      <c r="B2601" s="138">
        <f>'Acct Summary 7-8'!F20</f>
        <v>-329963</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797163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797163</v>
      </c>
      <c r="C2606" s="2" t="s">
        <v>594</v>
      </c>
      <c r="D2606" s="2" t="str">
        <f t="shared" si="39"/>
        <v>Error?</v>
      </c>
    </row>
    <row r="2607" spans="1:4" x14ac:dyDescent="0.2">
      <c r="A2607" s="5">
        <v>2546</v>
      </c>
      <c r="B2607" s="138">
        <f>'Acct Summary 7-8'!G12</f>
        <v>208057</v>
      </c>
      <c r="C2607" s="2" t="s">
        <v>594</v>
      </c>
      <c r="D2607" s="2" t="str">
        <f t="shared" si="39"/>
        <v>Error?</v>
      </c>
    </row>
    <row r="2608" spans="1:4" x14ac:dyDescent="0.2">
      <c r="A2608" s="5">
        <v>2547</v>
      </c>
      <c r="B2608" s="138">
        <f>'Acct Summary 7-8'!G13</f>
        <v>509354</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775470</v>
      </c>
      <c r="C2612" s="2" t="s">
        <v>594</v>
      </c>
      <c r="D2612" s="2" t="str">
        <f t="shared" si="39"/>
        <v>Error?</v>
      </c>
    </row>
    <row r="2613" spans="1:4" x14ac:dyDescent="0.2">
      <c r="A2613" s="5">
        <v>2552</v>
      </c>
      <c r="B2613" s="138">
        <f>'Acct Summary 7-8'!G20</f>
        <v>21693</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2911837</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2911837</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5869625</v>
      </c>
      <c r="C2634" s="2" t="s">
        <v>594</v>
      </c>
      <c r="D2634" s="2" t="str">
        <f t="shared" si="40"/>
        <v>Error?</v>
      </c>
    </row>
    <row r="2635" spans="1:4" x14ac:dyDescent="0.2">
      <c r="A2635" s="5">
        <v>2574</v>
      </c>
      <c r="B2635" s="138">
        <f>'Acct Summary 7-8'!E17</f>
        <v>5869625</v>
      </c>
      <c r="C2635" s="2" t="s">
        <v>594</v>
      </c>
      <c r="D2635" s="2" t="str">
        <f t="shared" si="40"/>
        <v>Error?</v>
      </c>
    </row>
    <row r="2636" spans="1:4" x14ac:dyDescent="0.2">
      <c r="A2636" s="5">
        <v>2575</v>
      </c>
      <c r="B2636" s="138">
        <f>'Acct Summary 7-8'!E20</f>
        <v>-2957788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46167</v>
      </c>
      <c r="C2789" s="2" t="s">
        <v>594</v>
      </c>
      <c r="D2789" s="2" t="str">
        <f t="shared" si="42"/>
        <v>Error?</v>
      </c>
    </row>
    <row r="2790" spans="1:4" x14ac:dyDescent="0.2">
      <c r="A2790" s="5">
        <v>2729</v>
      </c>
      <c r="B2790" s="138">
        <f>'Expenditures 15-22'!E102</f>
        <v>46167</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3135409</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359791</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3135409</v>
      </c>
      <c r="D2912" s="2" t="str">
        <f t="shared" si="44"/>
        <v>Error?</v>
      </c>
    </row>
    <row r="2913" spans="1:4" x14ac:dyDescent="0.2">
      <c r="A2913" s="5">
        <v>2852</v>
      </c>
      <c r="B2913" s="138">
        <f>'Assets-Liab 5-6'!I41</f>
        <v>3135409</v>
      </c>
      <c r="C2913" s="2" t="s">
        <v>594</v>
      </c>
      <c r="D2913" s="2" t="str">
        <f t="shared" si="44"/>
        <v>Error?</v>
      </c>
    </row>
    <row r="2914" spans="1:4" x14ac:dyDescent="0.2">
      <c r="A2914" s="5">
        <v>2853</v>
      </c>
      <c r="B2914" s="138">
        <f>'Assets-Liab 5-6'!L33</f>
        <v>359791</v>
      </c>
      <c r="D2914" s="2" t="str">
        <f t="shared" si="44"/>
        <v>Error?</v>
      </c>
    </row>
    <row r="2915" spans="1:4" x14ac:dyDescent="0.2">
      <c r="A2915" s="10">
        <v>2854</v>
      </c>
      <c r="D2915" s="2" t="str">
        <f t="shared" si="44"/>
        <v>OK</v>
      </c>
    </row>
    <row r="2916" spans="1:4" x14ac:dyDescent="0.2">
      <c r="A2916" s="5">
        <v>2855</v>
      </c>
      <c r="B2916" s="138">
        <f>'Assets-Liab 5-6'!L34</f>
        <v>359791</v>
      </c>
      <c r="C2916" s="2" t="s">
        <v>594</v>
      </c>
      <c r="D2916" s="2" t="str">
        <f t="shared" si="44"/>
        <v>Error?</v>
      </c>
    </row>
    <row r="2917" spans="1:4" x14ac:dyDescent="0.2">
      <c r="A2917" s="5">
        <v>2856</v>
      </c>
      <c r="B2917" s="138">
        <f>'Assets-Liab 5-6'!L41</f>
        <v>359791</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46167</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18288</v>
      </c>
      <c r="D2955" s="2" t="str">
        <f t="shared" si="45"/>
        <v>Error?</v>
      </c>
    </row>
    <row r="2956" spans="1:4" x14ac:dyDescent="0.2">
      <c r="A2956" s="5">
        <v>2895</v>
      </c>
      <c r="B2956" s="138">
        <f>'Expenditures 15-22'!H79</f>
        <v>1927963</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367670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64455</v>
      </c>
      <c r="C2973" s="2" t="s">
        <v>594</v>
      </c>
      <c r="D2973" s="2" t="str">
        <f t="shared" si="45"/>
        <v>Error?</v>
      </c>
    </row>
    <row r="2974" spans="1:4" x14ac:dyDescent="0.2">
      <c r="A2974" s="5">
        <v>2913</v>
      </c>
      <c r="B2974" s="138">
        <f>'Expenditures 15-22'!K79</f>
        <v>1927963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367670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86714</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416506</v>
      </c>
      <c r="C3225" s="2" t="s">
        <v>594</v>
      </c>
      <c r="D3225" s="2" t="str">
        <f t="shared" si="49"/>
        <v>Error?</v>
      </c>
    </row>
    <row r="3226" spans="1:4" x14ac:dyDescent="0.2">
      <c r="A3226" s="5">
        <v>3165</v>
      </c>
      <c r="B3226" s="138">
        <f>'Acct Summary 7-8'!I8</f>
        <v>416506</v>
      </c>
      <c r="C3226" s="2" t="s">
        <v>594</v>
      </c>
      <c r="D3226" s="2" t="str">
        <f t="shared" si="49"/>
        <v>Error?</v>
      </c>
    </row>
    <row r="3227" spans="1:4" x14ac:dyDescent="0.2">
      <c r="A3227" s="5">
        <v>3166</v>
      </c>
      <c r="B3227" s="138">
        <f>'Acct Summary 7-8'!I20</f>
        <v>416506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-505707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-50719</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-329963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21693</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-2957788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416506</v>
      </c>
      <c r="C3320" s="2" t="s">
        <v>594</v>
      </c>
      <c r="D3320" s="2" t="str">
        <f t="shared" si="50"/>
        <v>Error?</v>
      </c>
    </row>
    <row r="3321" spans="1:4" x14ac:dyDescent="0.2">
      <c r="A3321" s="5">
        <v>3260</v>
      </c>
      <c r="B3321" s="138">
        <f>'Acct Summary 7-8'!I79</f>
        <v>2718903</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3135409</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1089654</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183560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983987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10926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360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2268487</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100333</v>
      </c>
      <c r="D3387" s="2" t="str">
        <f t="shared" si="51"/>
        <v>Error?</v>
      </c>
    </row>
    <row r="3388" spans="1:4" x14ac:dyDescent="0.2">
      <c r="A3388" s="5">
        <v>3327</v>
      </c>
      <c r="B3388" s="138">
        <f>'Expenditures 15-22'!D217</f>
        <v>51190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100333</v>
      </c>
      <c r="C3390" s="2" t="s">
        <v>594</v>
      </c>
      <c r="D3390" s="2" t="str">
        <f t="shared" si="51"/>
        <v>Error?</v>
      </c>
    </row>
    <row r="3391" spans="1:4" x14ac:dyDescent="0.2">
      <c r="A3391" s="5">
        <v>3330</v>
      </c>
      <c r="B3391" s="138">
        <f>'Expenditures 15-22'!K217</f>
        <v>51190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30832936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2553051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261084</v>
      </c>
      <c r="D3417" s="2" t="str">
        <f t="shared" si="52"/>
        <v>Error?</v>
      </c>
    </row>
    <row r="3418" spans="1:4" x14ac:dyDescent="0.2">
      <c r="A3418" s="10">
        <v>3357</v>
      </c>
      <c r="D3418" s="2" t="str">
        <f t="shared" si="52"/>
        <v>OK</v>
      </c>
    </row>
    <row r="3419" spans="1:4" x14ac:dyDescent="0.2">
      <c r="A3419" s="5">
        <v>3358</v>
      </c>
      <c r="B3419" s="138">
        <f>'Assets-Liab 5-6'!F4</f>
        <v>2523131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904693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432</v>
      </c>
      <c r="D3425" s="2" t="str">
        <f t="shared" si="52"/>
        <v>Error?</v>
      </c>
    </row>
    <row r="3426" spans="1:4" x14ac:dyDescent="0.2">
      <c r="A3426" s="10">
        <v>3365</v>
      </c>
      <c r="D3426" s="2" t="str">
        <f t="shared" si="52"/>
        <v>OK</v>
      </c>
    </row>
    <row r="3427" spans="1:4" x14ac:dyDescent="0.2">
      <c r="A3427" s="5">
        <v>3366</v>
      </c>
      <c r="B3427" s="138">
        <f>'Assets-Liab 5-6'!I4</f>
        <v>3135409</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359791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346457</v>
      </c>
      <c r="C3446" s="2" t="s">
        <v>594</v>
      </c>
      <c r="D3446" s="2" t="str">
        <f t="shared" si="52"/>
        <v>Error?</v>
      </c>
    </row>
    <row r="3447" spans="1:4" x14ac:dyDescent="0.2">
      <c r="A3447" s="5">
        <v>3386</v>
      </c>
      <c r="B3447" s="138">
        <f>'Tax Sched 23'!D16</f>
        <v>166279</v>
      </c>
      <c r="C3447" s="2" t="s">
        <v>594</v>
      </c>
      <c r="D3447" s="2" t="str">
        <f t="shared" si="52"/>
        <v>Error?</v>
      </c>
    </row>
    <row r="3448" spans="1:4" x14ac:dyDescent="0.2">
      <c r="A3448" s="5">
        <v>3387</v>
      </c>
      <c r="B3448" s="138">
        <f>'Tax Sched 23'!C16</f>
        <v>180178</v>
      </c>
      <c r="D3448" s="2" t="str">
        <f t="shared" si="52"/>
        <v>Error?</v>
      </c>
    </row>
    <row r="3449" spans="1:4" x14ac:dyDescent="0.2">
      <c r="A3449" s="5">
        <v>3388</v>
      </c>
      <c r="B3449" s="138">
        <f>'Tax Sched 23'!F16</f>
        <v>169743</v>
      </c>
      <c r="C3449" s="2" t="s">
        <v>594</v>
      </c>
      <c r="D3449" s="2" t="str">
        <f t="shared" si="52"/>
        <v>Error?</v>
      </c>
    </row>
    <row r="3450" spans="1:4" x14ac:dyDescent="0.2">
      <c r="A3450" s="5">
        <v>3389</v>
      </c>
      <c r="B3450" s="138">
        <f>'Tax Sched 23'!E16</f>
        <v>349921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58059</v>
      </c>
      <c r="D3721" s="2" t="str">
        <f t="shared" si="57"/>
        <v>Error?</v>
      </c>
    </row>
    <row r="3722" spans="1:4" x14ac:dyDescent="0.2">
      <c r="A3722" s="5">
        <v>3661</v>
      </c>
      <c r="B3722" s="138">
        <f>'Expenditures 15-22'!D285</f>
        <v>58059</v>
      </c>
      <c r="C3722" s="2" t="s">
        <v>594</v>
      </c>
      <c r="D3722" s="2" t="str">
        <f t="shared" si="57"/>
        <v>Error?</v>
      </c>
    </row>
    <row r="3723" spans="1:4" x14ac:dyDescent="0.2">
      <c r="A3723" s="5">
        <v>3662</v>
      </c>
      <c r="B3723" s="138">
        <f>'Expenditures 15-22'!K283</f>
        <v>58059</v>
      </c>
      <c r="C3723" s="2" t="s">
        <v>594</v>
      </c>
      <c r="D3723" s="2" t="str">
        <f t="shared" si="57"/>
        <v>Error?</v>
      </c>
    </row>
    <row r="3724" spans="1:4" x14ac:dyDescent="0.2">
      <c r="A3724" s="5">
        <v>3663</v>
      </c>
      <c r="B3724" s="138">
        <f>'Expenditures 15-22'!K285</f>
        <v>58059</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376502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58061</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28373</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29688</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27968</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57656</v>
      </c>
      <c r="D4111" s="2" t="str">
        <f t="shared" si="63"/>
        <v>Error?</v>
      </c>
    </row>
    <row r="4112" spans="1:4" x14ac:dyDescent="0.2">
      <c r="A4112" s="10">
        <v>4051</v>
      </c>
      <c r="D4112" s="2" t="str">
        <f t="shared" si="63"/>
        <v>OK</v>
      </c>
    </row>
    <row r="4113" spans="1:4" x14ac:dyDescent="0.2">
      <c r="A4113" s="5">
        <v>4052</v>
      </c>
      <c r="B4113" s="138">
        <f>'Acct Summary 7-8'!C9</f>
        <v>8982055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30017326</v>
      </c>
      <c r="C4122" s="2" t="s">
        <v>594</v>
      </c>
      <c r="D4122" s="2" t="str">
        <f t="shared" si="63"/>
        <v>Error?</v>
      </c>
    </row>
    <row r="4123" spans="1:4" x14ac:dyDescent="0.2">
      <c r="A4123" s="5">
        <v>4062</v>
      </c>
      <c r="B4123" s="138">
        <f>'Acct Summary 7-8'!D10</f>
        <v>5190874</v>
      </c>
      <c r="C4123" s="2" t="s">
        <v>594</v>
      </c>
      <c r="D4123" s="2" t="str">
        <f t="shared" si="63"/>
        <v>Error?</v>
      </c>
    </row>
    <row r="4124" spans="1:4" x14ac:dyDescent="0.2">
      <c r="A4124" s="5">
        <v>4063</v>
      </c>
      <c r="B4124" s="138">
        <f>'Acct Summary 7-8'!E10</f>
        <v>2911837</v>
      </c>
      <c r="C4124" s="2" t="s">
        <v>594</v>
      </c>
      <c r="D4124" s="2" t="str">
        <f t="shared" si="63"/>
        <v>Error?</v>
      </c>
    </row>
    <row r="4125" spans="1:4" x14ac:dyDescent="0.2">
      <c r="A4125" s="5">
        <v>4064</v>
      </c>
      <c r="B4125" s="138">
        <f>'Acct Summary 7-8'!F10</f>
        <v>1708466</v>
      </c>
      <c r="C4125" s="2" t="s">
        <v>594</v>
      </c>
      <c r="D4125" s="2" t="str">
        <f t="shared" si="63"/>
        <v>Error?</v>
      </c>
    </row>
    <row r="4126" spans="1:4" x14ac:dyDescent="0.2">
      <c r="A4126" s="5">
        <v>4065</v>
      </c>
      <c r="B4126" s="138">
        <f>'Acct Summary 7-8'!G10</f>
        <v>797163</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416506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8982055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30523033</v>
      </c>
      <c r="C4136" s="2" t="s">
        <v>594</v>
      </c>
      <c r="D4136" s="2" t="str">
        <f t="shared" si="63"/>
        <v>Error?</v>
      </c>
    </row>
    <row r="4137" spans="1:4" x14ac:dyDescent="0.2">
      <c r="A4137" s="5">
        <v>4076</v>
      </c>
      <c r="B4137" s="138">
        <f>'Acct Summary 7-8'!D19</f>
        <v>5241593</v>
      </c>
      <c r="C4137" s="2" t="s">
        <v>594</v>
      </c>
      <c r="D4137" s="2" t="str">
        <f t="shared" si="63"/>
        <v>Error?</v>
      </c>
    </row>
    <row r="4138" spans="1:4" x14ac:dyDescent="0.2">
      <c r="A4138" s="5">
        <v>4077</v>
      </c>
      <c r="B4138" s="138">
        <f>'Acct Summary 7-8'!E19</f>
        <v>5869625</v>
      </c>
      <c r="C4138" s="2" t="s">
        <v>594</v>
      </c>
      <c r="D4138" s="2" t="str">
        <f t="shared" si="63"/>
        <v>Error?</v>
      </c>
    </row>
    <row r="4139" spans="1:4" x14ac:dyDescent="0.2">
      <c r="A4139" s="5">
        <v>4078</v>
      </c>
      <c r="B4139" s="138">
        <f>'Acct Summary 7-8'!F19</f>
        <v>2038429</v>
      </c>
      <c r="C4139" s="2" t="s">
        <v>594</v>
      </c>
      <c r="D4139" s="2" t="str">
        <f t="shared" si="63"/>
        <v>Error?</v>
      </c>
    </row>
    <row r="4140" spans="1:4" x14ac:dyDescent="0.2">
      <c r="A4140" s="5">
        <v>4079</v>
      </c>
      <c r="B4140" s="138">
        <f>'Acct Summary 7-8'!G19</f>
        <v>775470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-261084</v>
      </c>
      <c r="C4172" s="2" t="s">
        <v>594</v>
      </c>
      <c r="D4172" s="2" t="str">
        <f t="shared" si="64"/>
        <v>Error?</v>
      </c>
    </row>
    <row r="4173" spans="1:4" x14ac:dyDescent="0.2">
      <c r="A4173" s="5">
        <v>4112</v>
      </c>
      <c r="B4173" s="138">
        <f>'Short-Term Long-Term Debt 24'!H49</f>
        <v>5725000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86714</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86714</v>
      </c>
      <c r="C4202" s="2" t="s">
        <v>594</v>
      </c>
      <c r="D4202" s="2" t="str">
        <f t="shared" si="64"/>
        <v>Error?</v>
      </c>
    </row>
    <row r="4203" spans="1:4" x14ac:dyDescent="0.2">
      <c r="A4203" s="5">
        <v>4142</v>
      </c>
      <c r="B4203" s="138">
        <f>'Expenditures 15-22'!E139</f>
        <v>86714</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1852.6000000000001</v>
      </c>
      <c r="C4265" s="2" t="s">
        <v>594</v>
      </c>
      <c r="D4265" s="2" t="str">
        <f t="shared" si="65"/>
        <v>Error?</v>
      </c>
      <c r="E4265" s="128"/>
    </row>
    <row r="4266" spans="1:5" x14ac:dyDescent="0.2">
      <c r="A4266" s="12">
        <v>4205</v>
      </c>
      <c r="B4266" s="138">
        <f>('FP Info 3'!F10)*100000</f>
        <v>502.31800000000004</v>
      </c>
      <c r="C4266" s="2" t="s">
        <v>594</v>
      </c>
      <c r="D4266" s="2" t="str">
        <f t="shared" si="65"/>
        <v>Error?</v>
      </c>
      <c r="E4266" s="128"/>
    </row>
    <row r="4267" spans="1:5" x14ac:dyDescent="0.2">
      <c r="A4267" s="12">
        <v>4206</v>
      </c>
      <c r="B4267" s="138">
        <f>('FP Info 3'!H10)*100000</f>
        <v>30.812000000000001</v>
      </c>
      <c r="C4267" s="2" t="s">
        <v>594</v>
      </c>
      <c r="D4267" s="2" t="str">
        <f t="shared" si="65"/>
        <v>Error?</v>
      </c>
      <c r="E4267" s="128"/>
    </row>
    <row r="4268" spans="1:5" x14ac:dyDescent="0.2">
      <c r="A4268" s="12">
        <v>4207</v>
      </c>
      <c r="B4268" s="138">
        <f>('FP Info 3'!J10)*100000</f>
        <v>2386</v>
      </c>
      <c r="C4268" s="2" t="s">
        <v>594</v>
      </c>
      <c r="D4268" s="2" t="str">
        <f t="shared" si="65"/>
        <v>Error?</v>
      </c>
    </row>
    <row r="4269" spans="1:5" x14ac:dyDescent="0.2">
      <c r="A4269" s="12">
        <v>4208</v>
      </c>
      <c r="B4269" s="138">
        <f>'FP Info 3'!J16</f>
        <v>39044527</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92175</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81112</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14667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116878</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9000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39305</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44.71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2741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30984</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816200173</v>
      </c>
      <c r="D4995" s="2" t="str">
        <f t="shared" si="77"/>
        <v>Error?</v>
      </c>
    </row>
    <row r="4996" spans="1:4" x14ac:dyDescent="0.2">
      <c r="A4996" s="12">
        <v>4935</v>
      </c>
      <c r="B4996" s="138">
        <f>'FP Info 3'!H31</f>
        <v>56317811.937000006</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14995602</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14995602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220645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220645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65357</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65357</v>
      </c>
      <c r="C5087" s="2" t="s">
        <v>594</v>
      </c>
      <c r="D5087" s="2" t="str">
        <f t="shared" si="78"/>
        <v>Error?</v>
      </c>
    </row>
    <row r="5088" spans="1:4" x14ac:dyDescent="0.2">
      <c r="A5088" s="5">
        <v>5027</v>
      </c>
      <c r="B5088" s="138">
        <f>'Revenues 9-14'!C65</f>
        <v>288313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288313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476141</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476141</v>
      </c>
      <c r="C5096" s="2" t="s">
        <v>594</v>
      </c>
      <c r="D5096" s="2" t="str">
        <f t="shared" si="78"/>
        <v>Error?</v>
      </c>
    </row>
    <row r="5097" spans="1:4" x14ac:dyDescent="0.2">
      <c r="A5097" s="5">
        <v>5036</v>
      </c>
      <c r="B5097" s="138">
        <f>'Revenues 9-14'!C77</f>
        <v>48365</v>
      </c>
      <c r="D5097" s="2" t="str">
        <f t="shared" si="78"/>
        <v>Error?</v>
      </c>
    </row>
    <row r="5098" spans="1:4" x14ac:dyDescent="0.2">
      <c r="A5098" s="5">
        <v>5037</v>
      </c>
      <c r="B5098" s="138">
        <f>'Revenues 9-14'!C78</f>
        <v>7172</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303873</v>
      </c>
      <c r="D5101" s="2" t="str">
        <f t="shared" si="78"/>
        <v>Error?</v>
      </c>
    </row>
    <row r="5102" spans="1:4" x14ac:dyDescent="0.2">
      <c r="A5102" s="5">
        <v>5041</v>
      </c>
      <c r="B5102" s="138">
        <f>'Revenues 9-14'!C82</f>
        <v>359410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1579</v>
      </c>
      <c r="D5119" s="2" t="str">
        <f t="shared" ref="D5119:D5182" si="79">IF(ISBLANK(B5119),"OK",IF(A5119-B5119=0,"OK","Error?"))</f>
        <v>Error?</v>
      </c>
    </row>
    <row r="5120" spans="1:4" x14ac:dyDescent="0.2">
      <c r="A5120" s="5">
        <v>5059</v>
      </c>
      <c r="B5120" s="138">
        <f>'Revenues 9-14'!C108</f>
        <v>1579</v>
      </c>
      <c r="C5120" s="2" t="s">
        <v>594</v>
      </c>
      <c r="D5120" s="2" t="str">
        <f t="shared" si="79"/>
        <v>Error?</v>
      </c>
    </row>
    <row r="5121" spans="1:4" x14ac:dyDescent="0.2">
      <c r="A5121" s="5">
        <v>5060</v>
      </c>
      <c r="B5121" s="138">
        <f>'Revenues 9-14'!C109</f>
        <v>16407047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3158840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3189824</v>
      </c>
      <c r="C5132" s="2" t="s">
        <v>594</v>
      </c>
      <c r="D5132" s="2" t="str">
        <f t="shared" si="79"/>
        <v>Error?</v>
      </c>
    </row>
    <row r="5133" spans="1:4" x14ac:dyDescent="0.2">
      <c r="A5133" s="5">
        <v>5072</v>
      </c>
      <c r="B5133" s="138">
        <f>'Revenues 9-14'!C124</f>
        <v>235206</v>
      </c>
      <c r="D5133" s="2" t="str">
        <f t="shared" si="79"/>
        <v>Error?</v>
      </c>
    </row>
    <row r="5134" spans="1:4" x14ac:dyDescent="0.2">
      <c r="A5134" s="5">
        <v>5073</v>
      </c>
      <c r="B5134" s="138">
        <f>'Revenues 9-14'!C125</f>
        <v>120281</v>
      </c>
      <c r="D5134" s="2" t="str">
        <f t="shared" si="79"/>
        <v>Error?</v>
      </c>
    </row>
    <row r="5135" spans="1:4" x14ac:dyDescent="0.2">
      <c r="A5135" s="5">
        <v>5074</v>
      </c>
      <c r="B5135" s="138">
        <f>'Revenues 9-14'!C126</f>
        <v>131216</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4797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491500</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21955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21955</v>
      </c>
      <c r="C5161" s="2" t="s">
        <v>594</v>
      </c>
      <c r="D5161" s="2" t="str">
        <f t="shared" si="79"/>
        <v>Error?</v>
      </c>
    </row>
    <row r="5162" spans="1:4" x14ac:dyDescent="0.2">
      <c r="A5162" s="10">
        <v>5101</v>
      </c>
      <c r="D5162" s="2" t="str">
        <f t="shared" si="79"/>
        <v>OK</v>
      </c>
    </row>
    <row r="5163" spans="1:4" x14ac:dyDescent="0.2">
      <c r="A5163" s="5">
        <v>5102</v>
      </c>
      <c r="B5163" s="138">
        <f>'Revenues 9-14'!C142</f>
        <v>3108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3108</v>
      </c>
      <c r="C5165" s="2" t="s">
        <v>594</v>
      </c>
      <c r="D5165" s="2" t="str">
        <f t="shared" si="79"/>
        <v>Error?</v>
      </c>
    </row>
    <row r="5166" spans="1:4" x14ac:dyDescent="0.2">
      <c r="A5166" s="10">
        <v>5105</v>
      </c>
      <c r="D5166" s="2" t="str">
        <f t="shared" si="79"/>
        <v>OK</v>
      </c>
    </row>
    <row r="5167" spans="1:4" x14ac:dyDescent="0.2">
      <c r="A5167" s="5">
        <v>5106</v>
      </c>
      <c r="B5167" s="138">
        <f>'Revenues 9-14'!C145</f>
        <v>3224</v>
      </c>
      <c r="D5167" s="2" t="str">
        <f t="shared" si="79"/>
        <v>Error?</v>
      </c>
    </row>
    <row r="5168" spans="1:4" x14ac:dyDescent="0.2">
      <c r="A5168" s="5">
        <v>5107</v>
      </c>
      <c r="B5168" s="138">
        <f>'Revenues 9-14'!C147</f>
        <v>49612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572140</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3761964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246916</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29631</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276547</v>
      </c>
      <c r="C5246" s="2" t="s">
        <v>594</v>
      </c>
      <c r="D5246" s="2" t="str">
        <f t="shared" si="80"/>
        <v>Error?</v>
      </c>
    </row>
    <row r="5247" spans="1:4" x14ac:dyDescent="0.2">
      <c r="A5247" s="5">
        <v>5186</v>
      </c>
      <c r="B5247" s="138">
        <f>'Revenues 9-14'!C203</f>
        <v>174647</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9000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174647</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43336</v>
      </c>
      <c r="D5278" s="2" t="str">
        <f t="shared" si="81"/>
        <v>Error?</v>
      </c>
    </row>
    <row r="5279" spans="1:4" x14ac:dyDescent="0.2">
      <c r="A5279" s="5">
        <v>5218</v>
      </c>
      <c r="B5279" s="138">
        <f>'Revenues 9-14'!C221</f>
        <v>170284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213620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21596</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21596</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866260</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866260</v>
      </c>
      <c r="C5326" s="2" t="s">
        <v>594</v>
      </c>
      <c r="D5326" s="2" t="str">
        <f t="shared" si="82"/>
        <v>Error?</v>
      </c>
    </row>
    <row r="5327" spans="1:4" x14ac:dyDescent="0.2">
      <c r="A5327" s="5">
        <v>5266</v>
      </c>
      <c r="B5327" s="138">
        <f>'Revenues 9-14'!C275</f>
        <v>21035271</v>
      </c>
      <c r="C5327" s="2" t="s">
        <v>594</v>
      </c>
      <c r="D5327" s="2" t="str">
        <f t="shared" si="82"/>
        <v>Error?</v>
      </c>
    </row>
    <row r="5328" spans="1:4" x14ac:dyDescent="0.2">
      <c r="A5328" s="5">
        <v>5267</v>
      </c>
      <c r="B5328" s="138">
        <f>'Revenues 9-14'!D5</f>
        <v>4065775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4065775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23947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23947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2994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19718</v>
      </c>
      <c r="D5354" s="2" t="str">
        <f t="shared" si="82"/>
        <v>Error?</v>
      </c>
    </row>
    <row r="5355" spans="1:4" x14ac:dyDescent="0.2">
      <c r="A5355" s="5">
        <v>5294</v>
      </c>
      <c r="B5355" s="138">
        <f>'Revenues 9-14'!D108</f>
        <v>101152</v>
      </c>
      <c r="C5355" s="2" t="s">
        <v>594</v>
      </c>
      <c r="D5355" s="2" t="str">
        <f t="shared" si="82"/>
        <v>Error?</v>
      </c>
    </row>
    <row r="5356" spans="1:4" x14ac:dyDescent="0.2">
      <c r="A5356" s="5">
        <v>5295</v>
      </c>
      <c r="B5356" s="138">
        <f>'Revenues 9-14'!D109</f>
        <v>4190874</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1000000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1000000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1000000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5190874</v>
      </c>
      <c r="C5508" s="2" t="s">
        <v>594</v>
      </c>
      <c r="D5508" s="2" t="str">
        <f t="shared" si="85"/>
        <v>Error?</v>
      </c>
    </row>
    <row r="5509" spans="1:4" x14ac:dyDescent="0.2">
      <c r="A5509" s="5">
        <v>5448</v>
      </c>
      <c r="B5509" s="138">
        <f>'Revenues 9-14'!E5</f>
        <v>2897295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2897295</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14542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14542</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2911837</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2911837</v>
      </c>
      <c r="C5552" s="2" t="s">
        <v>594</v>
      </c>
      <c r="D5552" s="2" t="str">
        <f t="shared" si="85"/>
        <v>Error?</v>
      </c>
    </row>
    <row r="5553" spans="1:4" x14ac:dyDescent="0.2">
      <c r="A5553" s="5">
        <v>5492</v>
      </c>
      <c r="B5553" s="138">
        <f>'Revenues 9-14'!F5</f>
        <v>259451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259451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17198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17198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276649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693131</v>
      </c>
      <c r="D5615" s="2" t="str">
        <f t="shared" si="86"/>
        <v>Error?</v>
      </c>
    </row>
    <row r="5616" spans="1:4" x14ac:dyDescent="0.2">
      <c r="A5616" s="10">
        <v>5555</v>
      </c>
      <c r="D5616" s="2" t="str">
        <f t="shared" si="86"/>
        <v>OK</v>
      </c>
    </row>
    <row r="5617" spans="1:4" x14ac:dyDescent="0.2">
      <c r="A5617" s="5">
        <v>5556</v>
      </c>
      <c r="B5617" s="138">
        <f>'Revenues 9-14'!F152</f>
        <v>738686</v>
      </c>
      <c r="D5617" s="2" t="str">
        <f t="shared" si="86"/>
        <v>Error?</v>
      </c>
    </row>
    <row r="5618" spans="1:4" x14ac:dyDescent="0.2">
      <c r="A5618" s="5">
        <v>5557</v>
      </c>
      <c r="B5618" s="138">
        <f>'Revenues 9-14'!F154</f>
        <v>1431817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1431817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1431817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1708466</v>
      </c>
      <c r="C5720" s="2" t="s">
        <v>594</v>
      </c>
      <c r="D5720" s="2" t="str">
        <f t="shared" si="88"/>
        <v>Error?</v>
      </c>
    </row>
    <row r="5721" spans="1:4" x14ac:dyDescent="0.2">
      <c r="A5721" s="5">
        <v>5660</v>
      </c>
      <c r="B5721" s="138">
        <f>'Revenues 9-14'!G5</f>
        <v>347543</v>
      </c>
      <c r="D5721" s="2" t="str">
        <f t="shared" si="88"/>
        <v>Error?</v>
      </c>
    </row>
    <row r="5722" spans="1:4" x14ac:dyDescent="0.2">
      <c r="A5722" s="5">
        <v>5661</v>
      </c>
      <c r="B5722" s="138">
        <f>'Revenues 9-14'!G7</f>
        <v>0</v>
      </c>
      <c r="D5722" s="2" t="str">
        <f t="shared" si="88"/>
        <v>Error?</v>
      </c>
    </row>
    <row r="5723" spans="1:4" x14ac:dyDescent="0.2">
      <c r="A5723" s="5">
        <v>5662</v>
      </c>
      <c r="B5723" s="138">
        <f>'Revenues 9-14'!G8</f>
        <v>346457</v>
      </c>
      <c r="D5723" s="2" t="str">
        <f t="shared" si="88"/>
        <v>Error?</v>
      </c>
    </row>
    <row r="5724" spans="1:4" x14ac:dyDescent="0.2">
      <c r="A5724" s="5">
        <v>5663</v>
      </c>
      <c r="B5724" s="138">
        <f>'Revenues 9-14'!G11</f>
        <v>58061</v>
      </c>
      <c r="D5724" s="2" t="str">
        <f t="shared" si="88"/>
        <v>Error?</v>
      </c>
    </row>
    <row r="5725" spans="1:4" x14ac:dyDescent="0.2">
      <c r="A5725" s="5">
        <v>5664</v>
      </c>
      <c r="B5725" s="138">
        <f>'Revenues 9-14'!G12</f>
        <v>752061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39550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39550</v>
      </c>
      <c r="C5730" s="2" t="s">
        <v>594</v>
      </c>
      <c r="D5730" s="2" t="str">
        <f t="shared" si="88"/>
        <v>Error?</v>
      </c>
    </row>
    <row r="5731" spans="1:4" x14ac:dyDescent="0.2">
      <c r="A5731" s="5">
        <v>5670</v>
      </c>
      <c r="B5731" s="138">
        <f>'Revenues 9-14'!G65</f>
        <v>5552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5552</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797163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361941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361941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54565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54565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416506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797163</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416506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58059</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40285</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1670.15</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-505707</v>
      </c>
      <c r="D6267" s="2" t="str">
        <f t="shared" si="96"/>
        <v>Error?</v>
      </c>
      <c r="E6267" s="2" t="s">
        <v>199</v>
      </c>
    </row>
    <row r="6268" spans="1:5" x14ac:dyDescent="0.2">
      <c r="A6268">
        <v>6207</v>
      </c>
      <c r="B6268" s="138">
        <f>'Acct Summary 7-8'!D82</f>
        <v>-50719</v>
      </c>
      <c r="D6268" s="2" t="str">
        <f t="shared" si="96"/>
        <v>Error?</v>
      </c>
      <c r="E6268" s="2" t="s">
        <v>199</v>
      </c>
    </row>
    <row r="6269" spans="1:5" x14ac:dyDescent="0.2">
      <c r="A6269">
        <v>6208</v>
      </c>
      <c r="B6269" s="138">
        <f>'Acct Summary 7-8'!E82</f>
        <v>-2957788</v>
      </c>
      <c r="D6269" s="2" t="str">
        <f t="shared" si="96"/>
        <v>Error?</v>
      </c>
      <c r="E6269" s="2" t="s">
        <v>199</v>
      </c>
    </row>
    <row r="6270" spans="1:5" x14ac:dyDescent="0.2">
      <c r="A6270">
        <v>6209</v>
      </c>
      <c r="B6270" s="138">
        <f>'Acct Summary 7-8'!F82</f>
        <v>-329963</v>
      </c>
      <c r="D6270" s="2" t="str">
        <f t="shared" si="96"/>
        <v>Error?</v>
      </c>
      <c r="E6270" s="2" t="s">
        <v>199</v>
      </c>
    </row>
    <row r="6271" spans="1:5" x14ac:dyDescent="0.2">
      <c r="A6271">
        <v>6210</v>
      </c>
      <c r="B6271" s="138">
        <f>'Acct Summary 7-8'!G82</f>
        <v>21693</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416506</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-1.6401519466067067E-2</v>
      </c>
      <c r="D6276" s="2" t="str">
        <f t="shared" si="97"/>
        <v>Error?</v>
      </c>
      <c r="E6276" s="2" t="s">
        <v>199</v>
      </c>
    </row>
    <row r="6277" spans="1:5" x14ac:dyDescent="0.2">
      <c r="A6277">
        <v>6216</v>
      </c>
      <c r="B6277" s="138">
        <f>'Acct Summary 7-8'!D83</f>
        <v>-1.9866034795231274E-2</v>
      </c>
      <c r="D6277" s="2" t="str">
        <f t="shared" si="97"/>
        <v>Error?</v>
      </c>
      <c r="E6277" s="2" t="s">
        <v>199</v>
      </c>
    </row>
    <row r="6278" spans="1:5" x14ac:dyDescent="0.2">
      <c r="A6278">
        <v>6217</v>
      </c>
      <c r="B6278" s="138">
        <f>'Acct Summary 7-8'!E83</f>
        <v>-11.328874998084908</v>
      </c>
      <c r="D6278" s="2" t="str">
        <f t="shared" si="97"/>
        <v>Error?</v>
      </c>
      <c r="E6278" s="2" t="s">
        <v>199</v>
      </c>
    </row>
    <row r="6279" spans="1:5" x14ac:dyDescent="0.2">
      <c r="A6279">
        <v>6218</v>
      </c>
      <c r="B6279" s="138">
        <f>'Acct Summary 7-8'!F83</f>
        <v>-0.13077521539706025</v>
      </c>
      <c r="D6279" s="2" t="str">
        <f t="shared" si="97"/>
        <v>Error?</v>
      </c>
      <c r="E6279" s="2" t="s">
        <v>199</v>
      </c>
    </row>
    <row r="6280" spans="1:5" x14ac:dyDescent="0.2">
      <c r="A6280">
        <v>6219</v>
      </c>
      <c r="B6280" s="138">
        <f>'Acct Summary 7-8'!G83</f>
        <v>2.3978299821044265E-2</v>
      </c>
      <c r="D6280" s="2" t="str">
        <f t="shared" si="97"/>
        <v>Error?</v>
      </c>
      <c r="E6280" s="2" t="s">
        <v>199</v>
      </c>
    </row>
    <row r="6281" spans="1:5" x14ac:dyDescent="0.2">
      <c r="A6281">
        <v>6220</v>
      </c>
      <c r="B6281" s="138">
        <f>'Acct Summary 7-8'!H83</f>
        <v>0</v>
      </c>
      <c r="D6281" s="2" t="str">
        <f t="shared" si="97"/>
        <v>Error?</v>
      </c>
      <c r="E6281" s="2" t="s">
        <v>199</v>
      </c>
    </row>
    <row r="6282" spans="1:5" x14ac:dyDescent="0.2">
      <c r="A6282">
        <v>6221</v>
      </c>
      <c r="B6282" s="138">
        <f>'Acct Summary 7-8'!I83</f>
        <v>0.13283944774031076</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78440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171160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2101</v>
      </c>
      <c r="D7079" s="2" t="str">
        <f t="shared" si="109"/>
        <v>Error?</v>
      </c>
    </row>
    <row r="7080" spans="1:4" x14ac:dyDescent="0.2">
      <c r="A7080">
        <v>7019</v>
      </c>
      <c r="B7080" s="138">
        <f>'Expenditures 15-22'!K226</f>
        <v>2101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149311</v>
      </c>
      <c r="D7263" s="2" t="str">
        <f t="shared" si="112"/>
        <v>Error?</v>
      </c>
    </row>
    <row r="7264" spans="1:4" x14ac:dyDescent="0.2">
      <c r="A7264">
        <f t="shared" si="113"/>
        <v>7203</v>
      </c>
      <c r="B7264" s="138">
        <f>'Expenditures 15-22'!D17</f>
        <v>16953</v>
      </c>
      <c r="D7264" s="2" t="str">
        <f t="shared" si="112"/>
        <v>Error?</v>
      </c>
    </row>
    <row r="7265" spans="1:5" x14ac:dyDescent="0.2">
      <c r="A7265">
        <f t="shared" si="113"/>
        <v>7204</v>
      </c>
      <c r="B7265" s="138">
        <f>'Expenditures 15-22'!E17</f>
        <v>2406</v>
      </c>
      <c r="D7265" s="2" t="str">
        <f t="shared" si="112"/>
        <v>Error?</v>
      </c>
    </row>
    <row r="7266" spans="1:5" x14ac:dyDescent="0.2">
      <c r="A7266">
        <f t="shared" si="113"/>
        <v>7205</v>
      </c>
      <c r="B7266" s="138">
        <f>'Expenditures 15-22'!F17</f>
        <v>2490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2238044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1965</v>
      </c>
    </row>
    <row r="7775" spans="1:5" x14ac:dyDescent="0.2">
      <c r="A7775">
        <v>7714</v>
      </c>
      <c r="B7775" s="138">
        <f>'Expenditures 15-22'!H133</f>
        <v>0</v>
      </c>
      <c r="D7775" s="2" t="str">
        <f t="shared" si="127"/>
        <v>Error?</v>
      </c>
      <c r="E7775" s="4" t="s">
        <v>1965</v>
      </c>
    </row>
    <row r="7776" spans="1:5" x14ac:dyDescent="0.2">
      <c r="A7776">
        <v>7715</v>
      </c>
      <c r="B7776" s="138">
        <f>'Expenditures 15-22'!K133</f>
        <v>0</v>
      </c>
      <c r="D7776" s="2" t="str">
        <f t="shared" si="127"/>
        <v>Error?</v>
      </c>
      <c r="E7776" s="4" t="s">
        <v>1965</v>
      </c>
    </row>
    <row r="7777" spans="1:5" x14ac:dyDescent="0.2">
      <c r="A7777">
        <v>7716</v>
      </c>
      <c r="B7777" s="138">
        <f>'Expenditures 15-22'!H157</f>
        <v>0</v>
      </c>
      <c r="D7777" s="2" t="str">
        <f t="shared" si="127"/>
        <v>Error?</v>
      </c>
      <c r="E7777" s="4" t="s">
        <v>1965</v>
      </c>
    </row>
    <row r="7778" spans="1:5" x14ac:dyDescent="0.2">
      <c r="A7778">
        <v>7717</v>
      </c>
      <c r="B7778" s="138">
        <f>'Expenditures 15-22'!K157</f>
        <v>0</v>
      </c>
      <c r="D7778" s="2" t="str">
        <f t="shared" si="127"/>
        <v>Error?</v>
      </c>
      <c r="E7778" s="4" t="s">
        <v>1965</v>
      </c>
    </row>
    <row r="7779" spans="1:5" x14ac:dyDescent="0.2">
      <c r="A7779">
        <v>7718</v>
      </c>
      <c r="B7779" s="138">
        <f>'Expenditures 15-22'!H158</f>
        <v>0</v>
      </c>
      <c r="D7779" s="2" t="str">
        <f t="shared" si="127"/>
        <v>Error?</v>
      </c>
      <c r="E7779" s="4" t="s">
        <v>1965</v>
      </c>
    </row>
    <row r="7780" spans="1:5" x14ac:dyDescent="0.2">
      <c r="A7780">
        <v>7719</v>
      </c>
      <c r="B7780" s="138">
        <f>'Expenditures 15-22'!K158</f>
        <v>0</v>
      </c>
      <c r="D7780" s="2" t="str">
        <f t="shared" si="127"/>
        <v>Error?</v>
      </c>
      <c r="E7780" s="4" t="s">
        <v>1965</v>
      </c>
    </row>
    <row r="7781" spans="1:5" x14ac:dyDescent="0.2">
      <c r="A7781">
        <v>7720</v>
      </c>
      <c r="B7781" s="138">
        <f>'Expenditures 15-22'!H159</f>
        <v>0</v>
      </c>
      <c r="D7781" s="2" t="str">
        <f t="shared" si="127"/>
        <v>Error?</v>
      </c>
      <c r="E7781" s="4" t="s">
        <v>1965</v>
      </c>
    </row>
    <row r="7782" spans="1:5" x14ac:dyDescent="0.2">
      <c r="A7782">
        <v>7721</v>
      </c>
      <c r="B7782" s="138">
        <f>'Expenditures 15-22'!K159</f>
        <v>0</v>
      </c>
      <c r="D7782" s="2" t="str">
        <f t="shared" si="127"/>
        <v>Error?</v>
      </c>
      <c r="E7782" s="4" t="s">
        <v>1965</v>
      </c>
    </row>
    <row r="7783" spans="1:5" x14ac:dyDescent="0.2">
      <c r="A7783">
        <v>7722</v>
      </c>
      <c r="B7783" s="138">
        <f>'Expenditures 15-22'!D282</f>
        <v>0</v>
      </c>
      <c r="D7783" s="2" t="str">
        <f t="shared" si="127"/>
        <v>Error?</v>
      </c>
      <c r="E7783" s="4" t="s">
        <v>1965</v>
      </c>
    </row>
    <row r="7784" spans="1:5" x14ac:dyDescent="0.2">
      <c r="A7784">
        <v>7723</v>
      </c>
      <c r="B7784" s="138">
        <f>'Expenditures 15-22'!K282</f>
        <v>0</v>
      </c>
      <c r="D7784" s="2" t="str">
        <f t="shared" si="127"/>
        <v>Error?</v>
      </c>
      <c r="E7784" s="4" t="s">
        <v>1965</v>
      </c>
    </row>
    <row r="7785" spans="1:5" x14ac:dyDescent="0.2">
      <c r="A7785">
        <v>7724</v>
      </c>
      <c r="B7785" s="138">
        <f>'Expenditures 15-22'!H332</f>
        <v>0</v>
      </c>
      <c r="D7785" s="2" t="str">
        <f t="shared" si="127"/>
        <v>Error?</v>
      </c>
      <c r="E7785" s="4" t="s">
        <v>1965</v>
      </c>
    </row>
    <row r="7786" spans="1:5" x14ac:dyDescent="0.2">
      <c r="A7786">
        <v>7725</v>
      </c>
      <c r="B7786" s="138">
        <f>'Expenditures 15-22'!K332</f>
        <v>0</v>
      </c>
      <c r="D7786" s="2" t="str">
        <f t="shared" si="127"/>
        <v>Error?</v>
      </c>
      <c r="E7786" s="4" t="s">
        <v>1965</v>
      </c>
    </row>
    <row r="7787" spans="1:5" x14ac:dyDescent="0.2">
      <c r="A7787">
        <v>7726</v>
      </c>
      <c r="B7787" s="138">
        <f>'Expenditures 15-22'!H333</f>
        <v>0</v>
      </c>
      <c r="D7787" s="2" t="str">
        <f t="shared" si="127"/>
        <v>Error?</v>
      </c>
      <c r="E7787" s="4" t="s">
        <v>1965</v>
      </c>
    </row>
    <row r="7788" spans="1:5" x14ac:dyDescent="0.2">
      <c r="A7788">
        <v>7727</v>
      </c>
      <c r="B7788" s="138">
        <f>'Expenditures 15-22'!K333</f>
        <v>0</v>
      </c>
      <c r="D7788" s="2" t="str">
        <f t="shared" si="127"/>
        <v>Error?</v>
      </c>
      <c r="E7788" s="4" t="s">
        <v>1965</v>
      </c>
    </row>
    <row r="7789" spans="1:5" x14ac:dyDescent="0.2">
      <c r="A7789">
        <v>7728</v>
      </c>
      <c r="B7789" s="138">
        <f>'Expenditures 15-22'!H334</f>
        <v>0</v>
      </c>
      <c r="D7789" s="2" t="str">
        <f t="shared" si="127"/>
        <v>Error?</v>
      </c>
      <c r="E7789" s="4" t="s">
        <v>1965</v>
      </c>
    </row>
    <row r="7790" spans="1:5" x14ac:dyDescent="0.2">
      <c r="A7790">
        <v>7729</v>
      </c>
      <c r="B7790" s="138">
        <f>'Expenditures 15-22'!K334</f>
        <v>0</v>
      </c>
      <c r="D7790" s="2" t="str">
        <f t="shared" si="127"/>
        <v>Error?</v>
      </c>
      <c r="E7790" s="4" t="s">
        <v>1965</v>
      </c>
    </row>
    <row r="7791" spans="1:5" x14ac:dyDescent="0.2">
      <c r="A7791">
        <v>7730</v>
      </c>
      <c r="B7791" s="138">
        <f>'Expenditures 15-22'!H354</f>
        <v>0</v>
      </c>
      <c r="D7791" s="2" t="str">
        <f t="shared" si="127"/>
        <v>Error?</v>
      </c>
      <c r="E7791" s="4" t="s">
        <v>1965</v>
      </c>
    </row>
    <row r="7792" spans="1:5" x14ac:dyDescent="0.2">
      <c r="A7792">
        <v>7731</v>
      </c>
      <c r="B7792" s="138">
        <f>'Expenditures 15-22'!K354</f>
        <v>0</v>
      </c>
      <c r="D7792" s="2" t="str">
        <f t="shared" si="127"/>
        <v>Error?</v>
      </c>
      <c r="E7792" s="4" t="s">
        <v>1965</v>
      </c>
    </row>
    <row r="7793" spans="1:5" x14ac:dyDescent="0.2">
      <c r="A7793">
        <v>7732</v>
      </c>
      <c r="B7793" s="138">
        <f>'Expenditures 15-22'!H355</f>
        <v>0</v>
      </c>
      <c r="D7793" s="2" t="str">
        <f t="shared" si="127"/>
        <v>Error?</v>
      </c>
      <c r="E7793" s="4" t="s">
        <v>1965</v>
      </c>
    </row>
    <row r="7794" spans="1:5" x14ac:dyDescent="0.2">
      <c r="A7794">
        <v>7733</v>
      </c>
      <c r="B7794" s="138">
        <f>'Expenditures 15-22'!K355</f>
        <v>0</v>
      </c>
      <c r="D7794" s="2" t="str">
        <f t="shared" si="127"/>
        <v>Error?</v>
      </c>
      <c r="E7794" s="4" t="s">
        <v>1965</v>
      </c>
    </row>
    <row r="7795" spans="1:5" x14ac:dyDescent="0.2">
      <c r="A7795">
        <v>7734</v>
      </c>
      <c r="B7795" s="138">
        <f>'Expenditures 15-22'!E138</f>
        <v>0</v>
      </c>
      <c r="D7795" s="2" t="str">
        <f t="shared" si="127"/>
        <v>Error?</v>
      </c>
      <c r="E7795" s="4" t="s">
        <v>1965</v>
      </c>
    </row>
    <row r="7796" spans="1:5" x14ac:dyDescent="0.2">
      <c r="A7796">
        <v>7735</v>
      </c>
      <c r="B7796" s="138">
        <f>'Acct Summary 7-8'!J15</f>
        <v>0</v>
      </c>
      <c r="D7796" s="2" t="str">
        <f t="shared" si="127"/>
        <v>Error?</v>
      </c>
      <c r="E7796" s="4" t="s">
        <v>1965</v>
      </c>
    </row>
    <row r="7797" spans="1:5" x14ac:dyDescent="0.2">
      <c r="A7797">
        <v>7736</v>
      </c>
      <c r="B7797" s="138">
        <f>'Contracts Paid in CY 29'!D141</f>
        <v>2462646</v>
      </c>
      <c r="D7797" s="2" t="str">
        <f t="shared" si="127"/>
        <v>Error?</v>
      </c>
      <c r="E7797" s="4" t="s">
        <v>2018</v>
      </c>
    </row>
    <row r="7798" spans="1:5" x14ac:dyDescent="0.2">
      <c r="A7798">
        <v>7737</v>
      </c>
      <c r="B7798" s="138">
        <f>'Contracts Paid in CY 29'!F141</f>
        <v>500000</v>
      </c>
      <c r="D7798" s="2" t="str">
        <f t="shared" si="127"/>
        <v>Error?</v>
      </c>
      <c r="E7798" s="4" t="s">
        <v>2018</v>
      </c>
    </row>
    <row r="7799" spans="1:5" x14ac:dyDescent="0.2">
      <c r="A7799">
        <v>7738</v>
      </c>
      <c r="B7799" s="138">
        <f>'Contracts Paid in CY 29'!G141</f>
        <v>1962646</v>
      </c>
      <c r="D7799" s="2" t="str">
        <f t="shared" si="127"/>
        <v>Error?</v>
      </c>
      <c r="E7799" s="4" t="s">
        <v>2018</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Grant CHSD 124</v>
      </c>
      <c r="B7" s="2403"/>
      <c r="C7" s="2403"/>
      <c r="D7" s="2440"/>
      <c r="E7" s="2441">
        <f>COVER!A13</f>
        <v>34049124016</v>
      </c>
      <c r="F7" s="2442"/>
      <c r="G7" s="2409" t="str">
        <f>COVER!T23</f>
        <v>066-003289</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EVOY, KAMSCHULTE, JACOBS &amp; CO. LLP</v>
      </c>
      <c r="H9" s="2416"/>
      <c r="I9" s="2416"/>
      <c r="J9" s="2416"/>
      <c r="K9" s="2416"/>
      <c r="L9" s="2417"/>
    </row>
    <row r="10" spans="1:29" ht="13.5" customHeight="1" x14ac:dyDescent="0.2">
      <c r="A10" s="2399" t="str">
        <f>COVER!A38</f>
        <v>Dr. Christine Sefcik</v>
      </c>
      <c r="B10" s="2400"/>
      <c r="C10" s="2400"/>
      <c r="D10" s="2400"/>
      <c r="E10" s="2400"/>
      <c r="F10" s="2401"/>
      <c r="G10" s="2415" t="str">
        <f>COVER!T17</f>
        <v>2122 Yeoman Street</v>
      </c>
      <c r="H10" s="2428"/>
      <c r="I10" s="2428"/>
      <c r="J10" s="2428"/>
      <c r="K10" s="2428"/>
      <c r="L10" s="2429"/>
    </row>
    <row r="11" spans="1:29" ht="13.5" customHeight="1" x14ac:dyDescent="0.2">
      <c r="A11" s="1185" t="s">
        <v>1599</v>
      </c>
      <c r="B11" s="1186"/>
      <c r="C11" s="1187"/>
      <c r="D11" s="1192"/>
      <c r="E11" s="1187"/>
      <c r="F11" s="1191"/>
      <c r="G11" s="2415" t="str">
        <f>COVER!T19</f>
        <v>Waukegan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jaceto@ekjllp.com</v>
      </c>
      <c r="J13" s="2437"/>
      <c r="K13" s="2437"/>
      <c r="L13" s="2438"/>
    </row>
    <row r="14" spans="1:29" ht="13.5" customHeight="1" x14ac:dyDescent="0.2">
      <c r="A14" s="2415" t="str">
        <f>COVER!A19</f>
        <v>285 East Grand Avenue</v>
      </c>
      <c r="B14" s="2428"/>
      <c r="C14" s="2428"/>
      <c r="D14" s="2428"/>
      <c r="E14" s="2428"/>
      <c r="F14" s="2429"/>
      <c r="G14" s="1196" t="s">
        <v>1247</v>
      </c>
      <c r="H14" s="1194"/>
      <c r="I14" s="1194"/>
      <c r="J14" s="1194"/>
      <c r="K14" s="1194"/>
      <c r="L14" s="1195"/>
    </row>
    <row r="15" spans="1:29" ht="13.5" customHeight="1" x14ac:dyDescent="0.2">
      <c r="A15" s="2415" t="str">
        <f>COVER!A21</f>
        <v>Fox Lake</v>
      </c>
      <c r="B15" s="2428"/>
      <c r="C15" s="2428"/>
      <c r="D15" s="2428"/>
      <c r="E15" s="2428"/>
      <c r="F15" s="2429"/>
      <c r="G15" s="2425" t="str">
        <f>COVER!T15</f>
        <v>John D. Aceto, Jr., CPA</v>
      </c>
      <c r="H15" s="2426"/>
      <c r="I15" s="2426"/>
      <c r="J15" s="2426"/>
      <c r="K15" s="2426"/>
      <c r="L15" s="2427"/>
    </row>
    <row r="16" spans="1:29" ht="12.2" customHeight="1" x14ac:dyDescent="0.2">
      <c r="A16" s="2405">
        <f>COVER!A25</f>
        <v>60020</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847-662-8300</v>
      </c>
      <c r="H18" s="2403"/>
      <c r="I18" s="2403"/>
      <c r="J18" s="2403"/>
      <c r="K18" s="2402" t="str">
        <f>COVER!X21</f>
        <v>847-662-8305</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1945</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Grant CHSD 124</v>
      </c>
      <c r="B1" s="2439"/>
      <c r="C1" s="2439"/>
      <c r="D1" s="2439"/>
    </row>
    <row r="2" spans="1:11" s="1215" customFormat="1" ht="12.75" x14ac:dyDescent="0.2">
      <c r="A2" s="2444">
        <f>'Single Audit Cover'!E7</f>
        <v>34049124016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1946</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J43" sqref="J4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Grant CHSD 124</v>
      </c>
      <c r="B1" s="2447"/>
      <c r="C1" s="2447"/>
      <c r="D1" s="2447"/>
      <c r="E1" s="2447"/>
    </row>
    <row r="2" spans="1:5" x14ac:dyDescent="0.2">
      <c r="A2" s="2448">
        <f>'Single Audit Cover'!E7</f>
        <v>34049124016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866260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40285</v>
      </c>
    </row>
    <row r="15" spans="1:5" x14ac:dyDescent="0.2">
      <c r="A15" s="1261"/>
      <c r="B15" s="1262"/>
      <c r="C15" s="1262"/>
    </row>
    <row r="16" spans="1:5" x14ac:dyDescent="0.2">
      <c r="A16" s="1261" t="s">
        <v>1954</v>
      </c>
      <c r="B16" s="1262"/>
      <c r="C16" s="1262"/>
    </row>
    <row r="17" spans="1:4" x14ac:dyDescent="0.2">
      <c r="A17" s="1261" t="s">
        <v>1601</v>
      </c>
      <c r="B17" s="1262" t="s">
        <v>1298</v>
      </c>
      <c r="C17" s="1262"/>
      <c r="D17" s="1264">
        <f>-SUM('Revenues 9-14'!C271:D271,'Revenues 9-14'!F271:G271)</f>
        <v>-116878</v>
      </c>
    </row>
    <row r="19" spans="1:4" ht="13.5" thickBot="1" x14ac:dyDescent="0.25">
      <c r="A19" s="1265" t="s">
        <v>1297</v>
      </c>
      <c r="D19" s="1266">
        <f>SUM(D10:D17)</f>
        <v>789667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789667</v>
      </c>
    </row>
    <row r="33" spans="1:4" x14ac:dyDescent="0.2">
      <c r="D33" s="1269"/>
    </row>
    <row r="34" spans="1:4" x14ac:dyDescent="0.2">
      <c r="A34" s="317" t="s">
        <v>1294</v>
      </c>
    </row>
    <row r="35" spans="1:4" x14ac:dyDescent="0.2">
      <c r="A35" s="317" t="s">
        <v>1293</v>
      </c>
      <c r="B35" s="1258" t="s">
        <v>1292</v>
      </c>
      <c r="D35" s="1270">
        <v>789667</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789667</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7" sqref="I2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Grant CHSD 124</v>
      </c>
      <c r="C1" s="2451"/>
      <c r="D1" s="2451"/>
      <c r="E1" s="2451"/>
      <c r="F1" s="2451"/>
      <c r="G1" s="2451"/>
      <c r="H1" s="2451"/>
      <c r="I1" s="2451"/>
      <c r="J1" s="2451"/>
      <c r="K1" s="2451"/>
      <c r="L1" s="2451"/>
      <c r="M1" s="2451"/>
    </row>
    <row r="2" spans="2:14" ht="15" x14ac:dyDescent="0.2">
      <c r="B2" s="2452">
        <f>'Single Audit Cover'!E7</f>
        <v>34049124016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2096</v>
      </c>
      <c r="C11" s="1338"/>
      <c r="D11" s="1339"/>
      <c r="E11" s="1340"/>
      <c r="F11" s="1340"/>
      <c r="G11" s="1340"/>
      <c r="H11" s="1340"/>
      <c r="I11" s="1340"/>
      <c r="J11" s="1340"/>
      <c r="K11" s="1340"/>
      <c r="L11" s="1340">
        <f>+G11+I11+K11</f>
        <v>0</v>
      </c>
      <c r="M11" s="1340"/>
    </row>
    <row r="12" spans="2:14" ht="20.100000000000001" customHeight="1" x14ac:dyDescent="0.2">
      <c r="B12" s="1337" t="s">
        <v>2097</v>
      </c>
      <c r="C12" s="1341"/>
      <c r="D12" s="1342"/>
      <c r="E12" s="1343"/>
      <c r="F12" s="1343"/>
      <c r="G12" s="1343"/>
      <c r="H12" s="1343"/>
      <c r="I12" s="1343"/>
      <c r="J12" s="1343"/>
      <c r="K12" s="1343"/>
      <c r="L12" s="1340">
        <f t="shared" ref="L12:L27" si="0">+G12+I12+K12</f>
        <v>0</v>
      </c>
      <c r="M12" s="1343"/>
    </row>
    <row r="13" spans="2:14" ht="20.100000000000001" customHeight="1" x14ac:dyDescent="0.2">
      <c r="B13" s="1337" t="s">
        <v>2098</v>
      </c>
      <c r="C13" s="1341"/>
      <c r="D13" s="1342"/>
      <c r="E13" s="1343"/>
      <c r="F13" s="1343"/>
      <c r="G13" s="1343"/>
      <c r="H13" s="1343"/>
      <c r="I13" s="1343"/>
      <c r="J13" s="1343"/>
      <c r="K13" s="1343"/>
      <c r="L13" s="1340">
        <f t="shared" si="0"/>
        <v>0</v>
      </c>
      <c r="M13" s="1343"/>
    </row>
    <row r="14" spans="2:14" ht="20.100000000000001" customHeight="1" x14ac:dyDescent="0.2">
      <c r="B14" s="1337" t="s">
        <v>2099</v>
      </c>
      <c r="C14" s="1341">
        <v>10.555</v>
      </c>
      <c r="D14" s="1342" t="s">
        <v>2110</v>
      </c>
      <c r="E14" s="1343">
        <v>191720</v>
      </c>
      <c r="F14" s="1343">
        <v>46016</v>
      </c>
      <c r="G14" s="1343">
        <v>191720</v>
      </c>
      <c r="H14" s="1343"/>
      <c r="I14" s="1343">
        <v>46016</v>
      </c>
      <c r="J14" s="1343"/>
      <c r="K14" s="1343"/>
      <c r="L14" s="1340">
        <f t="shared" si="0"/>
        <v>237736</v>
      </c>
      <c r="M14" s="1343" t="s">
        <v>2116</v>
      </c>
    </row>
    <row r="15" spans="2:14" ht="20.100000000000001" customHeight="1" x14ac:dyDescent="0.2">
      <c r="B15" s="1337" t="s">
        <v>2099</v>
      </c>
      <c r="C15" s="1341">
        <v>10.555</v>
      </c>
      <c r="D15" s="1342" t="s">
        <v>2111</v>
      </c>
      <c r="E15" s="1343"/>
      <c r="F15" s="1343">
        <v>200900</v>
      </c>
      <c r="G15" s="1343"/>
      <c r="H15" s="1343"/>
      <c r="I15" s="1343">
        <v>200900</v>
      </c>
      <c r="J15" s="1343"/>
      <c r="K15" s="1343"/>
      <c r="L15" s="1340">
        <f t="shared" si="0"/>
        <v>200900</v>
      </c>
      <c r="M15" s="1343" t="s">
        <v>2116</v>
      </c>
    </row>
    <row r="16" spans="2:14" ht="20.100000000000001" customHeight="1" x14ac:dyDescent="0.2">
      <c r="B16" s="1337" t="s">
        <v>2100</v>
      </c>
      <c r="C16" s="1341">
        <v>10.553000000000001</v>
      </c>
      <c r="D16" s="1342" t="s">
        <v>2112</v>
      </c>
      <c r="E16" s="1343">
        <v>19163</v>
      </c>
      <c r="F16" s="1343">
        <v>4219</v>
      </c>
      <c r="G16" s="1343">
        <v>19163</v>
      </c>
      <c r="H16" s="1343"/>
      <c r="I16" s="1343">
        <v>4219</v>
      </c>
      <c r="J16" s="1343"/>
      <c r="K16" s="1343"/>
      <c r="L16" s="1340">
        <f t="shared" si="0"/>
        <v>23382</v>
      </c>
      <c r="M16" s="1343" t="s">
        <v>2116</v>
      </c>
    </row>
    <row r="17" spans="2:14" ht="20.100000000000001" customHeight="1" x14ac:dyDescent="0.2">
      <c r="B17" s="1337" t="s">
        <v>2100</v>
      </c>
      <c r="C17" s="1341">
        <v>10.553000000000001</v>
      </c>
      <c r="D17" s="1342" t="s">
        <v>2113</v>
      </c>
      <c r="E17" s="1343"/>
      <c r="F17" s="1343">
        <v>25412</v>
      </c>
      <c r="G17" s="1343"/>
      <c r="H17" s="1343"/>
      <c r="I17" s="1343">
        <v>25412</v>
      </c>
      <c r="J17" s="1343"/>
      <c r="K17" s="1343"/>
      <c r="L17" s="1340">
        <f t="shared" si="0"/>
        <v>25412</v>
      </c>
      <c r="M17" s="1343" t="s">
        <v>2116</v>
      </c>
    </row>
    <row r="18" spans="2:14" ht="20.100000000000001" customHeight="1" x14ac:dyDescent="0.2">
      <c r="B18" s="1337" t="s">
        <v>2101</v>
      </c>
      <c r="C18" s="1341">
        <v>10.555</v>
      </c>
      <c r="D18" s="1342" t="s">
        <v>2111</v>
      </c>
      <c r="E18" s="1343"/>
      <c r="F18" s="1343">
        <v>20664</v>
      </c>
      <c r="G18" s="1343"/>
      <c r="H18" s="1343"/>
      <c r="I18" s="1343">
        <v>20664</v>
      </c>
      <c r="J18" s="1343"/>
      <c r="K18" s="1343"/>
      <c r="L18" s="1340">
        <f t="shared" si="0"/>
        <v>20664</v>
      </c>
      <c r="M18" s="1343" t="s">
        <v>2116</v>
      </c>
    </row>
    <row r="19" spans="2:14" ht="20.100000000000001" customHeight="1" x14ac:dyDescent="0.2">
      <c r="B19" s="1337" t="s">
        <v>2102</v>
      </c>
      <c r="C19" s="1341">
        <v>10.555</v>
      </c>
      <c r="D19" s="1342" t="s">
        <v>2111</v>
      </c>
      <c r="E19" s="1343"/>
      <c r="F19" s="1343">
        <v>19621</v>
      </c>
      <c r="G19" s="1343"/>
      <c r="H19" s="1343"/>
      <c r="I19" s="1343">
        <v>19621</v>
      </c>
      <c r="J19" s="1343"/>
      <c r="K19" s="1343"/>
      <c r="L19" s="1340">
        <f t="shared" si="0"/>
        <v>19621</v>
      </c>
      <c r="M19" s="1343" t="s">
        <v>2116</v>
      </c>
    </row>
    <row r="20" spans="2:14" ht="20.100000000000001" customHeight="1" x14ac:dyDescent="0.2">
      <c r="B20" s="1337" t="s">
        <v>2103</v>
      </c>
      <c r="C20" s="1341"/>
      <c r="D20" s="1342"/>
      <c r="E20" s="1343">
        <v>210883</v>
      </c>
      <c r="F20" s="1343">
        <v>316832</v>
      </c>
      <c r="G20" s="1343">
        <v>210883</v>
      </c>
      <c r="H20" s="1343"/>
      <c r="I20" s="1343">
        <v>316832</v>
      </c>
      <c r="J20" s="1343"/>
      <c r="K20" s="1343"/>
      <c r="L20" s="1340">
        <f t="shared" si="0"/>
        <v>527715</v>
      </c>
      <c r="M20" s="1343"/>
    </row>
    <row r="21" spans="2:14" ht="20.100000000000001" customHeight="1" x14ac:dyDescent="0.2">
      <c r="B21" s="1337" t="s">
        <v>2104</v>
      </c>
      <c r="C21" s="1341"/>
      <c r="D21" s="1342"/>
      <c r="E21" s="1343">
        <v>210883</v>
      </c>
      <c r="F21" s="1343">
        <v>316832</v>
      </c>
      <c r="G21" s="1343">
        <v>210883</v>
      </c>
      <c r="H21" s="1343"/>
      <c r="I21" s="1343">
        <v>316832</v>
      </c>
      <c r="J21" s="1343"/>
      <c r="K21" s="1343"/>
      <c r="L21" s="1340">
        <f t="shared" si="0"/>
        <v>527715</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t="s">
        <v>2105</v>
      </c>
      <c r="C23" s="1341"/>
      <c r="D23" s="1342"/>
      <c r="E23" s="1343"/>
      <c r="F23" s="1343"/>
      <c r="G23" s="1343"/>
      <c r="H23" s="1343"/>
      <c r="I23" s="1343"/>
      <c r="J23" s="1343"/>
      <c r="K23" s="1343"/>
      <c r="L23" s="1340">
        <f t="shared" si="0"/>
        <v>0</v>
      </c>
      <c r="M23" s="1343"/>
    </row>
    <row r="24" spans="2:14" ht="20.100000000000001" customHeight="1" x14ac:dyDescent="0.2">
      <c r="B24" s="1337" t="s">
        <v>2106</v>
      </c>
      <c r="C24" s="1341"/>
      <c r="D24" s="1342"/>
      <c r="E24" s="1343"/>
      <c r="F24" s="1343"/>
      <c r="G24" s="1343"/>
      <c r="H24" s="1343"/>
      <c r="I24" s="1343"/>
      <c r="J24" s="1343"/>
      <c r="K24" s="1343"/>
      <c r="L24" s="1340">
        <f t="shared" si="0"/>
        <v>0</v>
      </c>
      <c r="M24" s="1343"/>
    </row>
    <row r="25" spans="2:14" ht="20.100000000000001" customHeight="1" x14ac:dyDescent="0.2">
      <c r="B25" s="1337" t="s">
        <v>2107</v>
      </c>
      <c r="C25" s="1341" t="s">
        <v>2109</v>
      </c>
      <c r="D25" s="1342" t="s">
        <v>2114</v>
      </c>
      <c r="E25" s="1343">
        <v>159257</v>
      </c>
      <c r="F25" s="1343">
        <v>21404</v>
      </c>
      <c r="G25" s="1343">
        <v>180661</v>
      </c>
      <c r="H25" s="1343"/>
      <c r="I25" s="1343"/>
      <c r="J25" s="1343"/>
      <c r="K25" s="1343"/>
      <c r="L25" s="1340">
        <f t="shared" si="0"/>
        <v>180661</v>
      </c>
      <c r="M25" s="1343"/>
    </row>
    <row r="26" spans="2:14" ht="20.100000000000001" customHeight="1" x14ac:dyDescent="0.2">
      <c r="B26" s="1337" t="s">
        <v>2108</v>
      </c>
      <c r="C26" s="1341" t="s">
        <v>2109</v>
      </c>
      <c r="D26" s="1342" t="s">
        <v>2115</v>
      </c>
      <c r="E26" s="1343"/>
      <c r="F26" s="1343">
        <v>153243</v>
      </c>
      <c r="G26" s="1343"/>
      <c r="H26" s="1343"/>
      <c r="I26" s="1343">
        <v>179311</v>
      </c>
      <c r="J26" s="1343"/>
      <c r="K26" s="1343"/>
      <c r="L26" s="1340">
        <f t="shared" si="0"/>
        <v>179311</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8" sqref="I28"/>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Grant CHSD 124</v>
      </c>
      <c r="C1" s="2451"/>
      <c r="D1" s="2451"/>
      <c r="E1" s="2451"/>
      <c r="F1" s="2451"/>
      <c r="G1" s="2451"/>
      <c r="H1" s="2451"/>
      <c r="I1" s="2451"/>
      <c r="J1" s="2451"/>
      <c r="K1" s="2451"/>
      <c r="L1" s="2451"/>
      <c r="M1" s="2451"/>
    </row>
    <row r="2" spans="2:14" ht="15" x14ac:dyDescent="0.2">
      <c r="B2" s="2452">
        <f>'Single Audit Cover'!E7</f>
        <v>34049124016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2117</v>
      </c>
      <c r="C11" s="1338"/>
      <c r="D11" s="1339"/>
      <c r="E11" s="1340"/>
      <c r="F11" s="1340"/>
      <c r="G11" s="1340"/>
      <c r="H11" s="1340"/>
      <c r="I11" s="1340"/>
      <c r="J11" s="1340"/>
      <c r="K11" s="1340"/>
      <c r="L11" s="1340">
        <f>+G11+I11+K11</f>
        <v>0</v>
      </c>
      <c r="M11" s="1340"/>
    </row>
    <row r="12" spans="2:14" ht="20.100000000000001" customHeight="1" x14ac:dyDescent="0.2">
      <c r="B12" s="1337" t="s">
        <v>2098</v>
      </c>
      <c r="C12" s="1341"/>
      <c r="D12" s="1342"/>
      <c r="E12" s="1343"/>
      <c r="F12" s="1343"/>
      <c r="G12" s="1343"/>
      <c r="H12" s="1343"/>
      <c r="I12" s="1343"/>
      <c r="J12" s="1343"/>
      <c r="K12" s="1343"/>
      <c r="L12" s="1340">
        <f t="shared" ref="L12:L27" si="0">+G12+I12+K12</f>
        <v>0</v>
      </c>
      <c r="M12" s="1343"/>
    </row>
    <row r="13" spans="2:14" ht="20.100000000000001" customHeight="1" x14ac:dyDescent="0.2">
      <c r="B13" s="1337" t="s">
        <v>2118</v>
      </c>
      <c r="C13" s="1341" t="s">
        <v>2119</v>
      </c>
      <c r="D13" s="1342" t="s">
        <v>2120</v>
      </c>
      <c r="E13" s="1343">
        <v>18676</v>
      </c>
      <c r="F13" s="1343">
        <v>975</v>
      </c>
      <c r="G13" s="1343">
        <v>19651</v>
      </c>
      <c r="H13" s="1343"/>
      <c r="I13" s="1343"/>
      <c r="J13" s="1343"/>
      <c r="K13" s="1343"/>
      <c r="L13" s="1340">
        <f t="shared" si="0"/>
        <v>19651</v>
      </c>
      <c r="M13" s="1343">
        <v>19651</v>
      </c>
    </row>
    <row r="14" spans="2:14" ht="20.100000000000001" customHeight="1" x14ac:dyDescent="0.2">
      <c r="B14" s="1337" t="s">
        <v>2118</v>
      </c>
      <c r="C14" s="1341" t="s">
        <v>2119</v>
      </c>
      <c r="D14" s="1342" t="s">
        <v>2121</v>
      </c>
      <c r="E14" s="1343"/>
      <c r="F14" s="1343">
        <v>38330</v>
      </c>
      <c r="G14" s="1343"/>
      <c r="H14" s="1343"/>
      <c r="I14" s="1343">
        <v>41358</v>
      </c>
      <c r="J14" s="1343"/>
      <c r="K14" s="1343"/>
      <c r="L14" s="1340">
        <f t="shared" si="0"/>
        <v>41358</v>
      </c>
      <c r="M14" s="1343">
        <v>41358</v>
      </c>
    </row>
    <row r="15" spans="2:14" ht="20.100000000000001" customHeight="1" x14ac:dyDescent="0.2">
      <c r="B15" s="1337" t="s">
        <v>2122</v>
      </c>
      <c r="C15" s="1341" t="s">
        <v>2123</v>
      </c>
      <c r="D15" s="1342" t="s">
        <v>2124</v>
      </c>
      <c r="E15" s="1343"/>
      <c r="F15" s="1343">
        <v>9000</v>
      </c>
      <c r="G15" s="1343"/>
      <c r="H15" s="1343"/>
      <c r="I15" s="1343">
        <v>10000</v>
      </c>
      <c r="J15" s="1343"/>
      <c r="K15" s="1343"/>
      <c r="L15" s="1340">
        <f t="shared" si="0"/>
        <v>10000</v>
      </c>
      <c r="M15" s="1343">
        <v>10000</v>
      </c>
    </row>
    <row r="16" spans="2:14" ht="20.100000000000001" customHeight="1" x14ac:dyDescent="0.2">
      <c r="B16" s="1337" t="s">
        <v>2125</v>
      </c>
      <c r="C16" s="1341"/>
      <c r="D16" s="1342"/>
      <c r="E16" s="1343"/>
      <c r="F16" s="1343"/>
      <c r="G16" s="1343"/>
      <c r="H16" s="1343"/>
      <c r="I16" s="1343"/>
      <c r="J16" s="1343"/>
      <c r="K16" s="1343"/>
      <c r="L16" s="1340">
        <f t="shared" si="0"/>
        <v>0</v>
      </c>
      <c r="M16" s="1343"/>
    </row>
    <row r="17" spans="2:14" ht="20.100000000000001" customHeight="1" x14ac:dyDescent="0.2">
      <c r="B17" s="1337" t="s">
        <v>2098</v>
      </c>
      <c r="C17" s="1341"/>
      <c r="D17" s="1342"/>
      <c r="E17" s="1343"/>
      <c r="F17" s="1343"/>
      <c r="G17" s="1343"/>
      <c r="H17" s="1343"/>
      <c r="I17" s="1343"/>
      <c r="J17" s="1343"/>
      <c r="K17" s="1343"/>
      <c r="L17" s="1340">
        <f t="shared" si="0"/>
        <v>0</v>
      </c>
      <c r="M17" s="1343"/>
    </row>
    <row r="18" spans="2:14" ht="20.100000000000001" customHeight="1" x14ac:dyDescent="0.2">
      <c r="B18" s="1337" t="s">
        <v>2126</v>
      </c>
      <c r="C18" s="1341" t="s">
        <v>2129</v>
      </c>
      <c r="D18" s="1342" t="s">
        <v>2130</v>
      </c>
      <c r="E18" s="1343">
        <v>127939</v>
      </c>
      <c r="F18" s="1343">
        <v>62286</v>
      </c>
      <c r="G18" s="1343">
        <v>142154</v>
      </c>
      <c r="H18" s="1343"/>
      <c r="I18" s="1343">
        <v>48072</v>
      </c>
      <c r="J18" s="1343"/>
      <c r="K18" s="1343"/>
      <c r="L18" s="1340">
        <f t="shared" si="0"/>
        <v>190226</v>
      </c>
      <c r="M18" s="1343"/>
    </row>
    <row r="19" spans="2:14" ht="20.100000000000001" customHeight="1" x14ac:dyDescent="0.2">
      <c r="B19" s="1337" t="s">
        <v>2126</v>
      </c>
      <c r="C19" s="1341" t="s">
        <v>2129</v>
      </c>
      <c r="D19" s="1342" t="s">
        <v>2131</v>
      </c>
      <c r="E19" s="1343"/>
      <c r="F19" s="1343">
        <v>107998</v>
      </c>
      <c r="G19" s="1343"/>
      <c r="H19" s="1343"/>
      <c r="I19" s="1343">
        <v>119998</v>
      </c>
      <c r="J19" s="1343"/>
      <c r="K19" s="1343"/>
      <c r="L19" s="1340">
        <f t="shared" si="0"/>
        <v>119998</v>
      </c>
      <c r="M19" s="1343"/>
    </row>
    <row r="20" spans="2:14" ht="20.100000000000001" customHeight="1" x14ac:dyDescent="0.2">
      <c r="B20" s="1337" t="s">
        <v>2127</v>
      </c>
      <c r="C20" s="1341" t="s">
        <v>2129</v>
      </c>
      <c r="D20" s="1342" t="s">
        <v>2132</v>
      </c>
      <c r="E20" s="1343">
        <v>165521</v>
      </c>
      <c r="F20" s="1343"/>
      <c r="G20" s="1343">
        <v>165521</v>
      </c>
      <c r="H20" s="1343"/>
      <c r="I20" s="1343"/>
      <c r="J20" s="1343"/>
      <c r="K20" s="1343"/>
      <c r="L20" s="1340">
        <f t="shared" si="0"/>
        <v>165521</v>
      </c>
      <c r="M20" s="1343"/>
    </row>
    <row r="21" spans="2:14" ht="20.100000000000001" customHeight="1" x14ac:dyDescent="0.2">
      <c r="B21" s="1337" t="s">
        <v>2127</v>
      </c>
      <c r="C21" s="1341" t="s">
        <v>2129</v>
      </c>
      <c r="D21" s="1342" t="s">
        <v>2133</v>
      </c>
      <c r="E21" s="1343"/>
      <c r="F21" s="1343">
        <v>43336</v>
      </c>
      <c r="G21" s="1343"/>
      <c r="H21" s="1343"/>
      <c r="I21" s="1343">
        <v>201725</v>
      </c>
      <c r="J21" s="1343"/>
      <c r="K21" s="1343"/>
      <c r="L21" s="1340">
        <f t="shared" si="0"/>
        <v>201725</v>
      </c>
      <c r="M21" s="1343"/>
    </row>
    <row r="22" spans="2:14" ht="20.100000000000001" customHeight="1" x14ac:dyDescent="0.2">
      <c r="B22" s="1337" t="s">
        <v>2128</v>
      </c>
      <c r="C22" s="1341"/>
      <c r="D22" s="1342"/>
      <c r="E22" s="1343">
        <v>293460</v>
      </c>
      <c r="F22" s="1343">
        <v>213620</v>
      </c>
      <c r="G22" s="1343">
        <v>307675</v>
      </c>
      <c r="H22" s="1343"/>
      <c r="I22" s="1343">
        <v>369795</v>
      </c>
      <c r="J22" s="1343"/>
      <c r="K22" s="1343"/>
      <c r="L22" s="1340">
        <f t="shared" si="0"/>
        <v>677470</v>
      </c>
      <c r="M22" s="1343"/>
    </row>
    <row r="23" spans="2:14" ht="20.100000000000001" customHeight="1" x14ac:dyDescent="0.2">
      <c r="B23" s="1337" t="s">
        <v>2134</v>
      </c>
      <c r="C23" s="1341"/>
      <c r="D23" s="1342"/>
      <c r="E23" s="1343">
        <v>471393</v>
      </c>
      <c r="F23" s="1343">
        <v>436572</v>
      </c>
      <c r="G23" s="1343">
        <v>507987</v>
      </c>
      <c r="H23" s="1343"/>
      <c r="I23" s="1343">
        <v>600464</v>
      </c>
      <c r="J23" s="1343"/>
      <c r="K23" s="1343"/>
      <c r="L23" s="1340">
        <f t="shared" si="0"/>
        <v>1108451</v>
      </c>
      <c r="M23" s="1343"/>
    </row>
    <row r="24" spans="2:14" ht="20.100000000000001" customHeight="1" x14ac:dyDescent="0.2">
      <c r="B24" s="1337" t="s">
        <v>2135</v>
      </c>
      <c r="C24" s="1341"/>
      <c r="D24" s="1342"/>
      <c r="E24" s="1343"/>
      <c r="F24" s="1343"/>
      <c r="G24" s="1343"/>
      <c r="H24" s="1343"/>
      <c r="I24" s="1343"/>
      <c r="J24" s="1343"/>
      <c r="K24" s="1343"/>
      <c r="L24" s="1340">
        <f t="shared" si="0"/>
        <v>0</v>
      </c>
      <c r="M24" s="1343"/>
    </row>
    <row r="25" spans="2:14" ht="20.100000000000001" customHeight="1" x14ac:dyDescent="0.2">
      <c r="B25" s="1337" t="s">
        <v>2136</v>
      </c>
      <c r="C25" s="1341" t="s">
        <v>2139</v>
      </c>
      <c r="D25" s="1342" t="s">
        <v>2140</v>
      </c>
      <c r="E25" s="1343"/>
      <c r="F25" s="1343">
        <v>21596</v>
      </c>
      <c r="G25" s="1343"/>
      <c r="H25" s="1343"/>
      <c r="I25" s="1343">
        <v>21596</v>
      </c>
      <c r="J25" s="1343"/>
      <c r="K25" s="1343"/>
      <c r="L25" s="1340">
        <f t="shared" si="0"/>
        <v>21596</v>
      </c>
      <c r="M25" s="1343"/>
    </row>
    <row r="26" spans="2:14" ht="20.100000000000001" customHeight="1" x14ac:dyDescent="0.2">
      <c r="B26" s="1337" t="s">
        <v>2138</v>
      </c>
      <c r="C26" s="1341"/>
      <c r="D26" s="1342"/>
      <c r="E26" s="1343">
        <v>0</v>
      </c>
      <c r="F26" s="1343">
        <v>21596</v>
      </c>
      <c r="G26" s="1343"/>
      <c r="H26" s="1343"/>
      <c r="I26" s="1343">
        <v>21596</v>
      </c>
      <c r="J26" s="1343"/>
      <c r="K26" s="1343"/>
      <c r="L26" s="1340">
        <f t="shared" si="0"/>
        <v>21596</v>
      </c>
      <c r="M26" s="1343"/>
    </row>
    <row r="27" spans="2:14" ht="20.100000000000001" customHeight="1" x14ac:dyDescent="0.2">
      <c r="B27" s="1337" t="s">
        <v>2137</v>
      </c>
      <c r="C27" s="1341"/>
      <c r="D27" s="1342"/>
      <c r="E27" s="1343">
        <v>471393</v>
      </c>
      <c r="F27" s="1343">
        <v>458168</v>
      </c>
      <c r="G27" s="1343">
        <v>507987</v>
      </c>
      <c r="H27" s="1343"/>
      <c r="I27" s="1343">
        <v>622060</v>
      </c>
      <c r="J27" s="1343"/>
      <c r="K27" s="1343"/>
      <c r="L27" s="1340">
        <f t="shared" si="0"/>
        <v>1130047</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G118" sqref="G118"/>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1894</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2075</v>
      </c>
      <c r="C53" s="179">
        <v>22</v>
      </c>
      <c r="D53" s="247" t="s">
        <v>1537</v>
      </c>
      <c r="E53" s="248"/>
      <c r="F53" s="249"/>
      <c r="G53" s="249" t="s">
        <v>1536</v>
      </c>
      <c r="H53" s="250">
        <v>33604</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1893</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2019</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2091</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2020</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Grant CHSD 124</v>
      </c>
      <c r="C1" s="2451"/>
      <c r="D1" s="2451"/>
      <c r="E1" s="2451"/>
      <c r="F1" s="2451"/>
      <c r="G1" s="2451"/>
      <c r="H1" s="2451"/>
      <c r="I1" s="2451"/>
      <c r="J1" s="2451"/>
      <c r="K1" s="2451"/>
      <c r="L1" s="2451"/>
      <c r="M1" s="2451"/>
    </row>
    <row r="2" spans="2:14" ht="15" x14ac:dyDescent="0.2">
      <c r="B2" s="2452">
        <f>'Single Audit Cover'!E7</f>
        <v>34049124016</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1835</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1948</v>
      </c>
      <c r="K8" s="1319" t="s">
        <v>1323</v>
      </c>
      <c r="L8" s="1320" t="s">
        <v>1319</v>
      </c>
      <c r="M8" s="1321" t="s">
        <v>30</v>
      </c>
    </row>
    <row r="9" spans="2:14" ht="14.25" x14ac:dyDescent="0.2">
      <c r="B9" s="1325" t="s">
        <v>1321</v>
      </c>
      <c r="C9" s="1313" t="s">
        <v>1836</v>
      </c>
      <c r="D9" s="1314" t="s">
        <v>1837</v>
      </c>
      <c r="E9" s="1322" t="s">
        <v>1663</v>
      </c>
      <c r="F9" s="1323" t="s">
        <v>1948</v>
      </c>
      <c r="G9" s="1324" t="s">
        <v>1663</v>
      </c>
      <c r="H9" s="1317" t="s">
        <v>1664</v>
      </c>
      <c r="I9" s="1319" t="s">
        <v>1948</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2141</v>
      </c>
      <c r="C11" s="1338"/>
      <c r="D11" s="1339"/>
      <c r="E11" s="1340"/>
      <c r="F11" s="1340"/>
      <c r="G11" s="1340"/>
      <c r="H11" s="1340"/>
      <c r="I11" s="1340"/>
      <c r="J11" s="1340"/>
      <c r="K11" s="1340"/>
      <c r="L11" s="1340">
        <f>+G11+I11+K11</f>
        <v>0</v>
      </c>
      <c r="M11" s="1340"/>
    </row>
    <row r="12" spans="2:14" ht="20.100000000000001" customHeight="1" x14ac:dyDescent="0.2">
      <c r="B12" s="1337" t="s">
        <v>2142</v>
      </c>
      <c r="C12" s="1341"/>
      <c r="D12" s="1342"/>
      <c r="E12" s="1343"/>
      <c r="F12" s="1343"/>
      <c r="G12" s="1343"/>
      <c r="H12" s="1343"/>
      <c r="I12" s="1343"/>
      <c r="J12" s="1343"/>
      <c r="K12" s="1343"/>
      <c r="L12" s="1340">
        <f t="shared" ref="L12:L27" si="0">+G12+I12+K12</f>
        <v>0</v>
      </c>
      <c r="M12" s="1343"/>
    </row>
    <row r="13" spans="2:14" ht="20.100000000000001" customHeight="1" x14ac:dyDescent="0.2">
      <c r="B13" s="1337" t="s">
        <v>2143</v>
      </c>
      <c r="C13" s="1341">
        <v>93.778000000000006</v>
      </c>
      <c r="D13" s="1342" t="s">
        <v>2145</v>
      </c>
      <c r="E13" s="1343">
        <v>14653</v>
      </c>
      <c r="F13" s="1343"/>
      <c r="G13" s="1343">
        <v>15264</v>
      </c>
      <c r="H13" s="1343"/>
      <c r="I13" s="1343"/>
      <c r="J13" s="1343"/>
      <c r="K13" s="1343"/>
      <c r="L13" s="1340">
        <f t="shared" si="0"/>
        <v>15264</v>
      </c>
      <c r="M13" s="1343" t="s">
        <v>2116</v>
      </c>
    </row>
    <row r="14" spans="2:14" ht="20.100000000000001" customHeight="1" x14ac:dyDescent="0.2">
      <c r="B14" s="1337" t="s">
        <v>2143</v>
      </c>
      <c r="C14" s="1341">
        <v>93.778000000000006</v>
      </c>
      <c r="D14" s="1342" t="s">
        <v>2146</v>
      </c>
      <c r="E14" s="1343"/>
      <c r="F14" s="1343">
        <v>14667</v>
      </c>
      <c r="G14" s="1343"/>
      <c r="H14" s="1343"/>
      <c r="I14" s="1343">
        <v>15278</v>
      </c>
      <c r="J14" s="1343"/>
      <c r="K14" s="1343"/>
      <c r="L14" s="1340">
        <f t="shared" si="0"/>
        <v>15278</v>
      </c>
      <c r="M14" s="1343" t="s">
        <v>2116</v>
      </c>
    </row>
    <row r="15" spans="2:14" ht="20.100000000000001" customHeight="1" x14ac:dyDescent="0.2">
      <c r="B15" s="1337" t="s">
        <v>2144</v>
      </c>
      <c r="C15" s="1341"/>
      <c r="D15" s="1342"/>
      <c r="E15" s="1343">
        <v>14653</v>
      </c>
      <c r="F15" s="1343">
        <v>14667</v>
      </c>
      <c r="G15" s="1343">
        <v>15264</v>
      </c>
      <c r="H15" s="1343"/>
      <c r="I15" s="1343">
        <v>15278</v>
      </c>
      <c r="J15" s="1343"/>
      <c r="K15" s="1343"/>
      <c r="L15" s="1340">
        <f t="shared" si="0"/>
        <v>30542</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t="s">
        <v>2147</v>
      </c>
      <c r="C17" s="1341"/>
      <c r="D17" s="1342"/>
      <c r="E17" s="1343">
        <v>696929</v>
      </c>
      <c r="F17" s="1343">
        <v>789667</v>
      </c>
      <c r="G17" s="1343">
        <v>734134</v>
      </c>
      <c r="H17" s="1343"/>
      <c r="I17" s="1343">
        <v>954170</v>
      </c>
      <c r="J17" s="1343"/>
      <c r="K17" s="1343"/>
      <c r="L17" s="1340">
        <f t="shared" si="0"/>
        <v>1688304</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t="s">
        <v>2148</v>
      </c>
      <c r="C22" s="1341">
        <v>10.555</v>
      </c>
      <c r="D22" s="1342" t="s">
        <v>2149</v>
      </c>
      <c r="E22" s="1343">
        <v>0</v>
      </c>
      <c r="F22" s="1343">
        <v>0</v>
      </c>
      <c r="G22" s="1343">
        <v>0</v>
      </c>
      <c r="H22" s="1343"/>
      <c r="I22" s="1343">
        <v>40285</v>
      </c>
      <c r="J22" s="1343"/>
      <c r="K22" s="1343"/>
      <c r="L22" s="1340">
        <f t="shared" si="0"/>
        <v>40285</v>
      </c>
      <c r="M22" s="1343"/>
    </row>
    <row r="23" spans="2:14" ht="20.100000000000001" customHeight="1" x14ac:dyDescent="0.2">
      <c r="B23" s="1337" t="s">
        <v>2150</v>
      </c>
      <c r="C23" s="1341" t="s">
        <v>2116</v>
      </c>
      <c r="D23" s="1342" t="s">
        <v>2116</v>
      </c>
      <c r="E23" s="1343">
        <v>0</v>
      </c>
      <c r="F23" s="1343">
        <v>0</v>
      </c>
      <c r="G23" s="1343">
        <v>0</v>
      </c>
      <c r="H23" s="1343"/>
      <c r="I23" s="1343">
        <v>0</v>
      </c>
      <c r="J23" s="1343"/>
      <c r="K23" s="1343"/>
      <c r="L23" s="1340">
        <f t="shared" si="0"/>
        <v>0</v>
      </c>
      <c r="M23" s="1343"/>
    </row>
    <row r="24" spans="2:14" ht="20.100000000000001" customHeight="1" x14ac:dyDescent="0.2">
      <c r="B24" s="1337" t="s">
        <v>2151</v>
      </c>
      <c r="C24" s="1341" t="s">
        <v>2116</v>
      </c>
      <c r="D24" s="1342" t="s">
        <v>2116</v>
      </c>
      <c r="E24" s="1343">
        <v>0</v>
      </c>
      <c r="F24" s="1343">
        <v>0</v>
      </c>
      <c r="G24" s="1343">
        <v>0</v>
      </c>
      <c r="H24" s="1343"/>
      <c r="I24" s="1343">
        <v>0</v>
      </c>
      <c r="J24" s="1343"/>
      <c r="K24" s="1343"/>
      <c r="L24" s="1340">
        <f t="shared" si="0"/>
        <v>0</v>
      </c>
      <c r="M24" s="1343"/>
    </row>
    <row r="25" spans="2:14" ht="20.100000000000001" customHeight="1" x14ac:dyDescent="0.2">
      <c r="B25" s="1337" t="s">
        <v>2152</v>
      </c>
      <c r="C25" s="1341" t="s">
        <v>2116</v>
      </c>
      <c r="D25" s="1342" t="s">
        <v>2116</v>
      </c>
      <c r="E25" s="1343">
        <v>0</v>
      </c>
      <c r="F25" s="1343">
        <v>0</v>
      </c>
      <c r="G25" s="1343">
        <v>0</v>
      </c>
      <c r="H25" s="1343"/>
      <c r="I25" s="1343">
        <v>0</v>
      </c>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1838</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1949</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1839</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1840</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1841</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1842</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29" sqref="C29"/>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6" t="str">
        <f>'Single Audit Cover'!A7</f>
        <v>Grant CHSD 124</v>
      </c>
      <c r="B1" s="2456"/>
      <c r="C1" s="2456"/>
      <c r="D1" s="2456"/>
      <c r="E1" s="2456"/>
      <c r="F1" s="2456"/>
    </row>
    <row r="2" spans="1:7" ht="13.5" customHeight="1" x14ac:dyDescent="0.2">
      <c r="A2" s="2452">
        <f>'Single Audit Cover'!E7</f>
        <v>34049124016</v>
      </c>
      <c r="B2" s="2452"/>
      <c r="C2" s="2452"/>
      <c r="D2" s="2452"/>
      <c r="E2" s="2452"/>
      <c r="F2" s="2452"/>
      <c r="G2" s="1275"/>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6" t="s">
        <v>1831</v>
      </c>
      <c r="C6" s="317"/>
      <c r="D6" s="317"/>
    </row>
    <row r="7" spans="1:7" ht="60.95" customHeight="1" x14ac:dyDescent="0.2">
      <c r="A7" s="2455" t="s">
        <v>2153</v>
      </c>
      <c r="B7" s="2455"/>
      <c r="C7" s="2455"/>
      <c r="D7" s="2455"/>
      <c r="E7" s="2455"/>
      <c r="F7" s="2455"/>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2075</v>
      </c>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5" t="s">
        <v>2154</v>
      </c>
      <c r="B13" s="2455"/>
      <c r="C13" s="2455"/>
      <c r="D13" s="2455"/>
      <c r="E13" s="2455"/>
      <c r="F13" s="2455"/>
    </row>
    <row r="14" spans="1:7" ht="9.75" customHeight="1" x14ac:dyDescent="0.2">
      <c r="C14" s="1260"/>
      <c r="D14" s="1260"/>
    </row>
    <row r="15" spans="1:7" ht="13.5" customHeight="1" x14ac:dyDescent="0.2">
      <c r="C15" s="1870" t="s">
        <v>1332</v>
      </c>
      <c r="D15" s="2460" t="s">
        <v>1331</v>
      </c>
      <c r="E15" s="2460"/>
      <c r="F15" s="2460"/>
    </row>
    <row r="16" spans="1:7" ht="13.5" customHeight="1" x14ac:dyDescent="0.2">
      <c r="A16" s="1282"/>
      <c r="B16" s="1276" t="s">
        <v>1330</v>
      </c>
      <c r="C16" s="1870" t="s">
        <v>1329</v>
      </c>
      <c r="D16" s="2461" t="s">
        <v>1670</v>
      </c>
      <c r="E16" s="2461"/>
      <c r="F16" s="2461"/>
    </row>
    <row r="17" spans="1:6" ht="20.45" customHeight="1" x14ac:dyDescent="0.2">
      <c r="A17" s="1283"/>
      <c r="B17" s="1284" t="s">
        <v>2155</v>
      </c>
      <c r="C17" s="1285"/>
      <c r="D17" s="2459"/>
      <c r="E17" s="2459"/>
      <c r="F17" s="2459"/>
    </row>
    <row r="18" spans="1:6" ht="20.65" customHeight="1" x14ac:dyDescent="0.2">
      <c r="A18" s="1283"/>
      <c r="B18" s="1284"/>
      <c r="C18" s="1285"/>
      <c r="D18" s="2459"/>
      <c r="E18" s="2459"/>
      <c r="F18" s="2459"/>
    </row>
    <row r="19" spans="1:6" ht="20.65" customHeight="1" x14ac:dyDescent="0.2">
      <c r="A19" s="1283"/>
      <c r="B19" s="1284"/>
      <c r="C19" s="1285"/>
      <c r="D19" s="2459"/>
      <c r="E19" s="2459"/>
      <c r="F19" s="2459"/>
    </row>
    <row r="20" spans="1:6" ht="20.65" customHeight="1" x14ac:dyDescent="0.2">
      <c r="A20" s="1283"/>
      <c r="B20" s="1284"/>
      <c r="C20" s="1285"/>
      <c r="D20" s="2459"/>
      <c r="E20" s="2459"/>
      <c r="F20" s="2459"/>
    </row>
    <row r="21" spans="1:6" ht="20.65" customHeight="1" x14ac:dyDescent="0.2">
      <c r="A21" s="1283"/>
      <c r="B21" s="1284"/>
      <c r="C21" s="1285"/>
      <c r="D21" s="2459"/>
      <c r="E21" s="2459"/>
      <c r="F21" s="2459"/>
    </row>
    <row r="22" spans="1:6" ht="20.65" customHeight="1" x14ac:dyDescent="0.2">
      <c r="A22" s="1283"/>
      <c r="B22" s="1284"/>
      <c r="C22" s="1285"/>
      <c r="D22" s="2459"/>
      <c r="E22" s="2459"/>
      <c r="F22" s="2459"/>
    </row>
    <row r="23" spans="1:6" ht="20.65" customHeight="1" x14ac:dyDescent="0.2">
      <c r="A23" s="1283"/>
      <c r="B23" s="1284"/>
      <c r="C23" s="1285"/>
      <c r="D23" s="2459"/>
      <c r="E23" s="2459"/>
      <c r="F23" s="2459"/>
    </row>
    <row r="24" spans="1:6" ht="20.65" customHeight="1" x14ac:dyDescent="0.2">
      <c r="A24" s="1283"/>
      <c r="B24" s="1284"/>
      <c r="C24" s="1285"/>
      <c r="D24" s="2459"/>
      <c r="E24" s="2459"/>
      <c r="F24" s="2459"/>
    </row>
    <row r="25" spans="1:6" ht="20.65" customHeight="1" x14ac:dyDescent="0.2">
      <c r="A25" s="1283"/>
      <c r="B25" s="1284"/>
      <c r="C25" s="1285"/>
      <c r="D25" s="2459"/>
      <c r="E25" s="2459"/>
      <c r="F25" s="2459"/>
    </row>
    <row r="26" spans="1:6" ht="20.65" customHeight="1" x14ac:dyDescent="0.2">
      <c r="A26" s="1283"/>
      <c r="B26" s="1284"/>
      <c r="C26" s="1285"/>
      <c r="D26" s="2459"/>
      <c r="E26" s="2459"/>
      <c r="F26" s="2459"/>
    </row>
    <row r="27" spans="1:6" ht="20.65" customHeight="1" x14ac:dyDescent="0.2">
      <c r="A27" s="1283"/>
      <c r="B27" s="1284"/>
      <c r="C27" s="1285"/>
      <c r="D27" s="2459"/>
      <c r="E27" s="2459"/>
      <c r="F27" s="2459"/>
    </row>
    <row r="28" spans="1:6" ht="20.65" customHeight="1" x14ac:dyDescent="0.2">
      <c r="A28" s="1283"/>
      <c r="B28" s="1284"/>
      <c r="C28" s="1285"/>
      <c r="D28" s="2459"/>
      <c r="E28" s="2459"/>
      <c r="F28" s="2459"/>
    </row>
    <row r="29" spans="1:6" ht="20.65" customHeight="1" x14ac:dyDescent="0.2">
      <c r="A29" s="1283"/>
      <c r="B29" s="1284"/>
      <c r="C29" s="1285"/>
      <c r="D29" s="2459"/>
      <c r="E29" s="2459"/>
      <c r="F29" s="2459"/>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3" t="s">
        <v>1833</v>
      </c>
      <c r="B32" s="2463"/>
      <c r="C32" s="2463"/>
      <c r="D32" s="2463"/>
      <c r="E32" s="2463"/>
      <c r="F32" s="2463"/>
    </row>
    <row r="33" spans="1:6" ht="13.5" customHeight="1" x14ac:dyDescent="0.2">
      <c r="A33" s="328" t="s">
        <v>1509</v>
      </c>
      <c r="B33" s="328"/>
      <c r="C33" s="1288">
        <v>20665</v>
      </c>
      <c r="D33" s="1927"/>
      <c r="E33" s="1286"/>
    </row>
    <row r="34" spans="1:6" ht="13.5" customHeight="1" x14ac:dyDescent="0.2">
      <c r="A34" s="328" t="s">
        <v>1947</v>
      </c>
      <c r="B34" s="328"/>
      <c r="C34" s="1289">
        <v>19621</v>
      </c>
      <c r="D34" s="1927" t="s">
        <v>1671</v>
      </c>
      <c r="E34" s="2464">
        <f>+C33+C34</f>
        <v>40286</v>
      </c>
      <c r="F34" s="246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t="s">
        <v>2116</v>
      </c>
      <c r="D38" s="1927"/>
      <c r="E38" s="1286"/>
    </row>
    <row r="39" spans="1:6" ht="14.25" customHeight="1" x14ac:dyDescent="0.2">
      <c r="A39" s="328"/>
      <c r="B39" s="328" t="s">
        <v>1511</v>
      </c>
      <c r="C39" s="1292" t="s">
        <v>2116</v>
      </c>
      <c r="D39" s="1927"/>
      <c r="E39" s="1286"/>
    </row>
    <row r="40" spans="1:6" ht="14.25" customHeight="1" x14ac:dyDescent="0.2">
      <c r="A40" s="328"/>
      <c r="B40" s="328" t="s">
        <v>1512</v>
      </c>
      <c r="C40" s="1292" t="s">
        <v>2116</v>
      </c>
      <c r="D40" s="1927"/>
      <c r="E40" s="1286"/>
    </row>
    <row r="41" spans="1:6" ht="14.25" customHeight="1" x14ac:dyDescent="0.2">
      <c r="A41" s="328"/>
      <c r="B41" s="328" t="s">
        <v>1513</v>
      </c>
      <c r="C41" s="1292" t="s">
        <v>2116</v>
      </c>
      <c r="D41" s="1927"/>
      <c r="E41" s="1286"/>
    </row>
    <row r="42" spans="1:6" ht="14.25" customHeight="1" x14ac:dyDescent="0.2">
      <c r="A42" s="328" t="s">
        <v>1514</v>
      </c>
      <c r="B42" s="328"/>
      <c r="C42" s="1925" t="s">
        <v>2116</v>
      </c>
      <c r="D42" s="1927"/>
      <c r="E42" s="1286"/>
    </row>
    <row r="43" spans="1:6" ht="14.25" customHeight="1" x14ac:dyDescent="0.2">
      <c r="A43" s="328" t="s">
        <v>1515</v>
      </c>
      <c r="B43" s="328"/>
      <c r="C43" s="1293" t="s">
        <v>101</v>
      </c>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1834</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6" t="s">
        <v>1672</v>
      </c>
      <c r="C49" s="2466"/>
      <c r="D49" s="2466"/>
      <c r="E49" s="1399"/>
    </row>
    <row r="50" spans="1:5" s="1300" customFormat="1" ht="3.75" customHeight="1" x14ac:dyDescent="0.2">
      <c r="A50" s="1299"/>
      <c r="B50" s="1869"/>
      <c r="C50" s="1869"/>
      <c r="D50" s="1869"/>
      <c r="E50" s="1399"/>
    </row>
    <row r="51" spans="1:5" s="1300" customFormat="1" ht="20.25" customHeight="1" x14ac:dyDescent="0.2">
      <c r="A51" s="1301">
        <v>6</v>
      </c>
      <c r="B51" s="2462" t="s">
        <v>1632</v>
      </c>
      <c r="C51" s="2462"/>
      <c r="D51" s="2462"/>
    </row>
    <row r="52" spans="1:5" ht="14.25" customHeight="1" x14ac:dyDescent="0.2">
      <c r="A52" s="1301"/>
      <c r="B52" s="2462"/>
      <c r="C52" s="2462"/>
      <c r="D52" s="246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1" zoomScale="110" zoomScaleNormal="110" workbookViewId="0">
      <selection activeCell="G42" sqref="G42:I4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Grant CHSD 124</v>
      </c>
      <c r="C1" s="2472"/>
      <c r="D1" s="2472"/>
      <c r="E1" s="2472"/>
      <c r="F1" s="2472"/>
      <c r="G1" s="2472"/>
      <c r="H1" s="2472"/>
      <c r="I1" s="2472"/>
      <c r="J1" s="1422"/>
    </row>
    <row r="2" spans="2:10" s="317" customFormat="1" ht="12.75" customHeight="1" x14ac:dyDescent="0.2">
      <c r="B2" s="2473">
        <f>'Single Audit Cover'!E7</f>
        <v>34049124016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t="s">
        <v>1226</v>
      </c>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2075</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2075</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2075</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2075</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2075</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t="s">
        <v>2156</v>
      </c>
      <c r="E29" s="2478"/>
      <c r="F29" s="2478"/>
      <c r="G29" s="2478"/>
      <c r="H29" s="2478"/>
      <c r="I29" s="2478"/>
    </row>
    <row r="30" spans="2:9" s="317" customFormat="1" x14ac:dyDescent="0.2">
      <c r="B30" s="1368"/>
      <c r="C30" s="322"/>
      <c r="D30" s="1433" t="s">
        <v>1849</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2075</v>
      </c>
      <c r="H33" s="1300" t="s">
        <v>101</v>
      </c>
    </row>
    <row r="35" spans="2:9" x14ac:dyDescent="0.2">
      <c r="B35" s="1441" t="s">
        <v>1850</v>
      </c>
      <c r="C35" s="1442"/>
      <c r="D35" s="1267"/>
    </row>
    <row r="36" spans="2:9" ht="6" customHeight="1" x14ac:dyDescent="0.2">
      <c r="B36" s="1441"/>
      <c r="C36" s="1442"/>
      <c r="D36" s="1267"/>
    </row>
    <row r="37" spans="2:9" ht="17.25" customHeight="1" x14ac:dyDescent="0.2">
      <c r="B37" s="1443" t="s">
        <v>1851</v>
      </c>
      <c r="C37" s="2479" t="s">
        <v>1852</v>
      </c>
      <c r="D37" s="2480"/>
      <c r="E37" s="2480"/>
      <c r="F37" s="2481"/>
      <c r="G37" s="2479" t="s">
        <v>1674</v>
      </c>
      <c r="H37" s="2480"/>
      <c r="I37" s="2481"/>
    </row>
    <row r="38" spans="2:9" ht="16.5" customHeight="1" x14ac:dyDescent="0.2">
      <c r="B38" s="1444">
        <v>10.555</v>
      </c>
      <c r="C38" s="2467" t="s">
        <v>1118</v>
      </c>
      <c r="D38" s="2468"/>
      <c r="E38" s="2468"/>
      <c r="F38" s="2469"/>
      <c r="G38" s="2482">
        <v>246916</v>
      </c>
      <c r="H38" s="2483"/>
      <c r="I38" s="2484"/>
    </row>
    <row r="39" spans="2:9" ht="16.5" customHeight="1" x14ac:dyDescent="0.2">
      <c r="B39" s="1444">
        <v>10.553000000000001</v>
      </c>
      <c r="C39" s="2467" t="s">
        <v>1119</v>
      </c>
      <c r="D39" s="2468"/>
      <c r="E39" s="2468"/>
      <c r="F39" s="2469"/>
      <c r="G39" s="2470">
        <v>29631</v>
      </c>
      <c r="H39" s="2470"/>
      <c r="I39" s="2470"/>
    </row>
    <row r="40" spans="2:9" ht="16.5" customHeight="1" x14ac:dyDescent="0.2">
      <c r="B40" s="1444">
        <v>10.555</v>
      </c>
      <c r="C40" s="2467" t="s">
        <v>2157</v>
      </c>
      <c r="D40" s="2468"/>
      <c r="E40" s="2468"/>
      <c r="F40" s="2469"/>
      <c r="G40" s="2470">
        <v>40285</v>
      </c>
      <c r="H40" s="2470"/>
      <c r="I40" s="2470"/>
    </row>
    <row r="41" spans="2:9" ht="16.5" customHeight="1" x14ac:dyDescent="0.2">
      <c r="B41" s="1444" t="s">
        <v>2109</v>
      </c>
      <c r="C41" s="2467" t="s">
        <v>974</v>
      </c>
      <c r="D41" s="2468"/>
      <c r="E41" s="2468"/>
      <c r="F41" s="2469"/>
      <c r="G41" s="2470">
        <v>179311</v>
      </c>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496143</v>
      </c>
      <c r="H43" s="2488"/>
      <c r="I43" s="2488"/>
    </row>
    <row r="44" spans="2:9" ht="12.75" customHeight="1" x14ac:dyDescent="0.2"/>
    <row r="45" spans="2:9" ht="12.75" customHeight="1" x14ac:dyDescent="0.2">
      <c r="B45" s="1435" t="s">
        <v>1950</v>
      </c>
      <c r="D45" s="2489">
        <v>954170</v>
      </c>
      <c r="E45" s="2490"/>
    </row>
    <row r="46" spans="2:9" ht="5.25" customHeight="1" x14ac:dyDescent="0.2">
      <c r="B46" s="1445"/>
      <c r="D46" s="1446"/>
      <c r="E46" s="1447"/>
    </row>
    <row r="47" spans="2:9" ht="12.75" customHeight="1" x14ac:dyDescent="0.2">
      <c r="B47" s="1300" t="s">
        <v>1676</v>
      </c>
      <c r="C47" s="1300"/>
      <c r="D47" s="1448">
        <f>+G43/D45</f>
        <v>0.5199733800056594</v>
      </c>
      <c r="E47" s="1449"/>
      <c r="F47" s="1450"/>
      <c r="I47" s="1451"/>
    </row>
    <row r="48" spans="2:9" ht="9.9499999999999993" customHeight="1" x14ac:dyDescent="0.2"/>
    <row r="49" spans="1:9" x14ac:dyDescent="0.2">
      <c r="B49" s="1368" t="s">
        <v>1335</v>
      </c>
      <c r="C49" s="1282"/>
      <c r="D49" s="1282"/>
      <c r="E49" s="2491">
        <v>750000</v>
      </c>
      <c r="F49" s="2491"/>
      <c r="G49" s="2491"/>
      <c r="H49" s="322"/>
    </row>
    <row r="51" spans="1:9" ht="13.5" customHeight="1" x14ac:dyDescent="0.2">
      <c r="B51" s="1368" t="s">
        <v>1334</v>
      </c>
      <c r="C51" s="1282"/>
      <c r="E51" s="1438"/>
      <c r="F51" s="1300" t="s">
        <v>940</v>
      </c>
      <c r="G51" s="1438" t="s">
        <v>2075</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1853</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1854</v>
      </c>
      <c r="C58" s="1464"/>
      <c r="D58" s="1464"/>
    </row>
    <row r="59" spans="1:9" s="1461" customFormat="1" ht="3.95" customHeight="1" x14ac:dyDescent="0.2">
      <c r="A59" s="1458"/>
      <c r="B59" s="1463"/>
      <c r="C59" s="1464"/>
      <c r="D59" s="1464"/>
    </row>
    <row r="60" spans="1:9" s="1461" customFormat="1" ht="13.5" customHeight="1" x14ac:dyDescent="0.2">
      <c r="A60" s="1458"/>
      <c r="B60" s="1463" t="s">
        <v>1855</v>
      </c>
      <c r="C60" s="1464"/>
      <c r="D60" s="1464"/>
    </row>
    <row r="61" spans="1:9" s="1461" customFormat="1" ht="3.95" customHeight="1" x14ac:dyDescent="0.2">
      <c r="A61" s="1458"/>
      <c r="B61" s="1463"/>
      <c r="C61" s="1464"/>
      <c r="D61" s="1464"/>
    </row>
    <row r="62" spans="1:9" s="1461" customFormat="1" ht="12.75" customHeight="1" x14ac:dyDescent="0.2">
      <c r="A62" s="1458"/>
      <c r="B62" s="1463" t="s">
        <v>1856</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S26" sqref="S26"/>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Grant CHSD 124</v>
      </c>
      <c r="C1" s="2471"/>
      <c r="D1" s="2471"/>
      <c r="E1" s="2471"/>
      <c r="F1" s="2471"/>
      <c r="G1" s="2471"/>
      <c r="H1" s="2471"/>
      <c r="I1" s="2471"/>
      <c r="J1" s="2471"/>
      <c r="K1" s="2471"/>
      <c r="L1" s="1374"/>
      <c r="M1" s="1374"/>
    </row>
    <row r="2" spans="1:13" ht="12" customHeight="1" x14ac:dyDescent="0.2">
      <c r="B2" s="2473">
        <f>'Single Audit Cover'!E7</f>
        <v>34049124016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1843</v>
      </c>
      <c r="C10" s="1385" t="s">
        <v>1951</v>
      </c>
      <c r="D10" s="1386" t="s">
        <v>2155</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1844</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1845</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1846</v>
      </c>
      <c r="C35" s="1419"/>
      <c r="D35" s="322"/>
      <c r="E35" s="322"/>
      <c r="F35" s="322"/>
      <c r="L35" s="1381"/>
    </row>
    <row r="36" spans="1:13" ht="9.6" customHeight="1" x14ac:dyDescent="0.2">
      <c r="B36" s="1300" t="s">
        <v>1952</v>
      </c>
      <c r="C36" s="1300"/>
      <c r="L36" s="1381"/>
    </row>
    <row r="37" spans="1:13" ht="9.6" customHeight="1" x14ac:dyDescent="0.2">
      <c r="B37" s="1300" t="s">
        <v>1953</v>
      </c>
      <c r="C37" s="1300"/>
    </row>
    <row r="38" spans="1:13" ht="11.85" customHeight="1" x14ac:dyDescent="0.2">
      <c r="B38" s="1420" t="s">
        <v>1847</v>
      </c>
      <c r="C38" s="1420"/>
    </row>
    <row r="39" spans="1:13" ht="9.6" customHeight="1" x14ac:dyDescent="0.2">
      <c r="B39" s="1300" t="s">
        <v>1348</v>
      </c>
      <c r="C39" s="1300"/>
      <c r="M39" s="1421"/>
    </row>
    <row r="40" spans="1:13" ht="12.6" customHeight="1" x14ac:dyDescent="0.2">
      <c r="B40" s="1420" t="s">
        <v>1848</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Grant CHSD 124</v>
      </c>
      <c r="C1" s="2498"/>
      <c r="D1" s="2498"/>
      <c r="E1" s="2498"/>
      <c r="F1" s="2498"/>
      <c r="G1" s="2498"/>
      <c r="H1" s="2498"/>
      <c r="I1" s="2498"/>
      <c r="J1" s="2498"/>
      <c r="K1" s="2498"/>
      <c r="L1" s="1465"/>
    </row>
    <row r="2" spans="1:12" ht="12.75" customHeight="1" x14ac:dyDescent="0.2">
      <c r="B2" s="2499">
        <f>'Single Audit Cover'!E7</f>
        <v>34049124016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1857</v>
      </c>
      <c r="C8" s="1467" t="s">
        <v>1951</v>
      </c>
      <c r="D8" s="1468" t="s">
        <v>2155</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1858</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1859</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1860</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1861</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1862</v>
      </c>
      <c r="C48" s="1419"/>
      <c r="D48" s="322"/>
      <c r="E48" s="322"/>
      <c r="F48" s="322"/>
    </row>
    <row r="49" spans="2:3" s="317" customFormat="1" ht="10.5" customHeight="1" x14ac:dyDescent="0.2">
      <c r="B49" s="1420" t="s">
        <v>1863</v>
      </c>
      <c r="C49" s="1420"/>
    </row>
    <row r="50" spans="2:3" s="317" customFormat="1" ht="11.1" customHeight="1" x14ac:dyDescent="0.2">
      <c r="B50" s="1420" t="s">
        <v>1864</v>
      </c>
      <c r="C50" s="1420"/>
    </row>
    <row r="51" spans="2:3" s="317" customFormat="1" ht="11.1" customHeight="1" x14ac:dyDescent="0.2">
      <c r="B51" s="1420" t="s">
        <v>1865</v>
      </c>
      <c r="C51" s="1420"/>
    </row>
    <row r="52" spans="2:3" s="317" customFormat="1" ht="11.1" customHeight="1" x14ac:dyDescent="0.2">
      <c r="B52" s="1420" t="s">
        <v>1866</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Grant CHSD 124</v>
      </c>
      <c r="C1" s="2471"/>
      <c r="D1" s="2471"/>
      <c r="E1" s="1491"/>
    </row>
    <row r="2" spans="2:5" s="1282" customFormat="1" ht="12.75" customHeight="1" x14ac:dyDescent="0.2">
      <c r="B2" s="2473">
        <f>'Single Audit Cover'!E7</f>
        <v>34049124016</v>
      </c>
      <c r="C2" s="2473"/>
      <c r="D2" s="2473"/>
      <c r="E2" s="1492"/>
    </row>
    <row r="3" spans="2:5" ht="12.75" customHeight="1" x14ac:dyDescent="0.2">
      <c r="B3" s="2494" t="s">
        <v>1867</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1868</v>
      </c>
      <c r="C5" s="328"/>
      <c r="D5" s="328"/>
      <c r="E5" s="328"/>
    </row>
    <row r="6" spans="2:5" s="1282" customFormat="1" ht="13.5" customHeight="1" x14ac:dyDescent="0.2">
      <c r="B6" s="1495" t="s">
        <v>1382</v>
      </c>
      <c r="C6" s="1495" t="s">
        <v>1381</v>
      </c>
      <c r="D6" s="1495" t="s">
        <v>1869</v>
      </c>
    </row>
    <row r="7" spans="2:5" ht="13.5" customHeight="1" x14ac:dyDescent="0.2">
      <c r="B7" s="1496" t="s">
        <v>2155</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1870</v>
      </c>
    </row>
    <row r="46" spans="2:5" ht="12.2" customHeight="1" x14ac:dyDescent="0.2">
      <c r="B46" s="1505" t="s">
        <v>1871</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63" sqref="B6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816200173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1.8526000000000001E-2</v>
      </c>
      <c r="E10" s="356" t="s">
        <v>1062</v>
      </c>
      <c r="F10" s="355">
        <v>5.0231800000000004E-3</v>
      </c>
      <c r="G10" s="356" t="s">
        <v>1062</v>
      </c>
      <c r="H10" s="355">
        <v>3.0812E-4</v>
      </c>
      <c r="I10" s="356" t="s">
        <v>1063</v>
      </c>
      <c r="J10" s="1754">
        <f>ROUND(D10+F10+H10,5)</f>
        <v>2.3859999999999999E-2</v>
      </c>
      <c r="K10" s="222"/>
      <c r="L10" s="355">
        <v>4.4710000000000003E-4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28351117</v>
      </c>
      <c r="E16" s="356"/>
      <c r="F16" s="1755">
        <f>SUM('Acct Summary 7-8'!C17,'Acct Summary 7-8'!D17,'Acct Summary 7-8'!F17)</f>
        <v>28821000</v>
      </c>
      <c r="G16" s="356"/>
      <c r="H16" s="1755">
        <f>SUM(D16-F16)</f>
        <v>-469883</v>
      </c>
      <c r="I16" s="222"/>
      <c r="J16" s="1755">
        <f>SUM('Acct Summary 7-8'!C81,'Acct Summary 7-8'!D81,'Acct Summary 7-8'!F81,'Acct Summary 7-8'!I81)</f>
        <v>39044527</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2075</v>
      </c>
      <c r="C31" s="367" t="s">
        <v>607</v>
      </c>
      <c r="D31" s="237" t="s">
        <v>1132</v>
      </c>
      <c r="E31" s="222"/>
      <c r="F31" s="222"/>
      <c r="G31" s="363"/>
      <c r="H31" s="1757">
        <f>IF(B31="X",(J7*0.069),IF(B32="X",(J7*0.138),"Enter x in a.or b."))</f>
        <v>56317811.937000006</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Grant CHSD 124</v>
      </c>
      <c r="E7" s="391"/>
      <c r="G7" s="252"/>
      <c r="H7" s="387"/>
      <c r="I7" s="387"/>
      <c r="J7" s="387"/>
      <c r="K7" s="387"/>
      <c r="L7" s="329"/>
      <c r="M7" s="329"/>
      <c r="N7" s="329"/>
      <c r="O7" s="329"/>
      <c r="P7" s="329"/>
    </row>
    <row r="8" spans="1:18" ht="12.75" x14ac:dyDescent="0.2">
      <c r="A8" s="329"/>
      <c r="B8" s="329"/>
      <c r="C8" s="389" t="s">
        <v>1187</v>
      </c>
      <c r="D8" s="392">
        <f>COVER!A13</f>
        <v>34049124016</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39044527</v>
      </c>
      <c r="I12" s="404"/>
      <c r="J12" s="404"/>
      <c r="K12" s="405">
        <f>TRUNC((H12/H13*100000),5)/100000</f>
        <v>1.3771777316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28351117</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x14ac:dyDescent="0.2">
      <c r="A17" s="218"/>
      <c r="B17" s="401"/>
      <c r="C17" s="218" t="s">
        <v>830</v>
      </c>
      <c r="D17" s="218"/>
      <c r="E17" s="218"/>
      <c r="F17" s="218" t="s">
        <v>464</v>
      </c>
      <c r="G17" s="402"/>
      <c r="H17" s="403">
        <f>SUM('Acct Summary 7-8'!C17+'Acct Summary 7-8'!D17+'Acct Summary 7-8'!F17)</f>
        <v>28821000</v>
      </c>
      <c r="I17" s="404"/>
      <c r="J17" s="416"/>
      <c r="K17" s="405">
        <f>TRUNC((H17/H18*100000),5)/100000</f>
        <v>1.0165737032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28351117</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f>IF(K17&lt;=1,"0",TRUNC(((K12-0.1)/(K17-1)*100),5)/100)</f>
        <v>77.060492499999995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39044527</v>
      </c>
      <c r="I24" s="422"/>
      <c r="J24" s="422"/>
      <c r="K24" s="423">
        <f>TRUNC(((H24/H25*100000)/100000),2)</f>
        <v>487.7</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80058.333329999994</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16553355.70861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56317811.937000006</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4" activePane="bottomLeft" state="frozen"/>
      <selection activeCell="A47" sqref="A47"/>
      <selection pane="bottomLeft" activeCell="E25" sqref="E25"/>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30822716+10220</f>
        <v>30832936</v>
      </c>
      <c r="D4" s="466">
        <v>2553051</v>
      </c>
      <c r="E4" s="466">
        <v>261084</v>
      </c>
      <c r="F4" s="466">
        <v>2523131</v>
      </c>
      <c r="G4" s="466">
        <v>904693</v>
      </c>
      <c r="H4" s="466">
        <v>432</v>
      </c>
      <c r="I4" s="466">
        <v>3135409</v>
      </c>
      <c r="J4" s="467"/>
      <c r="K4" s="466"/>
      <c r="L4" s="466">
        <v>359791</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30832936</v>
      </c>
      <c r="D13" s="1759">
        <f t="shared" ref="D13:L13" si="0">SUM(D4:D12)</f>
        <v>2553051</v>
      </c>
      <c r="E13" s="1759">
        <f t="shared" si="0"/>
        <v>261084</v>
      </c>
      <c r="F13" s="1759">
        <f t="shared" si="0"/>
        <v>2523131</v>
      </c>
      <c r="G13" s="1759">
        <f t="shared" si="0"/>
        <v>904693</v>
      </c>
      <c r="H13" s="1759">
        <f t="shared" si="0"/>
        <v>432</v>
      </c>
      <c r="I13" s="1759">
        <f t="shared" si="0"/>
        <v>3135409</v>
      </c>
      <c r="J13" s="1759">
        <f t="shared" si="0"/>
        <v>0</v>
      </c>
      <c r="K13" s="1759">
        <f t="shared" si="0"/>
        <v>0</v>
      </c>
      <c r="L13" s="1759">
        <f t="shared" si="0"/>
        <v>359791</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4190703</v>
      </c>
      <c r="N16" s="484"/>
    </row>
    <row r="17" spans="1:14" s="485" customFormat="1" ht="12.75" customHeight="1" x14ac:dyDescent="0.2">
      <c r="A17" s="482" t="s">
        <v>1470</v>
      </c>
      <c r="B17" s="483">
        <v>230</v>
      </c>
      <c r="C17" s="477"/>
      <c r="D17" s="477"/>
      <c r="E17" s="477"/>
      <c r="F17" s="477"/>
      <c r="G17" s="477"/>
      <c r="H17" s="477"/>
      <c r="I17" s="477"/>
      <c r="J17" s="477"/>
      <c r="K17" s="477"/>
      <c r="L17" s="477"/>
      <c r="M17" s="467">
        <v>73646034</v>
      </c>
      <c r="N17" s="484"/>
    </row>
    <row r="18" spans="1:14" s="485" customFormat="1" ht="12.75" customHeight="1" x14ac:dyDescent="0.2">
      <c r="A18" s="482" t="s">
        <v>1471</v>
      </c>
      <c r="B18" s="483">
        <v>240</v>
      </c>
      <c r="C18" s="477"/>
      <c r="D18" s="477"/>
      <c r="E18" s="477"/>
      <c r="F18" s="477"/>
      <c r="G18" s="477"/>
      <c r="H18" s="477"/>
      <c r="I18" s="477"/>
      <c r="J18" s="477"/>
      <c r="K18" s="477"/>
      <c r="L18" s="477"/>
      <c r="M18" s="467">
        <v>6497234</v>
      </c>
      <c r="N18" s="484"/>
    </row>
    <row r="19" spans="1:14" s="485" customFormat="1" ht="12.75" customHeight="1" x14ac:dyDescent="0.2">
      <c r="A19" s="482" t="s">
        <v>1472</v>
      </c>
      <c r="B19" s="483">
        <v>250</v>
      </c>
      <c r="C19" s="477"/>
      <c r="D19" s="477"/>
      <c r="E19" s="477"/>
      <c r="F19" s="477"/>
      <c r="G19" s="477"/>
      <c r="H19" s="477"/>
      <c r="I19" s="477"/>
      <c r="J19" s="477"/>
      <c r="K19" s="477"/>
      <c r="L19" s="477"/>
      <c r="M19" s="467">
        <v>9300250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261084</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-261084</v>
      </c>
    </row>
    <row r="23" spans="1:14" ht="13.5" customHeight="1" thickBot="1" x14ac:dyDescent="0.25">
      <c r="A23" s="1758" t="s">
        <v>664</v>
      </c>
      <c r="B23" s="1763"/>
      <c r="C23" s="468"/>
      <c r="D23" s="468"/>
      <c r="E23" s="468"/>
      <c r="F23" s="468"/>
      <c r="G23" s="468"/>
      <c r="H23" s="468"/>
      <c r="I23" s="468"/>
      <c r="J23" s="468"/>
      <c r="K23" s="468"/>
      <c r="L23" s="468"/>
      <c r="M23" s="1710">
        <f>SUM(M15:M22)</f>
        <v>93634221</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359791</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359791</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f>30822716+10220</f>
        <v>30832936</v>
      </c>
      <c r="D39" s="466">
        <v>2553051</v>
      </c>
      <c r="E39" s="466">
        <v>261084</v>
      </c>
      <c r="F39" s="466">
        <v>2523131</v>
      </c>
      <c r="G39" s="466">
        <v>904693</v>
      </c>
      <c r="H39" s="466">
        <v>432</v>
      </c>
      <c r="I39" s="466">
        <v>3135409</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93634221</v>
      </c>
      <c r="N40" s="497"/>
    </row>
    <row r="41" spans="1:14" ht="13.5" customHeight="1" thickBot="1" x14ac:dyDescent="0.25">
      <c r="A41" s="1758" t="s">
        <v>676</v>
      </c>
      <c r="B41" s="1728"/>
      <c r="C41" s="1710">
        <f>(SUM(C34,C37,C38,C39))</f>
        <v>30832936</v>
      </c>
      <c r="D41" s="1710">
        <f t="shared" ref="D41:L41" si="2">SUM(D34,D37,D38:D39)</f>
        <v>2553051</v>
      </c>
      <c r="E41" s="1710">
        <f t="shared" si="2"/>
        <v>261084</v>
      </c>
      <c r="F41" s="1710">
        <f t="shared" si="2"/>
        <v>2523131</v>
      </c>
      <c r="G41" s="1710">
        <f t="shared" si="2"/>
        <v>904693</v>
      </c>
      <c r="H41" s="1710">
        <f t="shared" si="2"/>
        <v>432</v>
      </c>
      <c r="I41" s="1710">
        <f t="shared" si="2"/>
        <v>3135409</v>
      </c>
      <c r="J41" s="1710">
        <f t="shared" si="2"/>
        <v>0</v>
      </c>
      <c r="K41" s="1710">
        <f t="shared" si="2"/>
        <v>0</v>
      </c>
      <c r="L41" s="1710">
        <f t="shared" si="2"/>
        <v>359791</v>
      </c>
      <c r="M41" s="1710">
        <f>SUM(M40)</f>
        <v>93634221</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16407047</v>
      </c>
      <c r="D4" s="1764">
        <f>'Revenues 9-14'!D109</f>
        <v>4190874</v>
      </c>
      <c r="E4" s="1764">
        <f>'Revenues 9-14'!E109</f>
        <v>2911837</v>
      </c>
      <c r="F4" s="1764">
        <f>'Revenues 9-14'!F109</f>
        <v>276649</v>
      </c>
      <c r="G4" s="1764">
        <f>'Revenues 9-14'!G109</f>
        <v>797163</v>
      </c>
      <c r="H4" s="1764">
        <f>'Revenues 9-14'!H109</f>
        <v>0</v>
      </c>
      <c r="I4" s="1764">
        <f>'Revenues 9-14'!I109</f>
        <v>416506</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3761964</v>
      </c>
      <c r="D6" s="1765">
        <f>'Revenues 9-14'!D173</f>
        <v>1000000</v>
      </c>
      <c r="E6" s="1765">
        <f>'Revenues 9-14'!E173</f>
        <v>0</v>
      </c>
      <c r="F6" s="1765">
        <f>'Revenues 9-14'!F173</f>
        <v>1431817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866260</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21035271</v>
      </c>
      <c r="D8" s="1710">
        <f t="shared" ref="D8:K8" si="0">SUM(D4:D7)</f>
        <v>5190874</v>
      </c>
      <c r="E8" s="1710">
        <f t="shared" si="0"/>
        <v>2911837</v>
      </c>
      <c r="F8" s="1710">
        <f t="shared" si="0"/>
        <v>1708466</v>
      </c>
      <c r="G8" s="1710">
        <f t="shared" si="0"/>
        <v>797163</v>
      </c>
      <c r="H8" s="1710">
        <f t="shared" si="0"/>
        <v>0</v>
      </c>
      <c r="I8" s="1710">
        <f t="shared" si="0"/>
        <v>416506</v>
      </c>
      <c r="J8" s="1710">
        <f t="shared" si="0"/>
        <v>0</v>
      </c>
      <c r="K8" s="1710">
        <f t="shared" si="0"/>
        <v>0</v>
      </c>
      <c r="L8" s="347"/>
    </row>
    <row r="9" spans="1:13" ht="15.75" thickTop="1" x14ac:dyDescent="0.2">
      <c r="A9" s="514" t="s">
        <v>1752</v>
      </c>
      <c r="B9" s="515">
        <v>3998</v>
      </c>
      <c r="C9" s="481">
        <v>8982055</v>
      </c>
      <c r="D9" s="516"/>
      <c r="E9" s="481"/>
      <c r="F9" s="481"/>
      <c r="G9" s="517"/>
      <c r="H9" s="481"/>
      <c r="I9" s="509" t="s">
        <v>1231</v>
      </c>
      <c r="J9" s="478"/>
      <c r="K9" s="481"/>
      <c r="L9" s="347"/>
    </row>
    <row r="10" spans="1:13" s="519" customFormat="1" ht="13.5" thickBot="1" x14ac:dyDescent="0.25">
      <c r="A10" s="1758" t="s">
        <v>1235</v>
      </c>
      <c r="B10" s="1731"/>
      <c r="C10" s="1710">
        <f>SUM(C8:C9)</f>
        <v>30017326</v>
      </c>
      <c r="D10" s="1710">
        <f t="shared" ref="D10:K10" si="1">SUM(D8:D9)</f>
        <v>5190874</v>
      </c>
      <c r="E10" s="1710">
        <f t="shared" si="1"/>
        <v>2911837</v>
      </c>
      <c r="F10" s="1710">
        <f t="shared" si="1"/>
        <v>1708466</v>
      </c>
      <c r="G10" s="1710">
        <f t="shared" si="1"/>
        <v>797163</v>
      </c>
      <c r="H10" s="1710">
        <f t="shared" si="1"/>
        <v>0</v>
      </c>
      <c r="I10" s="1710">
        <f t="shared" si="1"/>
        <v>416506</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11622070</v>
      </c>
      <c r="D12" s="520" t="s">
        <v>1231</v>
      </c>
      <c r="E12" s="468" t="s">
        <v>1231</v>
      </c>
      <c r="F12" s="468" t="s">
        <v>1231</v>
      </c>
      <c r="G12" s="1764">
        <f>'Expenditures 15-22'!K229</f>
        <v>208057</v>
      </c>
      <c r="H12" s="521"/>
      <c r="I12" s="468" t="s">
        <v>1231</v>
      </c>
      <c r="J12" s="468" t="s">
        <v>1231</v>
      </c>
      <c r="K12" s="521" t="s">
        <v>1231</v>
      </c>
      <c r="L12" s="347"/>
    </row>
    <row r="13" spans="1:13" ht="15.75" customHeight="1" x14ac:dyDescent="0.2">
      <c r="A13" s="1598" t="s">
        <v>477</v>
      </c>
      <c r="B13" s="1600">
        <v>2000</v>
      </c>
      <c r="C13" s="1765">
        <f>'Expenditures 15-22'!K74</f>
        <v>7478225</v>
      </c>
      <c r="D13" s="1765">
        <f>'Expenditures 15-22'!K129</f>
        <v>5154879</v>
      </c>
      <c r="E13" s="469" t="s">
        <v>1231</v>
      </c>
      <c r="F13" s="1765">
        <f>'Expenditures 15-22'!K184</f>
        <v>2038429</v>
      </c>
      <c r="G13" s="1765">
        <f>'Expenditures 15-22'!K279</f>
        <v>509354</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80595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2360088</v>
      </c>
      <c r="D15" s="1765">
        <f>'Expenditures 15-22'!K139</f>
        <v>86714</v>
      </c>
      <c r="E15" s="1765">
        <f>'Expenditures 15-22'!K160</f>
        <v>0</v>
      </c>
      <c r="F15" s="1765">
        <f>'Expenditures 15-22'!K196</f>
        <v>0</v>
      </c>
      <c r="G15" s="1765">
        <f>'Expenditures 15-22'!K285</f>
        <v>58059</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5869625</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21540978</v>
      </c>
      <c r="D17" s="1710">
        <f t="shared" si="2"/>
        <v>5241593</v>
      </c>
      <c r="E17" s="1710">
        <f t="shared" si="2"/>
        <v>5869625</v>
      </c>
      <c r="F17" s="1710">
        <f t="shared" si="2"/>
        <v>2038429</v>
      </c>
      <c r="G17" s="1710">
        <f t="shared" si="2"/>
        <v>775470</v>
      </c>
      <c r="H17" s="1710">
        <f t="shared" si="2"/>
        <v>0</v>
      </c>
      <c r="I17" s="468"/>
      <c r="J17" s="1710">
        <f>SUM(J12:J16)</f>
        <v>0</v>
      </c>
      <c r="K17" s="1710">
        <f>SUM(K12:K16)</f>
        <v>0</v>
      </c>
      <c r="L17" s="347"/>
    </row>
    <row r="18" spans="1:12" ht="15" customHeight="1" thickTop="1" x14ac:dyDescent="0.2">
      <c r="A18" s="1766" t="s">
        <v>1753</v>
      </c>
      <c r="B18" s="1767">
        <v>4180</v>
      </c>
      <c r="C18" s="1764">
        <f t="shared" ref="C18:H18" si="3">C9</f>
        <v>8982055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30523033</v>
      </c>
      <c r="D19" s="1710">
        <f t="shared" si="4"/>
        <v>5241593</v>
      </c>
      <c r="E19" s="1710">
        <f t="shared" si="4"/>
        <v>5869625</v>
      </c>
      <c r="F19" s="1710">
        <f t="shared" si="4"/>
        <v>2038429</v>
      </c>
      <c r="G19" s="1710">
        <f t="shared" si="4"/>
        <v>775470</v>
      </c>
      <c r="H19" s="1710">
        <f t="shared" si="4"/>
        <v>0</v>
      </c>
      <c r="I19" s="468"/>
      <c r="J19" s="1710">
        <f>SUM(J17:J18)</f>
        <v>0</v>
      </c>
      <c r="K19" s="1710">
        <f>SUM(K17:K18)</f>
        <v>0</v>
      </c>
      <c r="L19" s="347"/>
    </row>
    <row r="20" spans="1:12" ht="16.5" thickTop="1" thickBot="1" x14ac:dyDescent="0.25">
      <c r="A20" s="2144" t="s">
        <v>1754</v>
      </c>
      <c r="B20" s="2145"/>
      <c r="C20" s="1768">
        <f>C8-C17</f>
        <v>-505707</v>
      </c>
      <c r="D20" s="1768">
        <f t="shared" ref="D20:K20" si="5">D8-D17</f>
        <v>-50719</v>
      </c>
      <c r="E20" s="1768">
        <f t="shared" si="5"/>
        <v>-2957788</v>
      </c>
      <c r="F20" s="1768">
        <f t="shared" si="5"/>
        <v>-329963</v>
      </c>
      <c r="G20" s="1768">
        <f t="shared" si="5"/>
        <v>21693</v>
      </c>
      <c r="H20" s="1768">
        <f t="shared" si="5"/>
        <v>0</v>
      </c>
      <c r="I20" s="1768">
        <f t="shared" si="5"/>
        <v>416506</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1895</v>
      </c>
      <c r="B30" s="527">
        <v>7160</v>
      </c>
      <c r="C30" s="477"/>
      <c r="D30" s="467"/>
      <c r="E30" s="477"/>
      <c r="F30" s="477"/>
      <c r="G30" s="477"/>
      <c r="H30" s="477"/>
      <c r="I30" s="477"/>
      <c r="J30" s="477"/>
      <c r="K30" s="477"/>
      <c r="L30" s="524"/>
    </row>
    <row r="31" spans="1:12" s="485" customFormat="1" ht="26.25" x14ac:dyDescent="0.2">
      <c r="A31" s="1511" t="s">
        <v>1899</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1898</v>
      </c>
      <c r="B52" s="483">
        <v>8160</v>
      </c>
      <c r="C52" s="477"/>
      <c r="D52" s="477"/>
      <c r="E52" s="477"/>
      <c r="F52" s="477"/>
      <c r="G52" s="477"/>
      <c r="H52" s="477"/>
      <c r="I52" s="477"/>
      <c r="J52" s="477"/>
      <c r="K52" s="1765">
        <f>D30</f>
        <v>0</v>
      </c>
      <c r="L52" s="524"/>
    </row>
    <row r="53" spans="1:12" s="485" customFormat="1" ht="26.25" x14ac:dyDescent="0.2">
      <c r="A53" s="1512" t="s">
        <v>1897</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-505707</v>
      </c>
      <c r="D78" s="1724">
        <f t="shared" si="9"/>
        <v>-50719</v>
      </c>
      <c r="E78" s="1724">
        <f t="shared" si="9"/>
        <v>-2957788</v>
      </c>
      <c r="F78" s="1724">
        <f t="shared" si="9"/>
        <v>-329963</v>
      </c>
      <c r="G78" s="1724">
        <f t="shared" si="9"/>
        <v>21693</v>
      </c>
      <c r="H78" s="1724">
        <f t="shared" si="9"/>
        <v>0</v>
      </c>
      <c r="I78" s="1724">
        <f t="shared" si="9"/>
        <v>416506</v>
      </c>
      <c r="J78" s="1724">
        <f t="shared" si="9"/>
        <v>0</v>
      </c>
      <c r="K78" s="1724">
        <f t="shared" si="9"/>
        <v>0</v>
      </c>
      <c r="L78" s="533"/>
    </row>
    <row r="79" spans="1:12" ht="13.5" thickTop="1" x14ac:dyDescent="0.2">
      <c r="A79" s="1516" t="s">
        <v>2071</v>
      </c>
      <c r="B79" s="534"/>
      <c r="C79" s="478">
        <v>31338643</v>
      </c>
      <c r="D79" s="535">
        <v>2603770</v>
      </c>
      <c r="E79" s="535">
        <v>3218872</v>
      </c>
      <c r="F79" s="535">
        <v>2853094</v>
      </c>
      <c r="G79" s="535">
        <v>883000</v>
      </c>
      <c r="H79" s="535">
        <v>432</v>
      </c>
      <c r="I79" s="535">
        <v>2718903</v>
      </c>
      <c r="J79" s="535"/>
      <c r="K79" s="535"/>
      <c r="L79" s="347"/>
    </row>
    <row r="80" spans="1:12" x14ac:dyDescent="0.2">
      <c r="A80" s="2146" t="s">
        <v>1896</v>
      </c>
      <c r="B80" s="2147"/>
      <c r="C80" s="467"/>
      <c r="D80" s="467"/>
      <c r="E80" s="467"/>
      <c r="F80" s="467"/>
      <c r="G80" s="467"/>
      <c r="H80" s="467"/>
      <c r="I80" s="467"/>
      <c r="J80" s="467"/>
      <c r="K80" s="467"/>
      <c r="L80" s="347"/>
    </row>
    <row r="81" spans="1:12" ht="13.5" thickBot="1" x14ac:dyDescent="0.25">
      <c r="A81" s="2138" t="s">
        <v>2072</v>
      </c>
      <c r="B81" s="2139"/>
      <c r="C81" s="1710">
        <f>(SUM(C78:C80))</f>
        <v>30832936</v>
      </c>
      <c r="D81" s="1710">
        <f>SUM(D78:D80)</f>
        <v>2553051</v>
      </c>
      <c r="E81" s="1710">
        <f t="shared" ref="E81:K81" si="10">SUM(E78:E80)</f>
        <v>261084</v>
      </c>
      <c r="F81" s="1710">
        <f t="shared" si="10"/>
        <v>2523131</v>
      </c>
      <c r="G81" s="1710">
        <f t="shared" si="10"/>
        <v>904693</v>
      </c>
      <c r="H81" s="1710">
        <f t="shared" si="10"/>
        <v>432</v>
      </c>
      <c r="I81" s="1710">
        <f t="shared" si="10"/>
        <v>3135409</v>
      </c>
      <c r="J81" s="1710">
        <f t="shared" si="10"/>
        <v>0</v>
      </c>
      <c r="K81" s="1710">
        <f t="shared" si="10"/>
        <v>0</v>
      </c>
      <c r="L81" s="347"/>
    </row>
    <row r="82" spans="1:12" ht="0.75" customHeight="1" thickTop="1" thickBot="1" x14ac:dyDescent="0.25">
      <c r="A82" s="536" t="s">
        <v>361</v>
      </c>
      <c r="B82" s="537"/>
      <c r="C82" s="538">
        <f>(C81-C79)</f>
        <v>-505707</v>
      </c>
      <c r="D82" s="538">
        <f t="shared" ref="D82:K82" si="11">(D81-D79)</f>
        <v>-50719</v>
      </c>
      <c r="E82" s="538">
        <f t="shared" si="11"/>
        <v>-2957788</v>
      </c>
      <c r="F82" s="538">
        <f t="shared" si="11"/>
        <v>-329963</v>
      </c>
      <c r="G82" s="538">
        <f t="shared" si="11"/>
        <v>21693</v>
      </c>
      <c r="H82" s="538">
        <f t="shared" si="11"/>
        <v>0</v>
      </c>
      <c r="I82" s="538">
        <f t="shared" si="11"/>
        <v>416506</v>
      </c>
      <c r="J82" s="538">
        <f t="shared" si="11"/>
        <v>0</v>
      </c>
      <c r="K82" s="538">
        <f t="shared" si="11"/>
        <v>0</v>
      </c>
    </row>
    <row r="83" spans="1:12" ht="14.25" hidden="1" thickTop="1" thickBot="1" x14ac:dyDescent="0.25">
      <c r="A83" s="539" t="s">
        <v>362</v>
      </c>
      <c r="B83" s="464"/>
      <c r="C83" s="540">
        <f>C82/C81</f>
        <v>-1.6401519466067067E-2</v>
      </c>
      <c r="D83" s="540">
        <f t="shared" ref="D83:K83" si="12">D82/D81</f>
        <v>-1.9866034795231274E-2</v>
      </c>
      <c r="E83" s="540">
        <f t="shared" si="12"/>
        <v>-11.328874998084908</v>
      </c>
      <c r="F83" s="540">
        <f t="shared" si="12"/>
        <v>-0.13077521539706025</v>
      </c>
      <c r="G83" s="540">
        <f t="shared" si="12"/>
        <v>2.3978299821044265E-2</v>
      </c>
      <c r="H83" s="540">
        <f t="shared" si="12"/>
        <v>0</v>
      </c>
      <c r="I83" s="540">
        <f t="shared" si="12"/>
        <v>0.13283944774031076</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1903</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14995602</v>
      </c>
      <c r="D5" s="481">
        <v>4065775</v>
      </c>
      <c r="E5" s="466">
        <v>2897295</v>
      </c>
      <c r="F5" s="548">
        <v>259451</v>
      </c>
      <c r="G5" s="466">
        <v>347543</v>
      </c>
      <c r="H5" s="466"/>
      <c r="I5" s="466">
        <v>361941</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v>346457</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v>58061</v>
      </c>
      <c r="H11" s="466"/>
      <c r="I11" s="466"/>
      <c r="J11" s="467"/>
      <c r="K11" s="466"/>
      <c r="L11" s="552"/>
    </row>
    <row r="12" spans="1:12" ht="12.75" customHeight="1" thickBot="1" x14ac:dyDescent="0.25">
      <c r="A12" s="1727" t="s">
        <v>29</v>
      </c>
      <c r="B12" s="1728"/>
      <c r="C12" s="1729">
        <f t="shared" ref="C12:K12" si="0">SUM(C5:C11)</f>
        <v>14995602</v>
      </c>
      <c r="D12" s="1729">
        <f t="shared" si="0"/>
        <v>4065775</v>
      </c>
      <c r="E12" s="1729">
        <f t="shared" si="0"/>
        <v>2897295</v>
      </c>
      <c r="F12" s="1729">
        <f t="shared" si="0"/>
        <v>259451</v>
      </c>
      <c r="G12" s="1729">
        <f t="shared" si="0"/>
        <v>752061</v>
      </c>
      <c r="H12" s="1729">
        <f t="shared" si="0"/>
        <v>0</v>
      </c>
      <c r="I12" s="1729">
        <f t="shared" si="0"/>
        <v>361941</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220645</v>
      </c>
      <c r="D16" s="466"/>
      <c r="E16" s="466"/>
      <c r="F16" s="466"/>
      <c r="G16" s="466">
        <v>39550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220645</v>
      </c>
      <c r="D18" s="1732">
        <f t="shared" ref="D18:K18" si="1">SUM(D14:D17)</f>
        <v>0</v>
      </c>
      <c r="E18" s="1732">
        <f t="shared" si="1"/>
        <v>0</v>
      </c>
      <c r="F18" s="1732">
        <f t="shared" si="1"/>
        <v>0</v>
      </c>
      <c r="G18" s="1732">
        <f t="shared" si="1"/>
        <v>39550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v>65357</v>
      </c>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65357</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f>278093+10220</f>
        <v>288313</v>
      </c>
      <c r="D65" s="466">
        <v>23947</v>
      </c>
      <c r="E65" s="466">
        <v>14542</v>
      </c>
      <c r="F65" s="467">
        <v>17198</v>
      </c>
      <c r="G65" s="466">
        <v>5552</v>
      </c>
      <c r="H65" s="466"/>
      <c r="I65" s="466">
        <v>54565</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288313</v>
      </c>
      <c r="D67" s="1710">
        <f t="shared" ref="D67:K67" si="2">SUM(D65:D66)</f>
        <v>23947</v>
      </c>
      <c r="E67" s="1710">
        <f t="shared" si="2"/>
        <v>14542</v>
      </c>
      <c r="F67" s="1710">
        <f t="shared" si="2"/>
        <v>17198</v>
      </c>
      <c r="G67" s="1710">
        <f t="shared" si="2"/>
        <v>5552</v>
      </c>
      <c r="H67" s="1710">
        <f t="shared" si="2"/>
        <v>0</v>
      </c>
      <c r="I67" s="1710">
        <f t="shared" si="2"/>
        <v>54565</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v>476141</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476141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48365</v>
      </c>
      <c r="D77" s="466"/>
      <c r="E77" s="468"/>
      <c r="F77" s="468"/>
      <c r="G77" s="468"/>
      <c r="H77" s="468"/>
      <c r="I77" s="468"/>
      <c r="J77" s="468"/>
      <c r="K77" s="468"/>
    </row>
    <row r="78" spans="1:11" ht="12.75" customHeight="1" x14ac:dyDescent="0.2">
      <c r="A78" s="463" t="s">
        <v>78</v>
      </c>
      <c r="B78" s="470">
        <v>1719</v>
      </c>
      <c r="C78" s="551">
        <v>7172</v>
      </c>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303873</v>
      </c>
      <c r="D81" s="466"/>
      <c r="E81" s="468"/>
      <c r="F81" s="468"/>
      <c r="G81" s="468"/>
      <c r="H81" s="468"/>
      <c r="I81" s="468"/>
      <c r="J81" s="468"/>
      <c r="K81" s="468"/>
    </row>
    <row r="82" spans="1:11" ht="12.75" customHeight="1" thickBot="1" x14ac:dyDescent="0.25">
      <c r="A82" s="1730" t="s">
        <v>259</v>
      </c>
      <c r="B82" s="1731"/>
      <c r="C82" s="1729">
        <f>SUM(C77:C81)</f>
        <v>359410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2994</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v>78440</v>
      </c>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1579</v>
      </c>
      <c r="D107" s="466">
        <v>19718</v>
      </c>
      <c r="E107" s="466"/>
      <c r="F107" s="466"/>
      <c r="G107" s="466"/>
      <c r="H107" s="466"/>
      <c r="I107" s="466"/>
      <c r="J107" s="467"/>
      <c r="K107" s="466"/>
    </row>
    <row r="108" spans="1:12" ht="12.75" customHeight="1" thickBot="1" x14ac:dyDescent="0.25">
      <c r="A108" s="1730" t="s">
        <v>508</v>
      </c>
      <c r="B108" s="1734"/>
      <c r="C108" s="1729">
        <f>SUM(C95:C107)</f>
        <v>1579</v>
      </c>
      <c r="D108" s="1729">
        <f t="shared" ref="D108:K108" si="3">SUM(D95:D107)</f>
        <v>101152</v>
      </c>
      <c r="E108" s="1729">
        <f t="shared" si="3"/>
        <v>0</v>
      </c>
      <c r="F108" s="1729">
        <f t="shared" si="3"/>
        <v>0</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16407047</v>
      </c>
      <c r="D109" s="1737">
        <f t="shared" si="4"/>
        <v>4190874</v>
      </c>
      <c r="E109" s="1737">
        <f t="shared" si="4"/>
        <v>2911837</v>
      </c>
      <c r="F109" s="1737">
        <f t="shared" si="4"/>
        <v>276649</v>
      </c>
      <c r="G109" s="1737">
        <f t="shared" si="4"/>
        <v>797163</v>
      </c>
      <c r="H109" s="1737">
        <f t="shared" si="4"/>
        <v>0</v>
      </c>
      <c r="I109" s="1737">
        <f t="shared" si="4"/>
        <v>416506</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3158840</v>
      </c>
      <c r="D117" s="481">
        <v>1000000</v>
      </c>
      <c r="E117" s="466"/>
      <c r="F117" s="481"/>
      <c r="G117" s="481"/>
      <c r="H117" s="466"/>
      <c r="I117" s="468"/>
      <c r="J117" s="467"/>
      <c r="K117" s="466"/>
    </row>
    <row r="118" spans="1:11" ht="12.75" customHeight="1" x14ac:dyDescent="0.2">
      <c r="A118" s="463" t="s">
        <v>1900</v>
      </c>
      <c r="B118" s="562">
        <v>3002</v>
      </c>
      <c r="C118" s="551">
        <v>30984</v>
      </c>
      <c r="D118" s="466"/>
      <c r="E118" s="466"/>
      <c r="F118" s="466"/>
      <c r="G118" s="466"/>
      <c r="H118" s="466"/>
      <c r="I118" s="468"/>
      <c r="J118" s="467"/>
      <c r="K118" s="466"/>
    </row>
    <row r="119" spans="1:11" ht="12.75" customHeight="1" x14ac:dyDescent="0.2">
      <c r="A119" s="463" t="s">
        <v>1901</v>
      </c>
      <c r="B119" s="562">
        <v>3005</v>
      </c>
      <c r="C119" s="551"/>
      <c r="D119" s="466"/>
      <c r="E119" s="466"/>
      <c r="F119" s="466"/>
      <c r="G119" s="466"/>
      <c r="H119" s="466"/>
      <c r="I119" s="468"/>
      <c r="J119" s="467"/>
      <c r="K119" s="466"/>
    </row>
    <row r="120" spans="1:11" x14ac:dyDescent="0.2">
      <c r="A120" s="1518" t="s">
        <v>1902</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3189824</v>
      </c>
      <c r="D121" s="1729">
        <f t="shared" si="5"/>
        <v>1000000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235206</v>
      </c>
      <c r="D124" s="561"/>
      <c r="E124" s="468"/>
      <c r="F124" s="548"/>
      <c r="G124" s="468"/>
      <c r="H124" s="468"/>
      <c r="I124" s="468"/>
      <c r="J124" s="468"/>
      <c r="K124" s="468"/>
    </row>
    <row r="125" spans="1:11" ht="12.75" customHeight="1" x14ac:dyDescent="0.2">
      <c r="A125" s="463" t="s">
        <v>1521</v>
      </c>
      <c r="B125" s="562">
        <v>3105</v>
      </c>
      <c r="C125" s="466">
        <v>120281</v>
      </c>
      <c r="D125" s="561"/>
      <c r="E125" s="468"/>
      <c r="F125" s="466"/>
      <c r="G125" s="468"/>
      <c r="H125" s="468"/>
      <c r="I125" s="468"/>
      <c r="J125" s="468"/>
      <c r="K125" s="468"/>
    </row>
    <row r="126" spans="1:11" ht="12.75" customHeight="1" x14ac:dyDescent="0.2">
      <c r="A126" s="463" t="s">
        <v>922</v>
      </c>
      <c r="B126" s="562">
        <v>3110</v>
      </c>
      <c r="C126" s="551">
        <v>131216</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4797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491500</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21955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21955</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3108</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3108</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3224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49612</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693131</v>
      </c>
      <c r="G151" s="467"/>
      <c r="H151" s="468"/>
      <c r="I151" s="468"/>
      <c r="J151" s="468"/>
      <c r="K151" s="468"/>
    </row>
    <row r="152" spans="1:11" ht="12.75" customHeight="1" x14ac:dyDescent="0.2">
      <c r="A152" s="463" t="s">
        <v>1117</v>
      </c>
      <c r="B152" s="562">
        <v>3510</v>
      </c>
      <c r="C152" s="551"/>
      <c r="D152" s="466"/>
      <c r="E152" s="561"/>
      <c r="F152" s="466">
        <v>738686</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1431817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2741</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572140</v>
      </c>
      <c r="D172" s="1744">
        <f t="shared" si="6"/>
        <v>0</v>
      </c>
      <c r="E172" s="1744">
        <f t="shared" si="6"/>
        <v>0</v>
      </c>
      <c r="F172" s="1744">
        <f t="shared" si="6"/>
        <v>1431817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3761964</v>
      </c>
      <c r="D173" s="1737">
        <f>SUM(D121,D172)</f>
        <v>1000000</v>
      </c>
      <c r="E173" s="1737">
        <f>SUM(E121,E172)</f>
        <v>0</v>
      </c>
      <c r="F173" s="1737">
        <f t="shared" ref="F173:K173" si="7">SUM(F121,F172)</f>
        <v>1431817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1904</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246916</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29631</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276547</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174647</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174647</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9000</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9000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43336</v>
      </c>
      <c r="D220" s="466"/>
      <c r="E220" s="468"/>
      <c r="F220" s="466"/>
      <c r="G220" s="466"/>
      <c r="H220" s="468"/>
      <c r="I220" s="468"/>
      <c r="J220" s="468"/>
      <c r="K220" s="468"/>
    </row>
    <row r="221" spans="1:11" ht="12.75" customHeight="1" x14ac:dyDescent="0.2">
      <c r="A221" s="463" t="s">
        <v>1114</v>
      </c>
      <c r="B221" s="470">
        <v>4625</v>
      </c>
      <c r="C221" s="551">
        <v>170284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213620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21596</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21596</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39305</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14667</v>
      </c>
      <c r="D270" s="576"/>
      <c r="E270" s="468"/>
      <c r="F270" s="576"/>
      <c r="G270" s="576"/>
      <c r="H270" s="468"/>
      <c r="I270" s="468"/>
      <c r="J270" s="468"/>
      <c r="K270" s="468"/>
    </row>
    <row r="271" spans="1:11" ht="12.75" customHeight="1" thickTop="1" thickBot="1" x14ac:dyDescent="0.25">
      <c r="A271" s="463" t="s">
        <v>395</v>
      </c>
      <c r="B271" s="470">
        <v>4992</v>
      </c>
      <c r="C271" s="575">
        <v>116878</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866260</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866260</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21035271</v>
      </c>
      <c r="D275" s="1737">
        <f t="shared" si="12"/>
        <v>5190874</v>
      </c>
      <c r="E275" s="1737">
        <f t="shared" si="12"/>
        <v>2911837</v>
      </c>
      <c r="F275" s="1737">
        <f t="shared" si="12"/>
        <v>1708466</v>
      </c>
      <c r="G275" s="1737">
        <f t="shared" si="12"/>
        <v>797163</v>
      </c>
      <c r="H275" s="1737">
        <f t="shared" si="12"/>
        <v>0</v>
      </c>
      <c r="I275" s="1737">
        <f t="shared" si="12"/>
        <v>416506</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54" activePane="bottomLeft" state="frozen"/>
      <selection activeCell="A47" sqref="A47"/>
      <selection pane="bottomLeft" activeCell="H175" sqref="H17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1903</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6003716</v>
      </c>
      <c r="D5" s="466">
        <v>777476</v>
      </c>
      <c r="E5" s="466">
        <v>39676</v>
      </c>
      <c r="F5" s="466">
        <v>247874</v>
      </c>
      <c r="G5" s="466">
        <v>11267</v>
      </c>
      <c r="H5" s="466">
        <v>2602</v>
      </c>
      <c r="I5" s="467"/>
      <c r="J5" s="467"/>
      <c r="K5" s="1693">
        <f>SUM(C5:J5)</f>
        <v>7082611</v>
      </c>
      <c r="L5" s="466">
        <v>7485999</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f>1089654</f>
        <v>1089654</v>
      </c>
      <c r="D8" s="466">
        <f>181769+1791</f>
        <v>183560</v>
      </c>
      <c r="E8" s="466">
        <f>28474+955513</f>
        <v>983987</v>
      </c>
      <c r="F8" s="466">
        <f>10926</f>
        <v>10926</v>
      </c>
      <c r="G8" s="466"/>
      <c r="H8" s="466">
        <f>360</f>
        <v>360</v>
      </c>
      <c r="I8" s="467"/>
      <c r="J8" s="467"/>
      <c r="K8" s="1693">
        <f t="shared" si="0"/>
        <v>2268487</v>
      </c>
      <c r="L8" s="466">
        <v>2141216</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v>514969</v>
      </c>
      <c r="D13" s="466">
        <v>67889</v>
      </c>
      <c r="E13" s="466">
        <v>17447</v>
      </c>
      <c r="F13" s="466">
        <v>46452</v>
      </c>
      <c r="G13" s="466"/>
      <c r="H13" s="466"/>
      <c r="I13" s="467"/>
      <c r="J13" s="467"/>
      <c r="K13" s="1693">
        <f t="shared" si="0"/>
        <v>646757</v>
      </c>
      <c r="L13" s="466">
        <v>705879</v>
      </c>
    </row>
    <row r="14" spans="1:14" x14ac:dyDescent="0.2">
      <c r="A14" s="1526" t="s">
        <v>1020</v>
      </c>
      <c r="B14" s="615">
        <v>1500</v>
      </c>
      <c r="C14" s="466">
        <f>407346+80192+29896+1762+21852+14058+14822+14016+42552+40252+13804+42169+28242+44275+26770+32526+40511+29893+24540+34694+19454+13345+15714+43513</f>
        <v>1076198</v>
      </c>
      <c r="D14" s="466">
        <f>53226+5867+2512+1616+1586+1611+3173+2355+881+3944+3246+4416+3077+3739+3983+1762+1322+1719+1388+1534+1057</f>
        <v>104014</v>
      </c>
      <c r="E14" s="466">
        <f>76941+3050+3172</f>
        <v>83163</v>
      </c>
      <c r="F14" s="466">
        <f>25499+3744-143+1049+964+1127+934+1555-1000+970+1638+3964+1546+819+3872+1195+1319+4020+3518+34-991+9160+4</f>
        <v>64797</v>
      </c>
      <c r="G14" s="466">
        <f>16203</f>
        <v>16203</v>
      </c>
      <c r="H14" s="466">
        <f>18863+4536+3027+2341+840</f>
        <v>29607</v>
      </c>
      <c r="I14" s="467"/>
      <c r="J14" s="467"/>
      <c r="K14" s="1693">
        <f t="shared" si="0"/>
        <v>1373982</v>
      </c>
      <c r="L14" s="466">
        <v>1480185</v>
      </c>
    </row>
    <row r="15" spans="1:14" x14ac:dyDescent="0.2">
      <c r="A15" s="1526" t="s">
        <v>1021</v>
      </c>
      <c r="B15" s="615">
        <v>1600</v>
      </c>
      <c r="C15" s="466">
        <v>71177</v>
      </c>
      <c r="D15" s="466">
        <v>7896</v>
      </c>
      <c r="E15" s="466"/>
      <c r="F15" s="466"/>
      <c r="G15" s="466"/>
      <c r="H15" s="466"/>
      <c r="I15" s="467"/>
      <c r="J15" s="467"/>
      <c r="K15" s="1693">
        <f t="shared" si="0"/>
        <v>79073</v>
      </c>
      <c r="L15" s="466">
        <v>81958</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v>149311</v>
      </c>
      <c r="D17" s="467">
        <v>16953</v>
      </c>
      <c r="E17" s="467">
        <v>2406</v>
      </c>
      <c r="F17" s="467">
        <v>2490</v>
      </c>
      <c r="G17" s="467"/>
      <c r="H17" s="467"/>
      <c r="I17" s="467"/>
      <c r="J17" s="467"/>
      <c r="K17" s="1693">
        <f t="shared" si="0"/>
        <v>171160</v>
      </c>
      <c r="L17" s="466">
        <v>183832</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8905025</v>
      </c>
      <c r="D33" s="1692">
        <f t="shared" ref="D33:L33" si="1">SUM(D5:D32)</f>
        <v>1157788</v>
      </c>
      <c r="E33" s="1692">
        <f t="shared" si="1"/>
        <v>1126679</v>
      </c>
      <c r="F33" s="1692">
        <f t="shared" si="1"/>
        <v>372539</v>
      </c>
      <c r="G33" s="1692">
        <f t="shared" si="1"/>
        <v>27470</v>
      </c>
      <c r="H33" s="1692">
        <f t="shared" si="1"/>
        <v>32569</v>
      </c>
      <c r="I33" s="1692">
        <f t="shared" si="1"/>
        <v>0</v>
      </c>
      <c r="J33" s="1692">
        <f t="shared" si="1"/>
        <v>0</v>
      </c>
      <c r="K33" s="1692">
        <f t="shared" si="1"/>
        <v>11622070</v>
      </c>
      <c r="L33" s="1692">
        <f t="shared" si="1"/>
        <v>12079069</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254929</v>
      </c>
      <c r="D36" s="481">
        <v>8244</v>
      </c>
      <c r="E36" s="481"/>
      <c r="F36" s="481">
        <v>4340</v>
      </c>
      <c r="G36" s="481"/>
      <c r="H36" s="481">
        <v>81</v>
      </c>
      <c r="I36" s="467"/>
      <c r="J36" s="467"/>
      <c r="K36" s="1693">
        <f t="shared" ref="K36:K41" si="2">SUM(C36:J36)</f>
        <v>267594</v>
      </c>
      <c r="L36" s="466">
        <v>282869</v>
      </c>
    </row>
    <row r="37" spans="1:14" x14ac:dyDescent="0.2">
      <c r="A37" s="1526" t="s">
        <v>1151</v>
      </c>
      <c r="B37" s="615">
        <v>2120</v>
      </c>
      <c r="C37" s="466">
        <v>826255</v>
      </c>
      <c r="D37" s="466">
        <v>84259</v>
      </c>
      <c r="E37" s="466">
        <v>1595</v>
      </c>
      <c r="F37" s="466">
        <v>12234</v>
      </c>
      <c r="G37" s="466"/>
      <c r="H37" s="466">
        <v>168</v>
      </c>
      <c r="I37" s="467"/>
      <c r="J37" s="467"/>
      <c r="K37" s="1693">
        <f t="shared" si="2"/>
        <v>924511</v>
      </c>
      <c r="L37" s="466">
        <v>987570</v>
      </c>
    </row>
    <row r="38" spans="1:14" x14ac:dyDescent="0.2">
      <c r="A38" s="1526" t="s">
        <v>207</v>
      </c>
      <c r="B38" s="615">
        <v>2130</v>
      </c>
      <c r="C38" s="466">
        <v>73141</v>
      </c>
      <c r="D38" s="466">
        <v>25884</v>
      </c>
      <c r="E38" s="466">
        <f>8074+2</f>
        <v>8076</v>
      </c>
      <c r="F38" s="466">
        <v>2422</v>
      </c>
      <c r="G38" s="466"/>
      <c r="H38" s="466"/>
      <c r="I38" s="467"/>
      <c r="J38" s="467"/>
      <c r="K38" s="1693">
        <f t="shared" si="2"/>
        <v>109523</v>
      </c>
      <c r="L38" s="466">
        <v>112500</v>
      </c>
    </row>
    <row r="39" spans="1:14" x14ac:dyDescent="0.2">
      <c r="A39" s="1526" t="s">
        <v>208</v>
      </c>
      <c r="B39" s="615">
        <v>2140</v>
      </c>
      <c r="C39" s="466">
        <v>182536</v>
      </c>
      <c r="D39" s="466">
        <v>27491</v>
      </c>
      <c r="E39" s="466"/>
      <c r="F39" s="466"/>
      <c r="G39" s="466"/>
      <c r="H39" s="466"/>
      <c r="I39" s="467"/>
      <c r="J39" s="467"/>
      <c r="K39" s="1693">
        <f t="shared" si="2"/>
        <v>210027</v>
      </c>
      <c r="L39" s="466">
        <v>159036</v>
      </c>
    </row>
    <row r="40" spans="1:14" x14ac:dyDescent="0.2">
      <c r="A40" s="1526" t="s">
        <v>209</v>
      </c>
      <c r="B40" s="615">
        <v>2150</v>
      </c>
      <c r="C40" s="466">
        <v>16103</v>
      </c>
      <c r="D40" s="466">
        <v>1851</v>
      </c>
      <c r="E40" s="466"/>
      <c r="F40" s="466"/>
      <c r="G40" s="466"/>
      <c r="H40" s="466"/>
      <c r="I40" s="467"/>
      <c r="J40" s="467"/>
      <c r="K40" s="1693">
        <f t="shared" si="2"/>
        <v>17954</v>
      </c>
      <c r="L40" s="466">
        <v>22900</v>
      </c>
    </row>
    <row r="41" spans="1:14" x14ac:dyDescent="0.2">
      <c r="A41" s="1526" t="s">
        <v>1768</v>
      </c>
      <c r="B41" s="615">
        <v>2190</v>
      </c>
      <c r="C41" s="466"/>
      <c r="D41" s="466"/>
      <c r="E41" s="466">
        <v>20459</v>
      </c>
      <c r="F41" s="466">
        <v>14500</v>
      </c>
      <c r="G41" s="466"/>
      <c r="H41" s="466">
        <v>8945</v>
      </c>
      <c r="I41" s="467"/>
      <c r="J41" s="467"/>
      <c r="K41" s="1693">
        <f t="shared" si="2"/>
        <v>43904</v>
      </c>
      <c r="L41" s="466">
        <v>35000</v>
      </c>
    </row>
    <row r="42" spans="1:14" ht="12.75" customHeight="1" thickBot="1" x14ac:dyDescent="0.25">
      <c r="A42" s="1690" t="s">
        <v>581</v>
      </c>
      <c r="B42" s="1691" t="s">
        <v>740</v>
      </c>
      <c r="C42" s="1692">
        <f>SUM(C36:C41)</f>
        <v>1352964</v>
      </c>
      <c r="D42" s="1692">
        <f t="shared" ref="D42:L42" si="3">SUM(D36:D41)</f>
        <v>147729</v>
      </c>
      <c r="E42" s="1692">
        <f t="shared" si="3"/>
        <v>30130</v>
      </c>
      <c r="F42" s="1692">
        <f t="shared" si="3"/>
        <v>33496</v>
      </c>
      <c r="G42" s="1692">
        <f t="shared" si="3"/>
        <v>0</v>
      </c>
      <c r="H42" s="1692">
        <f t="shared" si="3"/>
        <v>9194</v>
      </c>
      <c r="I42" s="1692">
        <f t="shared" si="3"/>
        <v>0</v>
      </c>
      <c r="J42" s="1692">
        <f t="shared" si="3"/>
        <v>0</v>
      </c>
      <c r="K42" s="1692">
        <f t="shared" si="3"/>
        <v>1573513</v>
      </c>
      <c r="L42" s="1692">
        <f t="shared" si="3"/>
        <v>1599875</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840268</v>
      </c>
      <c r="D44" s="481">
        <v>242047</v>
      </c>
      <c r="E44" s="481">
        <v>100958</v>
      </c>
      <c r="F44" s="481">
        <v>170312</v>
      </c>
      <c r="G44" s="481"/>
      <c r="H44" s="481">
        <v>2578</v>
      </c>
      <c r="I44" s="467"/>
      <c r="J44" s="467"/>
      <c r="K44" s="1694">
        <f>SUM(C44:J44)</f>
        <v>1356163</v>
      </c>
      <c r="L44" s="481">
        <v>1397193</v>
      </c>
    </row>
    <row r="45" spans="1:14" x14ac:dyDescent="0.2">
      <c r="A45" s="1526" t="s">
        <v>869</v>
      </c>
      <c r="B45" s="615">
        <v>2220</v>
      </c>
      <c r="C45" s="466">
        <f>93071+59553</f>
        <v>152624</v>
      </c>
      <c r="D45" s="466">
        <f>17902+6893</f>
        <v>24795</v>
      </c>
      <c r="E45" s="466"/>
      <c r="F45" s="466">
        <f>51313</f>
        <v>51313</v>
      </c>
      <c r="G45" s="466"/>
      <c r="H45" s="466"/>
      <c r="I45" s="467"/>
      <c r="J45" s="467"/>
      <c r="K45" s="1694">
        <f>SUM(C45:J45)</f>
        <v>228732</v>
      </c>
      <c r="L45" s="466">
        <v>245453</v>
      </c>
    </row>
    <row r="46" spans="1:14" x14ac:dyDescent="0.2">
      <c r="A46" s="1526" t="s">
        <v>870</v>
      </c>
      <c r="B46" s="615">
        <v>2230</v>
      </c>
      <c r="C46" s="466"/>
      <c r="D46" s="466"/>
      <c r="E46" s="466">
        <f>8812</f>
        <v>8812</v>
      </c>
      <c r="F46" s="466"/>
      <c r="G46" s="466"/>
      <c r="H46" s="466"/>
      <c r="I46" s="467"/>
      <c r="J46" s="467"/>
      <c r="K46" s="1694">
        <f>SUM(C46:J46)</f>
        <v>8812</v>
      </c>
      <c r="L46" s="466">
        <v>8812</v>
      </c>
    </row>
    <row r="47" spans="1:14" ht="12.75" customHeight="1" thickBot="1" x14ac:dyDescent="0.25">
      <c r="A47" s="1690" t="s">
        <v>582</v>
      </c>
      <c r="B47" s="1691" t="s">
        <v>32</v>
      </c>
      <c r="C47" s="1692">
        <f>SUM(C44:C46)</f>
        <v>992892</v>
      </c>
      <c r="D47" s="1692">
        <f t="shared" ref="D47:K47" si="4">SUM(D44:D46)</f>
        <v>266842</v>
      </c>
      <c r="E47" s="1692">
        <f t="shared" si="4"/>
        <v>109770</v>
      </c>
      <c r="F47" s="1692">
        <f t="shared" si="4"/>
        <v>221625</v>
      </c>
      <c r="G47" s="1692">
        <f t="shared" si="4"/>
        <v>0</v>
      </c>
      <c r="H47" s="1692">
        <f t="shared" si="4"/>
        <v>2578</v>
      </c>
      <c r="I47" s="1692">
        <f t="shared" si="4"/>
        <v>0</v>
      </c>
      <c r="J47" s="1692">
        <f t="shared" si="4"/>
        <v>0</v>
      </c>
      <c r="K47" s="1692">
        <f t="shared" si="4"/>
        <v>1593707</v>
      </c>
      <c r="L47" s="1692">
        <f>SUM(L44:L46)</f>
        <v>1651458</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9399</v>
      </c>
      <c r="D49" s="481">
        <v>1202</v>
      </c>
      <c r="E49" s="481">
        <f>706229+12350</f>
        <v>718579</v>
      </c>
      <c r="F49" s="481">
        <v>9072</v>
      </c>
      <c r="G49" s="481"/>
      <c r="H49" s="481">
        <v>18006</v>
      </c>
      <c r="I49" s="467"/>
      <c r="J49" s="467"/>
      <c r="K49" s="1694">
        <f>SUM(C49:J49)</f>
        <v>756258</v>
      </c>
      <c r="L49" s="481">
        <v>936841</v>
      </c>
    </row>
    <row r="50" spans="1:14" x14ac:dyDescent="0.2">
      <c r="A50" s="1526" t="s">
        <v>872</v>
      </c>
      <c r="B50" s="615">
        <v>2320</v>
      </c>
      <c r="C50" s="466">
        <v>277644</v>
      </c>
      <c r="D50" s="466">
        <v>36872</v>
      </c>
      <c r="E50" s="466">
        <v>640</v>
      </c>
      <c r="F50" s="466">
        <v>1236</v>
      </c>
      <c r="G50" s="466"/>
      <c r="H50" s="466">
        <v>5406</v>
      </c>
      <c r="I50" s="467"/>
      <c r="J50" s="467"/>
      <c r="K50" s="1694">
        <f>SUM(C50:J50)</f>
        <v>321798</v>
      </c>
      <c r="L50" s="466">
        <v>338221</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c r="E52" s="474"/>
      <c r="F52" s="474"/>
      <c r="G52" s="474"/>
      <c r="H52" s="474"/>
      <c r="I52" s="474"/>
      <c r="J52" s="474"/>
      <c r="K52" s="1694">
        <f>SUM(C52:J52)</f>
        <v>0</v>
      </c>
      <c r="L52" s="474">
        <v>0</v>
      </c>
    </row>
    <row r="53" spans="1:14" ht="12.75" customHeight="1" thickBot="1" x14ac:dyDescent="0.25">
      <c r="A53" s="1690" t="s">
        <v>741</v>
      </c>
      <c r="B53" s="1691" t="s">
        <v>33</v>
      </c>
      <c r="C53" s="1692">
        <f>SUM(C49:C52)</f>
        <v>287043</v>
      </c>
      <c r="D53" s="1692">
        <f t="shared" ref="D53:L53" si="5">SUM(D49:D52)</f>
        <v>38074</v>
      </c>
      <c r="E53" s="1692">
        <f t="shared" si="5"/>
        <v>719219</v>
      </c>
      <c r="F53" s="1692">
        <f t="shared" si="5"/>
        <v>10308</v>
      </c>
      <c r="G53" s="1692">
        <f t="shared" si="5"/>
        <v>0</v>
      </c>
      <c r="H53" s="1692">
        <f t="shared" si="5"/>
        <v>23412</v>
      </c>
      <c r="I53" s="1692">
        <f t="shared" si="5"/>
        <v>0</v>
      </c>
      <c r="J53" s="1692">
        <f t="shared" si="5"/>
        <v>0</v>
      </c>
      <c r="K53" s="1692">
        <f t="shared" si="5"/>
        <v>1078056</v>
      </c>
      <c r="L53" s="1692">
        <f t="shared" si="5"/>
        <v>1275062</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407495</v>
      </c>
      <c r="D55" s="481">
        <v>126340</v>
      </c>
      <c r="E55" s="481">
        <v>129</v>
      </c>
      <c r="F55" s="481">
        <v>17683</v>
      </c>
      <c r="G55" s="481"/>
      <c r="H55" s="481">
        <v>13512</v>
      </c>
      <c r="I55" s="467"/>
      <c r="J55" s="467"/>
      <c r="K55" s="1694">
        <f>SUM(C55:J55)</f>
        <v>565159</v>
      </c>
      <c r="L55" s="481">
        <v>643733</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407495</v>
      </c>
      <c r="D57" s="1696">
        <f t="shared" ref="D57:K57" si="6">SUM(D55:D56)</f>
        <v>126340</v>
      </c>
      <c r="E57" s="1696">
        <f t="shared" si="6"/>
        <v>129</v>
      </c>
      <c r="F57" s="1696">
        <f t="shared" si="6"/>
        <v>17683</v>
      </c>
      <c r="G57" s="1696">
        <f t="shared" si="6"/>
        <v>0</v>
      </c>
      <c r="H57" s="1696">
        <f t="shared" si="6"/>
        <v>13512</v>
      </c>
      <c r="I57" s="1696">
        <f t="shared" si="6"/>
        <v>0</v>
      </c>
      <c r="J57" s="1696">
        <f t="shared" si="6"/>
        <v>0</v>
      </c>
      <c r="K57" s="1696">
        <f t="shared" si="6"/>
        <v>565159</v>
      </c>
      <c r="L57" s="1692">
        <f>SUM(L55:L56)</f>
        <v>643733</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116193</v>
      </c>
      <c r="D59" s="481">
        <v>74617</v>
      </c>
      <c r="E59" s="481">
        <v>63601</v>
      </c>
      <c r="F59" s="481">
        <v>3948</v>
      </c>
      <c r="G59" s="481"/>
      <c r="H59" s="481">
        <v>1630</v>
      </c>
      <c r="I59" s="467"/>
      <c r="J59" s="467"/>
      <c r="K59" s="1694">
        <f t="shared" ref="K59:K64" si="7">SUM(C59:J59)</f>
        <v>259989</v>
      </c>
      <c r="L59" s="481">
        <v>271005</v>
      </c>
      <c r="M59" s="610"/>
      <c r="N59" s="610"/>
    </row>
    <row r="60" spans="1:14" s="343" customFormat="1" x14ac:dyDescent="0.2">
      <c r="A60" s="1526" t="s">
        <v>483</v>
      </c>
      <c r="B60" s="615">
        <v>2520</v>
      </c>
      <c r="C60" s="466">
        <v>140060</v>
      </c>
      <c r="D60" s="466"/>
      <c r="E60" s="466"/>
      <c r="F60" s="466"/>
      <c r="G60" s="466"/>
      <c r="H60" s="466"/>
      <c r="I60" s="467"/>
      <c r="J60" s="467"/>
      <c r="K60" s="1694">
        <f t="shared" si="7"/>
        <v>140060</v>
      </c>
      <c r="L60" s="466">
        <v>151616</v>
      </c>
      <c r="M60" s="610"/>
      <c r="N60" s="610"/>
    </row>
    <row r="61" spans="1:14" s="343" customFormat="1" x14ac:dyDescent="0.2">
      <c r="A61" s="1526" t="s">
        <v>206</v>
      </c>
      <c r="B61" s="615">
        <v>2540</v>
      </c>
      <c r="C61" s="466">
        <v>26973</v>
      </c>
      <c r="D61" s="466"/>
      <c r="E61" s="466"/>
      <c r="F61" s="466"/>
      <c r="G61" s="466"/>
      <c r="H61" s="466"/>
      <c r="I61" s="467"/>
      <c r="J61" s="467"/>
      <c r="K61" s="1694">
        <f t="shared" si="7"/>
        <v>26973</v>
      </c>
      <c r="L61" s="466">
        <v>28000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302089</v>
      </c>
      <c r="D63" s="466">
        <v>73445</v>
      </c>
      <c r="E63" s="466">
        <v>2223</v>
      </c>
      <c r="F63" s="466">
        <v>376502</v>
      </c>
      <c r="G63" s="466"/>
      <c r="H63" s="466">
        <v>1863</v>
      </c>
      <c r="I63" s="467"/>
      <c r="J63" s="467"/>
      <c r="K63" s="1694">
        <f t="shared" si="7"/>
        <v>756122</v>
      </c>
      <c r="L63" s="466">
        <v>812269</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585315</v>
      </c>
      <c r="D65" s="1692">
        <f t="shared" ref="D65:L65" si="8">SUM(D59:D64)</f>
        <v>148062</v>
      </c>
      <c r="E65" s="1692">
        <f t="shared" si="8"/>
        <v>65824</v>
      </c>
      <c r="F65" s="1692">
        <f t="shared" si="8"/>
        <v>380450</v>
      </c>
      <c r="G65" s="1692">
        <f t="shared" si="8"/>
        <v>0</v>
      </c>
      <c r="H65" s="1692">
        <f t="shared" si="8"/>
        <v>3493</v>
      </c>
      <c r="I65" s="1692">
        <f t="shared" si="8"/>
        <v>0</v>
      </c>
      <c r="J65" s="1692">
        <f t="shared" si="8"/>
        <v>0</v>
      </c>
      <c r="K65" s="1692">
        <f t="shared" si="8"/>
        <v>1183144</v>
      </c>
      <c r="L65" s="1692">
        <f t="shared" si="8"/>
        <v>1262890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v>342262</v>
      </c>
      <c r="D69" s="466">
        <v>70800</v>
      </c>
      <c r="E69" s="466">
        <v>69457</v>
      </c>
      <c r="F69" s="466">
        <v>534480</v>
      </c>
      <c r="G69" s="466">
        <v>429251</v>
      </c>
      <c r="H69" s="466"/>
      <c r="I69" s="467"/>
      <c r="J69" s="467"/>
      <c r="K69" s="1694">
        <f>SUM(C69:J69)</f>
        <v>1446250</v>
      </c>
      <c r="L69" s="466">
        <v>1197048</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v>38189</v>
      </c>
      <c r="F71" s="466">
        <v>207</v>
      </c>
      <c r="G71" s="466"/>
      <c r="H71" s="466"/>
      <c r="I71" s="467"/>
      <c r="J71" s="467"/>
      <c r="K71" s="1694">
        <f>SUM(C71:J71)</f>
        <v>38396</v>
      </c>
      <c r="L71" s="466">
        <v>42900</v>
      </c>
      <c r="M71" s="610"/>
      <c r="N71" s="610"/>
    </row>
    <row r="72" spans="1:14" s="343" customFormat="1" ht="12.75" customHeight="1" thickBot="1" x14ac:dyDescent="0.25">
      <c r="A72" s="1690" t="s">
        <v>37</v>
      </c>
      <c r="B72" s="1697" t="s">
        <v>36</v>
      </c>
      <c r="C72" s="1692">
        <f>SUM(C67:C71)</f>
        <v>342262</v>
      </c>
      <c r="D72" s="1692">
        <f t="shared" ref="D72:K72" si="9">SUM(D67:D71)</f>
        <v>70800</v>
      </c>
      <c r="E72" s="1692">
        <f t="shared" si="9"/>
        <v>107646</v>
      </c>
      <c r="F72" s="1692">
        <f t="shared" si="9"/>
        <v>534687</v>
      </c>
      <c r="G72" s="1692">
        <f t="shared" si="9"/>
        <v>429251</v>
      </c>
      <c r="H72" s="1692">
        <f t="shared" si="9"/>
        <v>0</v>
      </c>
      <c r="I72" s="1692">
        <f t="shared" si="9"/>
        <v>0</v>
      </c>
      <c r="J72" s="1692">
        <f t="shared" si="9"/>
        <v>0</v>
      </c>
      <c r="K72" s="1692">
        <f t="shared" si="9"/>
        <v>1484646</v>
      </c>
      <c r="L72" s="1692">
        <f>SUM(L67:L71)</f>
        <v>1239948</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3967971</v>
      </c>
      <c r="D74" s="1699">
        <f t="shared" ref="D74:K74" si="10">SUM(D42,D47,D53,D57,D65,D72,D73)</f>
        <v>797847</v>
      </c>
      <c r="E74" s="1699">
        <f t="shared" si="10"/>
        <v>1032718</v>
      </c>
      <c r="F74" s="1699">
        <f t="shared" si="10"/>
        <v>1198249</v>
      </c>
      <c r="G74" s="1699">
        <f t="shared" si="10"/>
        <v>429251</v>
      </c>
      <c r="H74" s="1699">
        <f t="shared" si="10"/>
        <v>52189</v>
      </c>
      <c r="I74" s="1699">
        <f t="shared" si="10"/>
        <v>0</v>
      </c>
      <c r="J74" s="1699">
        <f t="shared" si="10"/>
        <v>0</v>
      </c>
      <c r="K74" s="1699">
        <f t="shared" si="10"/>
        <v>7478225</v>
      </c>
      <c r="L74" s="1699">
        <f>SUM(L42,L47,L53,L57,L65,L72,L73)</f>
        <v>7672966</v>
      </c>
    </row>
    <row r="75" spans="1:14" s="259" customFormat="1" ht="15.75" customHeight="1" thickTop="1" thickBot="1" x14ac:dyDescent="0.25">
      <c r="A75" s="1632" t="s">
        <v>49</v>
      </c>
      <c r="B75" s="1633" t="s">
        <v>596</v>
      </c>
      <c r="C75" s="573"/>
      <c r="D75" s="573"/>
      <c r="E75" s="573">
        <v>80595</v>
      </c>
      <c r="F75" s="573"/>
      <c r="G75" s="573"/>
      <c r="H75" s="573"/>
      <c r="I75" s="531"/>
      <c r="J75" s="531"/>
      <c r="K75" s="1692">
        <f>SUM(C75:J75)</f>
        <v>80595</v>
      </c>
      <c r="L75" s="576">
        <v>81000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46167</v>
      </c>
      <c r="F78" s="617"/>
      <c r="G78" s="617"/>
      <c r="H78" s="635">
        <v>18288</v>
      </c>
      <c r="I78" s="477"/>
      <c r="J78" s="477"/>
      <c r="K78" s="1693">
        <f t="shared" ref="K78:K83" si="11">SUM(C78:J78)</f>
        <v>64455</v>
      </c>
      <c r="L78" s="481">
        <v>71200</v>
      </c>
    </row>
    <row r="79" spans="1:14" x14ac:dyDescent="0.2">
      <c r="A79" s="1526" t="s">
        <v>322</v>
      </c>
      <c r="B79" s="615">
        <v>4120</v>
      </c>
      <c r="C79" s="617"/>
      <c r="D79" s="617"/>
      <c r="E79" s="466"/>
      <c r="F79" s="617"/>
      <c r="G79" s="617"/>
      <c r="H79" s="466">
        <v>1927963</v>
      </c>
      <c r="I79" s="477"/>
      <c r="J79" s="477"/>
      <c r="K79" s="1693">
        <f t="shared" si="11"/>
        <v>1927963</v>
      </c>
      <c r="L79" s="466">
        <v>2000000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v>367670</v>
      </c>
      <c r="I81" s="477"/>
      <c r="J81" s="477"/>
      <c r="K81" s="1693">
        <f t="shared" si="11"/>
        <v>367670</v>
      </c>
      <c r="L81" s="466">
        <v>369000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c r="I83" s="477"/>
      <c r="J83" s="477"/>
      <c r="K83" s="1693">
        <f t="shared" si="11"/>
        <v>0</v>
      </c>
      <c r="L83" s="466">
        <v>0</v>
      </c>
    </row>
    <row r="84" spans="1:12" ht="13.5" thickBot="1" x14ac:dyDescent="0.25">
      <c r="A84" s="1690" t="s">
        <v>1565</v>
      </c>
      <c r="B84" s="1700">
        <v>4100</v>
      </c>
      <c r="C84" s="617"/>
      <c r="D84" s="617"/>
      <c r="E84" s="1692">
        <f>SUM(E78:E83)</f>
        <v>46167</v>
      </c>
      <c r="F84" s="617"/>
      <c r="G84" s="617"/>
      <c r="H84" s="1692">
        <f>SUM(H78:H83)</f>
        <v>2313921</v>
      </c>
      <c r="I84" s="477"/>
      <c r="J84" s="477"/>
      <c r="K84" s="1692">
        <f>SUM(K78:K83)</f>
        <v>2360088</v>
      </c>
      <c r="L84" s="1692">
        <f>SUM(L78:L83)</f>
        <v>2440200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46167</v>
      </c>
      <c r="F102" s="617"/>
      <c r="G102" s="617"/>
      <c r="H102" s="1699">
        <f>SUM(H84,H92,H100,H101)</f>
        <v>2313921</v>
      </c>
      <c r="I102" s="477"/>
      <c r="J102" s="477"/>
      <c r="K102" s="1699">
        <f>SUM(K84,K92,K100,K101)</f>
        <v>2360088</v>
      </c>
      <c r="L102" s="1699">
        <f>SUM(L84,L92,L100,L101)</f>
        <v>2440200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12872996</v>
      </c>
      <c r="D114" s="1692">
        <f t="shared" ref="D114:K114" si="13">SUM(D33,D74,D75,D102,D112,D113)</f>
        <v>1955635</v>
      </c>
      <c r="E114" s="1692">
        <f t="shared" si="13"/>
        <v>2286159</v>
      </c>
      <c r="F114" s="1692">
        <f t="shared" si="13"/>
        <v>1570788</v>
      </c>
      <c r="G114" s="1692">
        <f t="shared" si="13"/>
        <v>456721</v>
      </c>
      <c r="H114" s="1692">
        <f>SUM(H33,H74,H75,H102,H112,H113)</f>
        <v>2398679</v>
      </c>
      <c r="I114" s="1692">
        <f t="shared" si="13"/>
        <v>0</v>
      </c>
      <c r="J114" s="1692">
        <f t="shared" si="13"/>
        <v>0</v>
      </c>
      <c r="K114" s="1692">
        <f t="shared" si="13"/>
        <v>21540978</v>
      </c>
      <c r="L114" s="1692">
        <f>SUM(L33,L74,L75,L102,L112,L113)</f>
        <v>22273235</v>
      </c>
    </row>
    <row r="115" spans="1:14" ht="13.5" thickTop="1" x14ac:dyDescent="0.2">
      <c r="A115" s="2174" t="s">
        <v>1053</v>
      </c>
      <c r="B115" s="2175"/>
      <c r="C115" s="619"/>
      <c r="D115" s="619"/>
      <c r="E115" s="619"/>
      <c r="F115" s="619"/>
      <c r="G115" s="619"/>
      <c r="H115" s="619"/>
      <c r="I115" s="619"/>
      <c r="J115" s="619"/>
      <c r="K115" s="1706">
        <f>'Revenues 9-14'!C275-'Expenditures 15-22'!K114</f>
        <v>-505707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v>985005</v>
      </c>
      <c r="D124" s="466">
        <v>223372</v>
      </c>
      <c r="E124" s="466">
        <f>582660+168802+1</f>
        <v>751463</v>
      </c>
      <c r="F124" s="466">
        <v>806208</v>
      </c>
      <c r="G124" s="466">
        <v>2388625</v>
      </c>
      <c r="H124" s="466">
        <v>206</v>
      </c>
      <c r="I124" s="467"/>
      <c r="J124" s="467"/>
      <c r="K124" s="1692">
        <f>SUM(C124:J124)</f>
        <v>5154879</v>
      </c>
      <c r="L124" s="466">
        <v>5217767</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985005</v>
      </c>
      <c r="D127" s="1692">
        <f t="shared" ref="D127:L127" si="14">SUM(D122:D126)</f>
        <v>223372</v>
      </c>
      <c r="E127" s="1692">
        <f t="shared" si="14"/>
        <v>751463</v>
      </c>
      <c r="F127" s="1692">
        <f t="shared" si="14"/>
        <v>806208</v>
      </c>
      <c r="G127" s="1692">
        <f t="shared" si="14"/>
        <v>2388625</v>
      </c>
      <c r="H127" s="1692">
        <f t="shared" si="14"/>
        <v>206</v>
      </c>
      <c r="I127" s="1692">
        <f t="shared" si="14"/>
        <v>0</v>
      </c>
      <c r="J127" s="1692">
        <f t="shared" si="14"/>
        <v>0</v>
      </c>
      <c r="K127" s="1692">
        <f t="shared" si="14"/>
        <v>5154879</v>
      </c>
      <c r="L127" s="1692">
        <f t="shared" si="14"/>
        <v>5217767</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985005</v>
      </c>
      <c r="D129" s="1699">
        <f t="shared" ref="D129:L129" si="15">SUM(D120,D127,D128)</f>
        <v>223372</v>
      </c>
      <c r="E129" s="1699">
        <f t="shared" si="15"/>
        <v>751463</v>
      </c>
      <c r="F129" s="1699">
        <f t="shared" si="15"/>
        <v>806208</v>
      </c>
      <c r="G129" s="1699">
        <f t="shared" si="15"/>
        <v>2388625</v>
      </c>
      <c r="H129" s="1699">
        <f t="shared" si="15"/>
        <v>206</v>
      </c>
      <c r="I129" s="1699">
        <f t="shared" si="15"/>
        <v>0</v>
      </c>
      <c r="J129" s="1699">
        <f t="shared" si="15"/>
        <v>0</v>
      </c>
      <c r="K129" s="1699">
        <f t="shared" si="15"/>
        <v>5154879</v>
      </c>
      <c r="L129" s="1699">
        <f t="shared" si="15"/>
        <v>5217767</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1955</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v>86714</v>
      </c>
      <c r="F134" s="617"/>
      <c r="G134" s="617"/>
      <c r="H134" s="481"/>
      <c r="I134" s="477"/>
      <c r="J134" s="617"/>
      <c r="K134" s="1694">
        <f>SUM(E134,H134)</f>
        <v>86714</v>
      </c>
      <c r="L134" s="481">
        <v>115000</v>
      </c>
    </row>
    <row r="135" spans="1:14" x14ac:dyDescent="0.2">
      <c r="A135" s="1526" t="s">
        <v>721</v>
      </c>
      <c r="B135" s="615">
        <v>4140</v>
      </c>
      <c r="C135" s="617"/>
      <c r="D135" s="617"/>
      <c r="E135" s="467"/>
      <c r="F135" s="617"/>
      <c r="G135" s="617"/>
      <c r="H135" s="466"/>
      <c r="I135" s="477"/>
      <c r="J135" s="617"/>
      <c r="K135" s="1694">
        <f>SUM(E135,H135)</f>
        <v>0</v>
      </c>
      <c r="L135" s="466">
        <v>13223</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86714</v>
      </c>
      <c r="F137" s="617"/>
      <c r="G137" s="617"/>
      <c r="H137" s="1692">
        <f>SUM(H133:H136)</f>
        <v>0</v>
      </c>
      <c r="I137" s="477"/>
      <c r="J137" s="617"/>
      <c r="K137" s="1692">
        <f>SUM(K133:K136)</f>
        <v>86714</v>
      </c>
      <c r="L137" s="1692">
        <f>SUM(L133:L136)</f>
        <v>128223</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86714</v>
      </c>
      <c r="F139" s="617"/>
      <c r="G139" s="617"/>
      <c r="H139" s="1701">
        <f>SUM(H137:H138)</f>
        <v>0</v>
      </c>
      <c r="I139" s="477"/>
      <c r="J139" s="617"/>
      <c r="K139" s="1694">
        <f>SUM(K137,K138)</f>
        <v>86714</v>
      </c>
      <c r="L139" s="1701">
        <f>SUM(L137,L138)</f>
        <v>128223</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91" t="s">
        <v>641</v>
      </c>
      <c r="B151" s="2171"/>
      <c r="C151" s="1692">
        <f>SUM(C129,C130,C139,C149,C150)</f>
        <v>985005</v>
      </c>
      <c r="D151" s="1692">
        <f t="shared" ref="D151:K151" si="16">SUM(D129,D130,D139,D149,D150)</f>
        <v>223372</v>
      </c>
      <c r="E151" s="1692">
        <f t="shared" si="16"/>
        <v>838177</v>
      </c>
      <c r="F151" s="1692">
        <f t="shared" si="16"/>
        <v>806208</v>
      </c>
      <c r="G151" s="1692">
        <f t="shared" si="16"/>
        <v>2388625</v>
      </c>
      <c r="H151" s="1692">
        <f t="shared" si="16"/>
        <v>206</v>
      </c>
      <c r="I151" s="1692">
        <f t="shared" si="16"/>
        <v>0</v>
      </c>
      <c r="J151" s="1692">
        <f t="shared" si="16"/>
        <v>0</v>
      </c>
      <c r="K151" s="1692">
        <f t="shared" si="16"/>
        <v>5241593</v>
      </c>
      <c r="L151" s="1692">
        <f>SUM(L129,L130,L139,L149,L150)</f>
        <v>5345990</v>
      </c>
    </row>
    <row r="152" spans="1:14" ht="12.75" customHeight="1" thickTop="1" x14ac:dyDescent="0.2">
      <c r="A152" s="2194" t="s">
        <v>1240</v>
      </c>
      <c r="B152" s="2195"/>
      <c r="C152" s="619"/>
      <c r="D152" s="619"/>
      <c r="E152" s="619"/>
      <c r="F152" s="619"/>
      <c r="G152" s="619"/>
      <c r="H152" s="619"/>
      <c r="I152" s="619"/>
      <c r="J152" s="617"/>
      <c r="K152" s="1706">
        <f>'Revenues 9-14'!D275-'Expenditures 15-22'!K151</f>
        <v>-50719</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1956</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1955</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1957</v>
      </c>
      <c r="C158" s="617"/>
      <c r="D158" s="617"/>
      <c r="E158" s="617"/>
      <c r="F158" s="617"/>
      <c r="G158" s="617"/>
      <c r="H158" s="467"/>
      <c r="I158" s="617"/>
      <c r="J158" s="617"/>
      <c r="K158" s="1693">
        <f>H158</f>
        <v>0</v>
      </c>
      <c r="L158" s="467">
        <v>0</v>
      </c>
      <c r="M158" s="620"/>
      <c r="N158" s="620"/>
    </row>
    <row r="159" spans="1:14" s="621" customFormat="1" ht="12" x14ac:dyDescent="0.2">
      <c r="A159" s="1849" t="s">
        <v>1958</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1959</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143125</v>
      </c>
      <c r="I169" s="617"/>
      <c r="J169" s="617"/>
      <c r="K169" s="1693">
        <f>SUM(C169:H169)</f>
        <v>143125</v>
      </c>
      <c r="L169" s="657">
        <v>143125</v>
      </c>
    </row>
    <row r="170" spans="1:14" ht="33.75" customHeight="1" x14ac:dyDescent="0.2">
      <c r="A170" s="670" t="s">
        <v>1769</v>
      </c>
      <c r="B170" s="672" t="s">
        <v>31</v>
      </c>
      <c r="C170" s="617"/>
      <c r="D170" s="617"/>
      <c r="E170" s="617"/>
      <c r="F170" s="617"/>
      <c r="G170" s="617"/>
      <c r="H170" s="569">
        <v>5725000</v>
      </c>
      <c r="I170" s="617"/>
      <c r="J170" s="617"/>
      <c r="K170" s="1693">
        <f>SUM(C170:J170)</f>
        <v>5725000</v>
      </c>
      <c r="L170" s="569">
        <v>5725000</v>
      </c>
    </row>
    <row r="171" spans="1:14" ht="15.75" customHeight="1" x14ac:dyDescent="0.2">
      <c r="A171" s="622" t="s">
        <v>790</v>
      </c>
      <c r="B171" s="673" t="s">
        <v>86</v>
      </c>
      <c r="C171" s="617"/>
      <c r="D171" s="617"/>
      <c r="E171" s="466"/>
      <c r="F171" s="617"/>
      <c r="G171" s="617"/>
      <c r="H171" s="569">
        <v>1500</v>
      </c>
      <c r="I171" s="477"/>
      <c r="J171" s="617"/>
      <c r="K171" s="1693">
        <f>SUM(C171:J171)</f>
        <v>1500</v>
      </c>
      <c r="L171" s="569">
        <v>5000</v>
      </c>
    </row>
    <row r="172" spans="1:14" ht="12.75" customHeight="1" thickBot="1" x14ac:dyDescent="0.25">
      <c r="A172" s="1690" t="s">
        <v>659</v>
      </c>
      <c r="B172" s="1691" t="s">
        <v>513</v>
      </c>
      <c r="C172" s="617"/>
      <c r="D172" s="617"/>
      <c r="E172" s="1699">
        <f>SUM(E168,E169,E170,E171)</f>
        <v>0</v>
      </c>
      <c r="F172" s="617"/>
      <c r="G172" s="617"/>
      <c r="H172" s="1699">
        <f>SUM(H168,H169,H170,H171)</f>
        <v>5869625</v>
      </c>
      <c r="I172" s="639"/>
      <c r="J172" s="617"/>
      <c r="K172" s="1699">
        <f>SUM(K168,K169,K170,K171)</f>
        <v>5869625</v>
      </c>
      <c r="L172" s="1699">
        <f>SUM(L168,L169,L170,L171)</f>
        <v>5873125</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5869625</v>
      </c>
      <c r="I174" s="639"/>
      <c r="J174" s="617"/>
      <c r="K174" s="1699">
        <f>SUM(K160,K172,K173)</f>
        <v>5869625</v>
      </c>
      <c r="L174" s="1699">
        <f>SUM(L160,L172,L173)</f>
        <v>5873125</v>
      </c>
    </row>
    <row r="175" spans="1:14" ht="13.5" thickTop="1" x14ac:dyDescent="0.2">
      <c r="A175" s="2174" t="s">
        <v>1053</v>
      </c>
      <c r="B175" s="2175"/>
      <c r="C175" s="617"/>
      <c r="D175" s="617"/>
      <c r="E175" s="617"/>
      <c r="F175" s="617"/>
      <c r="G175" s="617"/>
      <c r="H175" s="619"/>
      <c r="I175" s="617"/>
      <c r="J175" s="617"/>
      <c r="K175" s="1706">
        <f>'Revenues 9-14'!E275-'Expenditures 15-22'!K174</f>
        <v>-2957788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513441</v>
      </c>
      <c r="D182" s="466">
        <v>133420</v>
      </c>
      <c r="E182" s="466">
        <v>1304369</v>
      </c>
      <c r="F182" s="466">
        <v>86214</v>
      </c>
      <c r="G182" s="466">
        <v>935</v>
      </c>
      <c r="H182" s="466">
        <v>50</v>
      </c>
      <c r="I182" s="467"/>
      <c r="J182" s="467"/>
      <c r="K182" s="1693">
        <f>SUM(C182:J182)</f>
        <v>2038429</v>
      </c>
      <c r="L182" s="466">
        <v>2043031</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513441</v>
      </c>
      <c r="D184" s="1699">
        <f t="shared" ref="D184:J184" si="17">SUM(D180,D182,D183)</f>
        <v>133420</v>
      </c>
      <c r="E184" s="1699">
        <f t="shared" si="17"/>
        <v>1304369</v>
      </c>
      <c r="F184" s="1699">
        <f t="shared" si="17"/>
        <v>86214</v>
      </c>
      <c r="G184" s="1699">
        <f t="shared" si="17"/>
        <v>935</v>
      </c>
      <c r="H184" s="1699">
        <f t="shared" si="17"/>
        <v>50</v>
      </c>
      <c r="I184" s="1699">
        <f t="shared" si="17"/>
        <v>0</v>
      </c>
      <c r="J184" s="1699">
        <f t="shared" si="17"/>
        <v>0</v>
      </c>
      <c r="K184" s="1699">
        <f>SUM(K180,K182,K183)</f>
        <v>2038429</v>
      </c>
      <c r="L184" s="1699">
        <f>SUM(L180, L182:L183)</f>
        <v>2043031</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513441</v>
      </c>
      <c r="D210" s="1692">
        <f>SUM(D184,D185)</f>
        <v>133420</v>
      </c>
      <c r="E210" s="1692">
        <f>SUM(E184,E185,E196)</f>
        <v>1304369</v>
      </c>
      <c r="F210" s="1692">
        <f>SUM(F184,F185)</f>
        <v>86214</v>
      </c>
      <c r="G210" s="1692">
        <f>SUM(G184,G185)</f>
        <v>935</v>
      </c>
      <c r="H210" s="1692">
        <f>SUM(H184,H185,H196,H208,H209)</f>
        <v>50</v>
      </c>
      <c r="I210" s="1692">
        <f>SUM(I184,I185)</f>
        <v>0</v>
      </c>
      <c r="J210" s="1692">
        <f>SUM(J184,J185)</f>
        <v>0</v>
      </c>
      <c r="K210" s="1693">
        <f>SUM(K184,K185,K196,K208,K209)</f>
        <v>2038429</v>
      </c>
      <c r="L210" s="1692">
        <f>SUM(L184,L185,L196,L208,L209)</f>
        <v>2043031</v>
      </c>
    </row>
    <row r="211" spans="1:14" ht="13.5" thickTop="1" x14ac:dyDescent="0.2">
      <c r="A211" s="2174" t="s">
        <v>1053</v>
      </c>
      <c r="B211" s="2175"/>
      <c r="C211" s="619"/>
      <c r="D211" s="619"/>
      <c r="E211" s="619"/>
      <c r="F211" s="619"/>
      <c r="G211" s="619"/>
      <c r="H211" s="619"/>
      <c r="I211" s="617"/>
      <c r="J211" s="617"/>
      <c r="K211" s="1706">
        <f>'Revenues 9-14'!F275-'Expenditures 15-22'!K210</f>
        <v>-329963</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100333</v>
      </c>
      <c r="E215" s="617"/>
      <c r="F215" s="617"/>
      <c r="G215" s="617"/>
      <c r="H215" s="617"/>
      <c r="I215" s="617"/>
      <c r="J215" s="617"/>
      <c r="K215" s="1693">
        <f>D215</f>
        <v>100333</v>
      </c>
      <c r="L215" s="466">
        <v>120289</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v>51190</v>
      </c>
      <c r="E217" s="617"/>
      <c r="F217" s="617"/>
      <c r="G217" s="617"/>
      <c r="H217" s="617"/>
      <c r="I217" s="617"/>
      <c r="J217" s="617"/>
      <c r="K217" s="1693">
        <f t="shared" si="19"/>
        <v>51190</v>
      </c>
      <c r="L217" s="466">
        <v>53628</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v>6866</v>
      </c>
      <c r="E222" s="617"/>
      <c r="F222" s="617"/>
      <c r="G222" s="617"/>
      <c r="H222" s="617"/>
      <c r="I222" s="617"/>
      <c r="J222" s="617"/>
      <c r="K222" s="1693">
        <f t="shared" si="19"/>
        <v>6866</v>
      </c>
      <c r="L222" s="466">
        <v>7120</v>
      </c>
    </row>
    <row r="223" spans="1:14" x14ac:dyDescent="0.2">
      <c r="A223" s="1526" t="s">
        <v>1020</v>
      </c>
      <c r="B223" s="615">
        <v>1500</v>
      </c>
      <c r="C223" s="617"/>
      <c r="D223" s="466">
        <v>46559</v>
      </c>
      <c r="E223" s="617"/>
      <c r="F223" s="617"/>
      <c r="G223" s="617"/>
      <c r="H223" s="617"/>
      <c r="I223" s="617"/>
      <c r="J223" s="617"/>
      <c r="K223" s="1693">
        <f t="shared" si="19"/>
        <v>46559</v>
      </c>
      <c r="L223" s="466">
        <v>50998</v>
      </c>
    </row>
    <row r="224" spans="1:14" x14ac:dyDescent="0.2">
      <c r="A224" s="1526" t="s">
        <v>1021</v>
      </c>
      <c r="B224" s="615">
        <v>1600</v>
      </c>
      <c r="C224" s="617"/>
      <c r="D224" s="466">
        <v>1008</v>
      </c>
      <c r="E224" s="617"/>
      <c r="F224" s="617"/>
      <c r="G224" s="617"/>
      <c r="H224" s="617"/>
      <c r="I224" s="617"/>
      <c r="J224" s="617"/>
      <c r="K224" s="1693">
        <f t="shared" si="19"/>
        <v>1008</v>
      </c>
      <c r="L224" s="466">
        <v>1200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v>2101</v>
      </c>
      <c r="E226" s="617"/>
      <c r="F226" s="617"/>
      <c r="G226" s="617"/>
      <c r="H226" s="617"/>
      <c r="I226" s="617"/>
      <c r="J226" s="617"/>
      <c r="K226" s="1693">
        <f t="shared" si="19"/>
        <v>2101</v>
      </c>
      <c r="L226" s="466">
        <v>2421</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208057</v>
      </c>
      <c r="E229" s="617"/>
      <c r="F229" s="617"/>
      <c r="G229" s="617"/>
      <c r="H229" s="617"/>
      <c r="I229" s="617"/>
      <c r="J229" s="617"/>
      <c r="K229" s="1692">
        <f>SUM(K215:K228)</f>
        <v>208057</v>
      </c>
      <c r="L229" s="1692">
        <f>SUM(L215:L228)</f>
        <v>235656</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11270</v>
      </c>
      <c r="E232" s="617"/>
      <c r="F232" s="617"/>
      <c r="G232" s="617"/>
      <c r="H232" s="617"/>
      <c r="I232" s="617"/>
      <c r="J232" s="617"/>
      <c r="K232" s="1693">
        <f t="shared" ref="K232:K237" si="20">D232</f>
        <v>11270</v>
      </c>
      <c r="L232" s="466">
        <v>12387</v>
      </c>
    </row>
    <row r="233" spans="1:12" x14ac:dyDescent="0.2">
      <c r="A233" s="1526" t="s">
        <v>1151</v>
      </c>
      <c r="B233" s="615">
        <v>2120</v>
      </c>
      <c r="C233" s="617"/>
      <c r="D233" s="466">
        <v>27019</v>
      </c>
      <c r="E233" s="617"/>
      <c r="F233" s="617"/>
      <c r="G233" s="617"/>
      <c r="H233" s="617"/>
      <c r="I233" s="617"/>
      <c r="J233" s="617"/>
      <c r="K233" s="1693">
        <f t="shared" si="20"/>
        <v>27019</v>
      </c>
      <c r="L233" s="466">
        <v>28300</v>
      </c>
    </row>
    <row r="234" spans="1:12" x14ac:dyDescent="0.2">
      <c r="A234" s="1526" t="s">
        <v>207</v>
      </c>
      <c r="B234" s="615">
        <v>2130</v>
      </c>
      <c r="C234" s="617"/>
      <c r="D234" s="466">
        <v>11811</v>
      </c>
      <c r="E234" s="617"/>
      <c r="F234" s="617"/>
      <c r="G234" s="617"/>
      <c r="H234" s="617"/>
      <c r="I234" s="617"/>
      <c r="J234" s="617"/>
      <c r="K234" s="1693">
        <f t="shared" si="20"/>
        <v>11811</v>
      </c>
      <c r="L234" s="466">
        <v>11215</v>
      </c>
    </row>
    <row r="235" spans="1:12" x14ac:dyDescent="0.2">
      <c r="A235" s="1526" t="s">
        <v>208</v>
      </c>
      <c r="B235" s="615">
        <v>2140</v>
      </c>
      <c r="C235" s="617"/>
      <c r="D235" s="466">
        <v>3188</v>
      </c>
      <c r="E235" s="617"/>
      <c r="F235" s="617"/>
      <c r="G235" s="617"/>
      <c r="H235" s="617"/>
      <c r="I235" s="617"/>
      <c r="J235" s="617"/>
      <c r="K235" s="1693">
        <f t="shared" si="20"/>
        <v>3188</v>
      </c>
      <c r="L235" s="466">
        <v>3540</v>
      </c>
    </row>
    <row r="236" spans="1:12" x14ac:dyDescent="0.2">
      <c r="A236" s="1526" t="s">
        <v>209</v>
      </c>
      <c r="B236" s="615">
        <v>2150</v>
      </c>
      <c r="C236" s="617"/>
      <c r="D236" s="466">
        <v>234</v>
      </c>
      <c r="E236" s="617"/>
      <c r="F236" s="617"/>
      <c r="G236" s="617"/>
      <c r="H236" s="617"/>
      <c r="I236" s="617"/>
      <c r="J236" s="617"/>
      <c r="K236" s="1693">
        <f t="shared" si="20"/>
        <v>234</v>
      </c>
      <c r="L236" s="466">
        <v>500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53522</v>
      </c>
      <c r="E238" s="617"/>
      <c r="F238" s="617"/>
      <c r="G238" s="617"/>
      <c r="H238" s="617"/>
      <c r="I238" s="617"/>
      <c r="J238" s="617"/>
      <c r="K238" s="1692">
        <f>SUM(K232:K237)</f>
        <v>53522</v>
      </c>
      <c r="L238" s="1692">
        <f>SUM(L232:L237)</f>
        <v>55942</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22381</v>
      </c>
      <c r="E240" s="617"/>
      <c r="F240" s="617"/>
      <c r="G240" s="617"/>
      <c r="H240" s="617"/>
      <c r="I240" s="617"/>
      <c r="J240" s="617"/>
      <c r="K240" s="1694">
        <f>D240</f>
        <v>22381</v>
      </c>
      <c r="L240" s="481">
        <v>19370</v>
      </c>
    </row>
    <row r="241" spans="1:12" x14ac:dyDescent="0.2">
      <c r="A241" s="1526" t="s">
        <v>869</v>
      </c>
      <c r="B241" s="615">
        <v>2220</v>
      </c>
      <c r="C241" s="617"/>
      <c r="D241" s="466">
        <v>8144</v>
      </c>
      <c r="E241" s="617"/>
      <c r="F241" s="617"/>
      <c r="G241" s="617"/>
      <c r="H241" s="617"/>
      <c r="I241" s="617"/>
      <c r="J241" s="617"/>
      <c r="K241" s="1694">
        <f>D241</f>
        <v>8144</v>
      </c>
      <c r="L241" s="466">
        <v>8908</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30525</v>
      </c>
      <c r="E243" s="617"/>
      <c r="F243" s="617"/>
      <c r="G243" s="617"/>
      <c r="H243" s="617"/>
      <c r="I243" s="617"/>
      <c r="J243" s="617"/>
      <c r="K243" s="1692">
        <f>SUM(K240:K242)</f>
        <v>30525</v>
      </c>
      <c r="L243" s="1692">
        <f>SUM(L240:L242)</f>
        <v>28278</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224</v>
      </c>
      <c r="E245" s="617"/>
      <c r="F245" s="617"/>
      <c r="G245" s="617"/>
      <c r="H245" s="617"/>
      <c r="I245" s="617"/>
      <c r="J245" s="617"/>
      <c r="K245" s="1694">
        <f>D245</f>
        <v>224</v>
      </c>
      <c r="L245" s="481">
        <v>275</v>
      </c>
    </row>
    <row r="246" spans="1:12" x14ac:dyDescent="0.2">
      <c r="A246" s="1526" t="s">
        <v>872</v>
      </c>
      <c r="B246" s="615">
        <v>2320</v>
      </c>
      <c r="C246" s="617"/>
      <c r="D246" s="466">
        <v>15805</v>
      </c>
      <c r="E246" s="617"/>
      <c r="F246" s="617"/>
      <c r="G246" s="617"/>
      <c r="H246" s="617"/>
      <c r="I246" s="617"/>
      <c r="J246" s="617"/>
      <c r="K246" s="1694">
        <f t="shared" ref="K246:K256" si="21">D246</f>
        <v>15805</v>
      </c>
      <c r="L246" s="466">
        <v>16995</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1906</v>
      </c>
      <c r="B249" s="684" t="s">
        <v>300</v>
      </c>
      <c r="C249" s="617"/>
      <c r="D249" s="474"/>
      <c r="E249" s="617"/>
      <c r="F249" s="617"/>
      <c r="G249" s="617"/>
      <c r="H249" s="617"/>
      <c r="I249" s="617"/>
      <c r="J249" s="617"/>
      <c r="K249" s="1694">
        <f t="shared" si="21"/>
        <v>0</v>
      </c>
      <c r="L249" s="466">
        <v>0</v>
      </c>
    </row>
    <row r="250" spans="1:12" x14ac:dyDescent="0.2">
      <c r="A250" s="1527" t="s">
        <v>1907</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16029</v>
      </c>
      <c r="E257" s="617"/>
      <c r="F257" s="617"/>
      <c r="G257" s="617"/>
      <c r="H257" s="617"/>
      <c r="I257" s="617"/>
      <c r="J257" s="617"/>
      <c r="K257" s="1692">
        <f>SUM(K245:K256)</f>
        <v>16029</v>
      </c>
      <c r="L257" s="1692">
        <f>SUM(L245:L256)</f>
        <v>17270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21466</v>
      </c>
      <c r="E259" s="617"/>
      <c r="F259" s="617"/>
      <c r="G259" s="617"/>
      <c r="H259" s="617"/>
      <c r="I259" s="617"/>
      <c r="J259" s="617"/>
      <c r="K259" s="1694">
        <f>D259</f>
        <v>21466</v>
      </c>
      <c r="L259" s="481">
        <v>13525</v>
      </c>
    </row>
    <row r="260" spans="1:14" s="598" customFormat="1" x14ac:dyDescent="0.2">
      <c r="A260" s="1544" t="s">
        <v>1905</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21466</v>
      </c>
      <c r="E261" s="617"/>
      <c r="F261" s="617"/>
      <c r="G261" s="617"/>
      <c r="H261" s="617"/>
      <c r="I261" s="617"/>
      <c r="J261" s="617"/>
      <c r="K261" s="1692">
        <f>SUM(K259:K260)</f>
        <v>21466</v>
      </c>
      <c r="L261" s="1692">
        <f>SUM(L259:L260)</f>
        <v>13525</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1041</v>
      </c>
      <c r="E263" s="617"/>
      <c r="F263" s="617"/>
      <c r="G263" s="617"/>
      <c r="H263" s="617"/>
      <c r="I263" s="617"/>
      <c r="J263" s="617"/>
      <c r="K263" s="1694">
        <f>D263</f>
        <v>1041</v>
      </c>
      <c r="L263" s="481">
        <v>1292</v>
      </c>
    </row>
    <row r="264" spans="1:14" x14ac:dyDescent="0.2">
      <c r="A264" s="1526" t="s">
        <v>483</v>
      </c>
      <c r="B264" s="686">
        <v>2520</v>
      </c>
      <c r="C264" s="617"/>
      <c r="D264" s="466">
        <v>25089</v>
      </c>
      <c r="E264" s="617"/>
      <c r="F264" s="617"/>
      <c r="G264" s="617"/>
      <c r="H264" s="617"/>
      <c r="I264" s="617"/>
      <c r="J264" s="617"/>
      <c r="K264" s="1694">
        <f t="shared" ref="K264:K269" si="22">D264</f>
        <v>25089</v>
      </c>
      <c r="L264" s="466">
        <v>18315</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v>174296</v>
      </c>
      <c r="E266" s="617"/>
      <c r="F266" s="617"/>
      <c r="G266" s="617"/>
      <c r="H266" s="617"/>
      <c r="I266" s="617"/>
      <c r="J266" s="617"/>
      <c r="K266" s="1694">
        <f t="shared" si="22"/>
        <v>174296</v>
      </c>
      <c r="L266" s="466">
        <v>185590</v>
      </c>
    </row>
    <row r="267" spans="1:14" x14ac:dyDescent="0.2">
      <c r="A267" s="1526" t="s">
        <v>1010</v>
      </c>
      <c r="B267" s="615">
        <v>2550</v>
      </c>
      <c r="C267" s="617"/>
      <c r="D267" s="466">
        <v>90743</v>
      </c>
      <c r="E267" s="617"/>
      <c r="F267" s="617"/>
      <c r="G267" s="617"/>
      <c r="H267" s="617"/>
      <c r="I267" s="617"/>
      <c r="J267" s="617"/>
      <c r="K267" s="1694">
        <f t="shared" si="22"/>
        <v>90743</v>
      </c>
      <c r="L267" s="466">
        <v>72125</v>
      </c>
    </row>
    <row r="268" spans="1:14" x14ac:dyDescent="0.2">
      <c r="A268" s="1526" t="s">
        <v>102</v>
      </c>
      <c r="B268" s="615">
        <v>2560</v>
      </c>
      <c r="C268" s="617"/>
      <c r="D268" s="466">
        <v>52736</v>
      </c>
      <c r="E268" s="617"/>
      <c r="F268" s="617"/>
      <c r="G268" s="617"/>
      <c r="H268" s="617"/>
      <c r="I268" s="617"/>
      <c r="J268" s="617"/>
      <c r="K268" s="1694">
        <f t="shared" si="22"/>
        <v>52736</v>
      </c>
      <c r="L268" s="466">
        <v>51000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343905</v>
      </c>
      <c r="E270" s="617"/>
      <c r="F270" s="617"/>
      <c r="G270" s="617"/>
      <c r="H270" s="617"/>
      <c r="I270" s="617"/>
      <c r="J270" s="617"/>
      <c r="K270" s="1692">
        <f>SUM(K263:K269)</f>
        <v>343905</v>
      </c>
      <c r="L270" s="1692">
        <f>SUM(L263:L269)</f>
        <v>328322</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v>43907</v>
      </c>
      <c r="E274" s="617"/>
      <c r="F274" s="617"/>
      <c r="G274" s="617"/>
      <c r="H274" s="617"/>
      <c r="I274" s="617"/>
      <c r="J274" s="617"/>
      <c r="K274" s="1694">
        <f>D274</f>
        <v>43907</v>
      </c>
      <c r="L274" s="466">
        <v>38101</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43907</v>
      </c>
      <c r="E277" s="617"/>
      <c r="F277" s="617"/>
      <c r="G277" s="617"/>
      <c r="H277" s="617"/>
      <c r="I277" s="617"/>
      <c r="J277" s="617"/>
      <c r="K277" s="1692">
        <f>SUM(K272:K276)</f>
        <v>43907</v>
      </c>
      <c r="L277" s="1692">
        <f>SUM(L272:L276)</f>
        <v>38101</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509354</v>
      </c>
      <c r="E279" s="617"/>
      <c r="F279" s="617"/>
      <c r="G279" s="617"/>
      <c r="H279" s="617"/>
      <c r="I279" s="617"/>
      <c r="J279" s="617"/>
      <c r="K279" s="1699">
        <f>SUM(K238,K243,K257,K261,K270,K277,K278)</f>
        <v>509354</v>
      </c>
      <c r="L279" s="1699">
        <f>SUM(L238,L243,L257,L261,L270,L277,L278)</f>
        <v>481438</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1955</v>
      </c>
      <c r="C282" s="617"/>
      <c r="D282" s="467"/>
      <c r="E282" s="617"/>
      <c r="F282" s="617"/>
      <c r="G282" s="617"/>
      <c r="H282" s="617"/>
      <c r="I282" s="617"/>
      <c r="J282" s="617"/>
      <c r="K282" s="1693">
        <f>D282</f>
        <v>0</v>
      </c>
      <c r="L282" s="467">
        <v>0</v>
      </c>
    </row>
    <row r="283" spans="1:12" x14ac:dyDescent="0.2">
      <c r="A283" s="1526" t="s">
        <v>322</v>
      </c>
      <c r="B283" s="615">
        <v>4120</v>
      </c>
      <c r="C283" s="617"/>
      <c r="D283" s="466">
        <v>58059</v>
      </c>
      <c r="E283" s="617"/>
      <c r="F283" s="617"/>
      <c r="G283" s="617"/>
      <c r="H283" s="617"/>
      <c r="I283" s="617"/>
      <c r="J283" s="617"/>
      <c r="K283" s="1693">
        <f>D283</f>
        <v>58059</v>
      </c>
      <c r="L283" s="466">
        <v>58134</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58059</v>
      </c>
      <c r="E285" s="617"/>
      <c r="F285" s="617"/>
      <c r="G285" s="617"/>
      <c r="H285" s="617"/>
      <c r="I285" s="617"/>
      <c r="J285" s="617"/>
      <c r="K285" s="1692">
        <f>SUM(K282:K284)</f>
        <v>58059</v>
      </c>
      <c r="L285" s="1692">
        <f>SUM(L282:L284)</f>
        <v>58134</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2" t="s">
        <v>526</v>
      </c>
      <c r="B295" s="2193"/>
      <c r="C295" s="617"/>
      <c r="D295" s="1692">
        <f>SUM(D229,D279,D280,D285)</f>
        <v>775470</v>
      </c>
      <c r="E295" s="617"/>
      <c r="F295" s="617"/>
      <c r="G295" s="617"/>
      <c r="H295" s="1692">
        <f>H293</f>
        <v>0</v>
      </c>
      <c r="I295" s="617"/>
      <c r="J295" s="617"/>
      <c r="K295" s="1692">
        <f>SUM(K229,K279,K280,K285,K293,K294)</f>
        <v>775470</v>
      </c>
      <c r="L295" s="1692">
        <f>SUM(L229,L279,L280,L285,L293,L294)</f>
        <v>775228</v>
      </c>
    </row>
    <row r="296" spans="1:14" ht="13.5" thickTop="1" x14ac:dyDescent="0.2">
      <c r="A296" s="2174" t="s">
        <v>1053</v>
      </c>
      <c r="B296" s="2175"/>
      <c r="C296" s="617"/>
      <c r="D296" s="619"/>
      <c r="E296" s="617"/>
      <c r="F296" s="617"/>
      <c r="G296" s="617"/>
      <c r="H296" s="688"/>
      <c r="I296" s="617"/>
      <c r="J296" s="617"/>
      <c r="K296" s="1706">
        <f>'Revenues 9-14'!G275-'Expenditures 15-22'!K295</f>
        <v>21693</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1960</v>
      </c>
      <c r="B306" s="691" t="s">
        <v>1955</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9" t="s">
        <v>295</v>
      </c>
      <c r="B312" s="2190"/>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1906</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1961</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1955</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1957</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1962</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7" t="s">
        <v>1053</v>
      </c>
      <c r="B343" s="2188"/>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1963</v>
      </c>
      <c r="B354" s="684" t="s">
        <v>1955</v>
      </c>
      <c r="C354" s="617"/>
      <c r="D354" s="617"/>
      <c r="E354" s="617"/>
      <c r="F354" s="617"/>
      <c r="G354" s="617"/>
      <c r="H354" s="474"/>
      <c r="I354" s="702"/>
      <c r="J354" s="617"/>
      <c r="K354" s="1721">
        <f>H354</f>
        <v>0</v>
      </c>
      <c r="L354" s="471">
        <v>0</v>
      </c>
    </row>
    <row r="355" spans="1:14" ht="12.75" customHeight="1" x14ac:dyDescent="0.2">
      <c r="A355" s="1535" t="s">
        <v>1964</v>
      </c>
      <c r="B355" s="691" t="s">
        <v>1957</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4" t="s">
        <v>1053</v>
      </c>
      <c r="B368" s="2175"/>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schemas.openxmlformats.org/package/2006/metadata/core-properties"/>
    <ds:schemaRef ds:uri="http://www.w3.org/XML/1998/namespace"/>
    <ds:schemaRef ds:uri="http://schemas.microsoft.com/sharepoint/v3"/>
    <ds:schemaRef ds:uri="http://schemas.microsoft.com/office/2006/metadata/properties"/>
    <ds:schemaRef ds:uri="http://schemas.microsoft.com/office/2006/documentManagement/types"/>
    <ds:schemaRef ds:uri="http://purl.org/dc/terms/"/>
    <ds:schemaRef ds:uri="http://purl.org/dc/dcmitype/"/>
    <ds:schemaRef ds:uri="6ce3111e-7420-4802-b50a-75d4e9a0b980"/>
    <ds:schemaRef ds:uri="http://purl.org/dc/elements/1.1/"/>
    <ds:schemaRef ds:uri="http://schemas.microsoft.com/office/infopath/2007/PartnerControls"/>
    <ds:schemaRef ds:uri="4d435f69-8686-490b-bd6d-b153bf22ab50"/>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2018-10-10T15:03:04Z</cp:lastPrinted>
  <dcterms:created xsi:type="dcterms:W3CDTF">2003-10-29T19:06:34Z</dcterms:created>
  <dcterms:modified xsi:type="dcterms:W3CDTF">2018-11-15T16:27:01Z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