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I18" i="184" l="1"/>
  <c r="L18" i="184" s="1"/>
  <c r="F18" i="184"/>
  <c r="I11" i="184"/>
  <c r="L11" i="184" s="1"/>
  <c r="F11" i="184"/>
  <c r="L16" i="184"/>
  <c r="L15" i="184"/>
  <c r="B4" i="184"/>
  <c r="I18" i="183"/>
  <c r="I20" i="184" s="1"/>
  <c r="L20" i="184" s="1"/>
  <c r="F18" i="183"/>
  <c r="L25" i="183"/>
  <c r="L24" i="183"/>
  <c r="L22" i="183"/>
  <c r="L16" i="183"/>
  <c r="L15" i="183"/>
  <c r="L14" i="183"/>
  <c r="L13" i="183"/>
  <c r="L12" i="183"/>
  <c r="B4" i="183"/>
  <c r="F20" i="184" l="1"/>
  <c r="E8" i="7"/>
  <c r="E322" i="29"/>
  <c r="C69"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19"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B7718" i="106" s="1"/>
  <c r="D7718" i="106" s="1"/>
  <c r="J21" i="12"/>
  <c r="B7727" i="106" s="1"/>
  <c r="D7727" i="106" s="1"/>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6833" i="106" s="1"/>
  <c r="D6833" i="106" s="1"/>
  <c r="B7761" i="106"/>
  <c r="D7761" i="106" s="1"/>
  <c r="L127" i="29"/>
  <c r="L129" i="29" s="1"/>
  <c r="L139" i="29"/>
  <c r="L149" i="29"/>
  <c r="I7" i="145"/>
  <c r="I6" i="145"/>
  <c r="D78" i="36"/>
  <c r="K75" i="29"/>
  <c r="K130" i="29"/>
  <c r="F56" i="34" s="1"/>
  <c r="K185" i="29"/>
  <c r="F14" i="4" s="1"/>
  <c r="B2597" i="106" s="1"/>
  <c r="D2597" i="106" s="1"/>
  <c r="K122" i="29"/>
  <c r="F15" i="145" s="1"/>
  <c r="F19" i="145" s="1"/>
  <c r="K67" i="29"/>
  <c r="K64" i="29"/>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B6997" i="106" s="1"/>
  <c r="D6997" i="106" s="1"/>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7" i="108"/>
  <c r="E27" i="108"/>
  <c r="F27" i="108"/>
  <c r="G27" i="108"/>
  <c r="E28" i="108"/>
  <c r="F28" i="108"/>
  <c r="F31" i="108"/>
  <c r="F36" i="108"/>
  <c r="F37" i="108"/>
  <c r="G28" i="108"/>
  <c r="D31" i="108"/>
  <c r="D36" i="108"/>
  <c r="D37"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C39" i="34"/>
  <c r="D39" i="34"/>
  <c r="C40" i="34"/>
  <c r="D40" i="34"/>
  <c r="C41" i="34"/>
  <c r="D41" i="34"/>
  <c r="C42" i="34"/>
  <c r="D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c r="D5355" i="106" s="1"/>
  <c r="E108" i="5"/>
  <c r="B5526" i="106" s="1"/>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I274" i="5"/>
  <c r="C14" i="4"/>
  <c r="B2558" i="106" s="1"/>
  <c r="D2558" i="106" s="1"/>
  <c r="D14" i="4"/>
  <c r="B2570" i="106" s="1"/>
  <c r="D2570" i="106" s="1"/>
  <c r="B2633" i="106"/>
  <c r="D2633" i="106" s="1"/>
  <c r="D7" i="118"/>
  <c r="D8" i="118"/>
  <c r="D9" i="118"/>
  <c r="H14" i="118"/>
  <c r="H19" i="118"/>
  <c r="H24" i="118"/>
  <c r="H33" i="118"/>
  <c r="D22" i="37"/>
  <c r="J22" i="37"/>
  <c r="L22" i="37"/>
  <c r="D24" i="37"/>
  <c r="B4270" i="106" s="1"/>
  <c r="D4270" i="106" s="1"/>
  <c r="D5" i="7"/>
  <c r="B1761" i="106" s="1"/>
  <c r="D1761" i="106" s="1"/>
  <c r="D9" i="7"/>
  <c r="B1767" i="106" s="1"/>
  <c r="D1767" i="106" s="1"/>
  <c r="B5752" i="106"/>
  <c r="D5752" i="106" s="1"/>
  <c r="B5599" i="106"/>
  <c r="D5599" i="106" s="1"/>
  <c r="D17" i="7"/>
  <c r="B4104" i="106" s="1"/>
  <c r="D4104" i="106" s="1"/>
  <c r="D15" i="7"/>
  <c r="B1772" i="106" s="1"/>
  <c r="D1772" i="106" s="1"/>
  <c r="F136" i="34" l="1"/>
  <c r="F66" i="34"/>
  <c r="J210" i="29"/>
  <c r="B7072" i="106" s="1"/>
  <c r="D7072" i="106" s="1"/>
  <c r="K41" i="3"/>
  <c r="J367" i="29"/>
  <c r="B7245" i="106" s="1"/>
  <c r="D7245" i="106" s="1"/>
  <c r="B7235" i="106"/>
  <c r="D7235" i="106" s="1"/>
  <c r="B6289" i="106"/>
  <c r="D6289" i="106" s="1"/>
  <c r="F42" i="34"/>
  <c r="G39" i="108"/>
  <c r="F130" i="34"/>
  <c r="D5" i="4"/>
  <c r="B3406" i="106" s="1"/>
  <c r="D3406" i="106" s="1"/>
  <c r="F71" i="34"/>
  <c r="F38" i="34"/>
  <c r="E38" i="108"/>
  <c r="E34" i="108"/>
  <c r="G38" i="108"/>
  <c r="K285" i="29"/>
  <c r="F50" i="34"/>
  <c r="F41" i="34"/>
  <c r="C352" i="29"/>
  <c r="C367" i="29" s="1"/>
  <c r="B3622" i="106" s="1"/>
  <c r="D3622" i="106" s="1"/>
  <c r="B2836" i="106"/>
  <c r="D2836" i="106" s="1"/>
  <c r="G14" i="4"/>
  <c r="B2609" i="106" s="1"/>
  <c r="D2609" i="106" s="1"/>
  <c r="H29" i="118"/>
  <c r="K28" i="118" s="1"/>
  <c r="O27" i="118" s="1"/>
  <c r="O29" i="118" s="1"/>
  <c r="G26" i="108"/>
  <c r="B2724" i="106"/>
  <c r="D2724" i="106" s="1"/>
  <c r="D13" i="7"/>
  <c r="B3726" i="106" s="1"/>
  <c r="D3726" i="106" s="1"/>
  <c r="F46" i="34"/>
  <c r="F37" i="34"/>
  <c r="E26" i="108"/>
  <c r="D54" i="36"/>
  <c r="H342" i="29"/>
  <c r="J129" i="29"/>
  <c r="B7038" i="106" s="1"/>
  <c r="D7038" i="106" s="1"/>
  <c r="B1274" i="106"/>
  <c r="D1274" i="106" s="1"/>
  <c r="B1753" i="106"/>
  <c r="D1753" i="106" s="1"/>
  <c r="D12" i="7"/>
  <c r="B1769" i="106" s="1"/>
  <c r="D1769" i="106" s="1"/>
  <c r="B1744" i="106"/>
  <c r="D1744" i="106" s="1"/>
  <c r="D4" i="7"/>
  <c r="B1760" i="106" s="1"/>
  <c r="D1760" i="106" s="1"/>
  <c r="F106" i="34"/>
  <c r="B5886" i="106"/>
  <c r="D5886" i="106" s="1"/>
  <c r="H109" i="5"/>
  <c r="B6025" i="106" s="1"/>
  <c r="D6025" i="106" s="1"/>
  <c r="B4363" i="106"/>
  <c r="D4363" i="106" s="1"/>
  <c r="I173" i="5"/>
  <c r="B4216" i="106" s="1"/>
  <c r="D4216" i="106" s="1"/>
  <c r="K76" i="4"/>
  <c r="B3586" i="106" s="1"/>
  <c r="D3586" i="106" s="1"/>
  <c r="H173" i="5"/>
  <c r="B5906" i="106" s="1"/>
  <c r="D5906" i="106" s="1"/>
  <c r="G5" i="4"/>
  <c r="B3409" i="106" s="1"/>
  <c r="D3409" i="106" s="1"/>
  <c r="J274" i="5"/>
  <c r="B7054" i="106" s="1"/>
  <c r="D7054" i="106" s="1"/>
  <c r="F128" i="34"/>
  <c r="B1746" i="106"/>
  <c r="D1746" i="106" s="1"/>
  <c r="K274" i="5"/>
  <c r="K7" i="4" s="1"/>
  <c r="B3718" i="106" s="1"/>
  <c r="D3718" i="106" s="1"/>
  <c r="F127" i="34"/>
  <c r="B5096" i="106"/>
  <c r="D5096" i="106" s="1"/>
  <c r="J77" i="4"/>
  <c r="B6262" i="106" s="1"/>
  <c r="D6262" i="106" s="1"/>
  <c r="F77" i="4"/>
  <c r="B3255" i="106" s="1"/>
  <c r="D3255" i="106" s="1"/>
  <c r="D6103" i="106"/>
  <c r="F21" i="8"/>
  <c r="B7041" i="106"/>
  <c r="D7041" i="106" s="1"/>
  <c r="G172" i="5"/>
  <c r="B6006" i="106"/>
  <c r="D6006" i="106" s="1"/>
  <c r="K173" i="5"/>
  <c r="K6" i="4" s="1"/>
  <c r="B3570" i="106" s="1"/>
  <c r="D3570" i="106" s="1"/>
  <c r="B5725" i="106"/>
  <c r="D5725" i="106" s="1"/>
  <c r="G109" i="5"/>
  <c r="B6024" i="106" s="1"/>
  <c r="D6024" i="106" s="1"/>
  <c r="F172" i="5"/>
  <c r="B5644" i="106" s="1"/>
  <c r="D5644" i="106" s="1"/>
  <c r="I342" i="29"/>
  <c r="B7222" i="106" s="1"/>
  <c r="D7222" i="106" s="1"/>
  <c r="B3649" i="106"/>
  <c r="D3649" i="106" s="1"/>
  <c r="G367" i="29"/>
  <c r="B3650" i="106" s="1"/>
  <c r="D3650" i="106" s="1"/>
  <c r="C342" i="29"/>
  <c r="B7216" i="106" s="1"/>
  <c r="D7216" i="106" s="1"/>
  <c r="L367" i="29"/>
  <c r="B6191" i="106"/>
  <c r="D6191" i="106" s="1"/>
  <c r="J41" i="3"/>
  <c r="D51" i="36" s="1"/>
  <c r="K350" i="29"/>
  <c r="H76" i="4"/>
  <c r="B3298" i="106" s="1"/>
  <c r="D3298" i="106" s="1"/>
  <c r="I24" i="12"/>
  <c r="K24" i="12"/>
  <c r="B3647" i="106"/>
  <c r="D3647" i="106" s="1"/>
  <c r="B3621" i="106"/>
  <c r="D3621" i="106" s="1"/>
  <c r="L15" i="11"/>
  <c r="B3459" i="106" s="1"/>
  <c r="D3459" i="106" s="1"/>
  <c r="B4268" i="106"/>
  <c r="D4268" i="106" s="1"/>
  <c r="E174" i="29"/>
  <c r="B1309" i="106" s="1"/>
  <c r="D1309" i="106" s="1"/>
  <c r="F131" i="34"/>
  <c r="L5" i="11"/>
  <c r="B2056" i="106" s="1"/>
  <c r="D2056" i="106" s="1"/>
  <c r="F19" i="7"/>
  <c r="B1807" i="106" s="1"/>
  <c r="D1807" i="106" s="1"/>
  <c r="D11" i="7"/>
  <c r="B1768" i="106" s="1"/>
  <c r="D1768" i="106" s="1"/>
  <c r="H4" i="4"/>
  <c r="B2655" i="106" s="1"/>
  <c r="D2655" i="106" s="1"/>
  <c r="B1410" i="106"/>
  <c r="D1410" i="106" s="1"/>
  <c r="G210" i="29"/>
  <c r="E29" i="108"/>
  <c r="K184" i="29"/>
  <c r="F13" i="4" s="1"/>
  <c r="B2596" i="106" s="1"/>
  <c r="D2596" i="106" s="1"/>
  <c r="G29" i="108"/>
  <c r="F111" i="34"/>
  <c r="D7" i="7"/>
  <c r="B1763" i="106" s="1"/>
  <c r="D1763" i="106" s="1"/>
  <c r="B1329" i="106"/>
  <c r="D1329" i="106" s="1"/>
  <c r="F61" i="34"/>
  <c r="E109" i="5"/>
  <c r="E4" i="4" s="1"/>
  <c r="B2630" i="106" s="1"/>
  <c r="D2630" i="106" s="1"/>
  <c r="D109" i="5"/>
  <c r="B6995" i="106"/>
  <c r="D6995" i="106" s="1"/>
  <c r="G30" i="108"/>
  <c r="E30" i="108"/>
  <c r="F26" i="108"/>
  <c r="F41" i="108" s="1"/>
  <c r="G43" i="108" s="1"/>
  <c r="E15" i="145"/>
  <c r="G15" i="145" s="1"/>
  <c r="D26" i="108"/>
  <c r="D41" i="108" s="1"/>
  <c r="E43" i="108" s="1"/>
  <c r="C172" i="5"/>
  <c r="B5214" i="106" s="1"/>
  <c r="D5214" i="106" s="1"/>
  <c r="C109" i="5"/>
  <c r="B5121" i="106" s="1"/>
  <c r="D5121" i="106" s="1"/>
  <c r="L342" i="29"/>
  <c r="L312" i="29"/>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J34" i="8"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B3568" i="106" l="1"/>
  <c r="D3568" i="106" s="1"/>
  <c r="D52" i="36"/>
  <c r="F73" i="34"/>
  <c r="G15" i="4"/>
  <c r="B6032" i="106" s="1"/>
  <c r="D6032" i="106" s="1"/>
  <c r="H275" i="5"/>
  <c r="G4" i="4"/>
  <c r="B2603" i="106" s="1"/>
  <c r="D2603" i="106" s="1"/>
  <c r="B5914" i="106"/>
  <c r="D5914" i="106" s="1"/>
  <c r="B6014" i="106"/>
  <c r="D6014" i="106" s="1"/>
  <c r="D274" i="5"/>
  <c r="D7" i="4" s="1"/>
  <c r="K77" i="4"/>
  <c r="B3587" i="106" s="1"/>
  <c r="D3587" i="106" s="1"/>
  <c r="D7254" i="106"/>
  <c r="I6" i="4"/>
  <c r="B5011" i="106" s="1"/>
  <c r="D5011" i="106" s="1"/>
  <c r="D7255" i="106"/>
  <c r="D7252" i="106"/>
  <c r="H6" i="4"/>
  <c r="B1879" i="106"/>
  <c r="D1879" i="106" s="1"/>
  <c r="H22" i="37"/>
  <c r="B1996" i="106"/>
  <c r="D1996" i="106" s="1"/>
  <c r="I26" i="12"/>
  <c r="B7741" i="106" s="1"/>
  <c r="D7741" i="106" s="1"/>
  <c r="J33" i="8"/>
  <c r="G173" i="5"/>
  <c r="B5770" i="106"/>
  <c r="D5770" i="106" s="1"/>
  <c r="J31" i="8"/>
  <c r="H367" i="29"/>
  <c r="B3660" i="106" s="1"/>
  <c r="D3660" i="106" s="1"/>
  <c r="J37" i="8"/>
  <c r="B3670" i="106"/>
  <c r="D3670" i="106" s="1"/>
  <c r="K352" i="29"/>
  <c r="J35" i="8"/>
  <c r="J32" i="8"/>
  <c r="B7733" i="106"/>
  <c r="D7733" i="106" s="1"/>
  <c r="K26" i="12"/>
  <c r="B7743" i="106" s="1"/>
  <c r="D7743" i="106" s="1"/>
  <c r="L16" i="11"/>
  <c r="B2061" i="106" s="1"/>
  <c r="D2061" i="106" s="1"/>
  <c r="D44" i="36"/>
  <c r="K342" i="29"/>
  <c r="F13" i="34" s="1"/>
  <c r="D19" i="7"/>
  <c r="B1775" i="106" s="1"/>
  <c r="D1775" i="106" s="1"/>
  <c r="B1365" i="106"/>
  <c r="D1365" i="106" s="1"/>
  <c r="F65" i="34"/>
  <c r="B1381" i="106"/>
  <c r="D1381" i="106" s="1"/>
  <c r="F275" i="5"/>
  <c r="B5720" i="106" s="1"/>
  <c r="D5720" i="106" s="1"/>
  <c r="B5527" i="106"/>
  <c r="D5527" i="106" s="1"/>
  <c r="B5356" i="106"/>
  <c r="D5356" i="106" s="1"/>
  <c r="D4" i="4"/>
  <c r="B2564" i="106" s="1"/>
  <c r="D2564" i="106" s="1"/>
  <c r="C114" i="29"/>
  <c r="B757" i="106" s="1"/>
  <c r="D757" i="106" s="1"/>
  <c r="C173" i="5"/>
  <c r="B5223" i="106" s="1"/>
  <c r="D522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275" i="5"/>
  <c r="B5507" i="106"/>
  <c r="D5507" i="106" s="1"/>
  <c r="B7298" i="106"/>
  <c r="B7299" i="106"/>
  <c r="F24" i="37" l="1"/>
  <c r="B1145" i="106"/>
  <c r="D1145" i="106" s="1"/>
  <c r="B7224" i="106"/>
  <c r="D7224" i="106" s="1"/>
  <c r="B2656" i="106"/>
  <c r="D2656" i="106" s="1"/>
  <c r="H8" i="4"/>
  <c r="K13" i="4"/>
  <c r="B3572" i="106" s="1"/>
  <c r="D3572" i="106" s="1"/>
  <c r="B3672" i="106"/>
  <c r="D3672" i="106" s="1"/>
  <c r="J49" i="8"/>
  <c r="K367" i="29"/>
  <c r="B5778" i="106"/>
  <c r="D5778" i="106" s="1"/>
  <c r="G6" i="4"/>
  <c r="B2604" i="106" s="1"/>
  <c r="D2604" i="106" s="1"/>
  <c r="F8" i="4"/>
  <c r="D8" i="14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B2658" i="106"/>
  <c r="D2658" i="106" s="1"/>
  <c r="H10" i="4"/>
  <c r="B4127" i="106" s="1"/>
  <c r="D4127" i="106" s="1"/>
  <c r="B4172" i="106"/>
  <c r="D4172" i="106" s="1"/>
  <c r="N22" i="3"/>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3" i="106" l="1"/>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<sst xmlns="http://schemas.openxmlformats.org/spreadsheetml/2006/main" count="5266" uniqueCount="2176">
  <si>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</si>
  <si>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</si>
  <si>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</si>
  <si>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</si>
  <si>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</si>
  <si>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</si>
  <si>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</si>
  <si>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</si>
  <si>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</si>
  <si>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</si>
  <si>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</si>
  <si>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</si>
  <si>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</si>
  <si>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</si>
  <si>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</si>
  <si>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</si>
  <si>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</si>
  <si>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</si>
  <si>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</si>
  <si>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</si>
  <si>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</si>
  <si>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</si>
  <si>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</si>
  <si>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</si>
  <si>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</si>
  <si>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</si>
  <si>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</si>
  <si>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</si>
  <si>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</si>
  <si>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</si>
  <si>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</si>
  <si>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</si>
  <si>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</si>
  <si>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</si>
  <si>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</si>
  <si>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</si>
  <si>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</si>
  <si>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</si>
  <si>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</si>
  <si>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</si>
  <si>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</si>
  <si>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</si>
  <si>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</si>
  <si>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</si>
  <si>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</si>
  <si>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</si>
  <si>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</si>
  <si>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</si>
  <si>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</si>
  <si>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</si>
  <si>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</si>
  <si>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</si>
  <si>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</si>
  <si>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</si>
  <si>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</si>
  <si>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</si>
  <si>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</si>
  <si>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</si>
  <si>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</si>
  <si>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</si>
  <si>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</si>
  <si>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</si>
  <si>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</si>
  <si>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</si>
  <si>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</si>
  <si>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</si>
  <si>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</si>
  <si>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</si>
  <si>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</si>
  <si>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</si>
  <si>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</si>
  <si>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</si>
  <si>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</si>
  <si>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</si>
  <si>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</si>
  <si>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</si>
  <si>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</si>
  <si>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</si>
  <si>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</si>
  <si>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</si>
  <si>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</si>
  <si>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</si>
  <si>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</si>
  <si>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</si>
  <si>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</si>
  <si>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</si>
  <si>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</si>
  <si>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</si>
  <si>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</si>
  <si>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</si>
  <si>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</si>
  <si>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</si>
  <si>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</si>
  <si>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</si>
  <si>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</si>
  <si>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</si>
  <si>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</si>
  <si>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</si>
  <si>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</si>
  <si>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</si>
  <si>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</si>
  <si>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</si>
  <si>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</si>
  <si>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</si>
  <si>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</si>
  <si>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</si>
  <si>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</si>
  <si>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</si>
  <si>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</si>
  <si>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</si>
  <si>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</si>
  <si>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</si>
  <si>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</si>
  <si>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</si>
  <si>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</si>
  <si>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</si>
  <si>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</si>
  <si>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</si>
  <si>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</si>
  <si>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</si>
  <si>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</si>
  <si>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</si>
  <si>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</si>
  <si>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</si>
  <si>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</si>
  <si>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</si>
  <si>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</si>
  <si>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</si>
  <si>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</si>
  <si>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</si>
  <si>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</si>
  <si>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</si>
  <si>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</si>
  <si>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</si>
  <si>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</si>
  <si>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</si>
  <si>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</si>
  <si>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</si>
  <si>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</si>
  <si>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</si>
  <si>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</si>
  <si>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</si>
  <si>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</si>
  <si>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</si>
  <si>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</si>
  <si>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</si>
  <si>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</si>
  <si>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</si>
  <si>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</si>
  <si>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</si>
  <si>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</si>
  <si>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</si>
  <si>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</si>
  <si>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</si>
  <si>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</si>
  <si>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</si>
  <si>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</si>
  <si>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</si>
  <si>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</si>
  <si>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</si>
  <si>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</si>
  <si>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</si>
  <si>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</si>
  <si>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</si>
  <si>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</si>
  <si>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</si>
  <si>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</si>
  <si>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</si>
  <si>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</si>
  <si>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</si>
  <si>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</si>
  <si>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</si>
  <si>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</si>
  <si>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</si>
  <si>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</si>
  <si>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</si>
  <si>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</si>
  <si>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</si>
  <si>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</si>
  <si>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</si>
  <si>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</si>
  <si>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</si>
  <si>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</si>
  <si>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</si>
  <si>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</si>
  <si>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</si>
  <si>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</si>
  <si>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</si>
  <si>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</si>
  <si>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</si>
  <si>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</si>
  <si>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</si>
  <si>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</si>
  <si>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</si>
  <si>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</si>
  <si>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</si>
  <si>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</si>
  <si>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</si>
  <si>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</si>
  <si>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</si>
  <si>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</si>
  <si>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</si>
  <si>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</si>
  <si>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</si>
  <si>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</si>
  <si>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</si>
  <si>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</si>
  <si>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</si>
  <si>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</si>
  <si>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</si>
  <si>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</si>
  <si>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</si>
  <si>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</si>
  <si>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</si>
  <si>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</si>
  <si>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</si>
  <si>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</si>
  <si>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</si>
  <si>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</si>
  <si>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</si>
  <si>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</si>
  <si>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</si>
  <si>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</si>
  <si>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</si>
  <si>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</si>
  <si>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</si>
  <si>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</si>
  <si>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</si>
  <si>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</si>
  <si>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</si>
  <si>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</si>
  <si>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</si>
  <si>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</si>
  <si>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</si>
  <si>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</si>
  <si>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</si>
  <si>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</si>
  <si>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</si>
  <si>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</si>
  <si>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</si>
  <si>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</si>
  <si>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</si>
  <si>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</si>
  <si>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</si>
  <si>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</si>
  <si>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</si>
  <si>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</si>
  <si>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</si>
  <si>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</si>
  <si>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</si>
  <si>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</si>
  <si>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</si>
  <si>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</si>
  <si>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</si>
  <si>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</si>
  <si>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</si>
  <si>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</si>
  <si>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</si>
  <si>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</si>
  <si>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</si>
  <si>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</si>
  <si>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</si>
  <si>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</si>
  <si>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</si>
  <si>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</si>
  <si>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</si>
  <si>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</si>
  <si>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</si>
  <si>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</si>
  <si>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</si>
  <si>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</si>
  <si>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</si>
  <si>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</si>
  <si>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</si>
  <si>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</si>
  <si>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</si>
  <si>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</si>
  <si>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</si>
  <si>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</si>
  <si>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</si>
  <si>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</si>
  <si>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</si>
  <si>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</si>
  <si>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</si>
  <si>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</si>
  <si>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</si>
  <si>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</si>
  <si>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</si>
  <si>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</si>
  <si>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</si>
  <si>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</si>
  <si>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</si>
  <si>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</si>
  <si>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</si>
  <si>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</si>
  <si>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</si>
  <si>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</si>
  <si>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</si>
  <si>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</si>
  <si>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</si>
  <si>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</si>
  <si>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</si>
  <si>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</si>
  <si>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</si>
  <si>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</si>
  <si>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</si>
  <si>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</si>
  <si>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</si>
  <si>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</si>
  <si>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</si>
  <si>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</si>
  <si>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</si>
  <si>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</si>
  <si>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</si>
  <si>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</si>
  <si>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</si>
  <si>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</si>
  <si>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</si>
  <si>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</si>
  <si>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</si>
  <si>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</si>
  <si>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</si>
  <si>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</si>
  <si>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</si>
  <si>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</si>
  <si>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</si>
  <si>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</si>
  <si>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</si>
  <si>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</si>
  <si>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</si>
  <si>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</si>
  <si>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</si>
  <si>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</si>
  <si>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</si>
  <si>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</si>
  <si>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</si>
  <si>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</si>
  <si>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</si>
  <si>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</si>
  <si>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</si>
  <si>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</si>
  <si>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</si>
  <si>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</si>
  <si>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</si>
  <si>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</si>
  <si>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</si>
  <si>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</si>
  <si>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</si>
  <si>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</si>
  <si>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</si>
  <si>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</si>
  <si>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</si>
  <si>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</si>
  <si>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</si>
  <si>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</si>
  <si>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</si>
  <si>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</si>
  <si>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</si>
  <si>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</si>
  <si>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</si>
  <si>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</si>
  <si>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</si>
  <si>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</si>
  <si>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</si>
  <si>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</si>
  <si>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</si>
  <si>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</si>
  <si>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</si>
  <si>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</si>
  <si>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</si>
  <si>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</si>
  <si>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</si>
  <si>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</si>
  <si>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</si>
  <si>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</si>
  <si>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</si>
  <si>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</si>
  <si>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</si>
  <si>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</si>
  <si>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</si>
  <si>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</si>
  <si>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</si>
  <si>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</si>
  <si>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</si>
  <si>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</si>
  <si>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</si>
  <si>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</si>
  <si>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</si>
  <si>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</si>
  <si>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</si>
  <si>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</si>
  <si>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</si>
  <si>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</si>
  <si>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</si>
  <si>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</si>
  <si>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</si>
  <si>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</si>
  <si>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</si>
  <si>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</si>
  <si>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</si>
  <si>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</si>
  <si>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</si>
  <si>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</si>
  <si>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</si>
  <si>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</si>
  <si>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</si>
  <si>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</si>
  <si>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</si>
  <si>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</si>
  <si>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</si>
  <si>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</si>
  <si>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</si>
  <si>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</si>
  <si>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</si>
  <si>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</si>
  <si>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</si>
  <si>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</si>
  <si>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</si>
  <si>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</si>
  <si>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</si>
  <si>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</si>
  <si>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</si>
  <si>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</si>
  <si>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</si>
  <si>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</si>
  <si>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</si>
  <si>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</si>
  <si>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</si>
  <si>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</si>
  <si>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</si>
  <si>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</si>
  <si>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</si>
  <si>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</si>
  <si>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</si>
  <si>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</si>
  <si>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</si>
  <si>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</si>
  <si>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</si>
  <si>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</si>
  <si>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</si>
  <si>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</si>
  <si>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</si>
  <si>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</si>
  <si>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</si>
  <si>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</si>
  <si>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</si>
  <si>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</si>
  <si>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</si>
  <si>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</si>
  <si>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</si>
  <si>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</si>
  <si>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</si>
  <si>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</si>
  <si>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</si>
  <si>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</si>
  <si>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</si>
  <si>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</si>
  <si>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</si>
  <si>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</si>
  <si>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</si>
  <si>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</si>
  <si>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</si>
  <si>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</si>
  <si>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</si>
  <si>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</si>
  <si>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</si>
  <si>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</si>
  <si>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</si>
  <si>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</si>
  <si>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</si>
  <si>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</si>
  <si>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</si>
  <si>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</si>
  <si>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</si>
  <si>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</si>
  <si>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</si>
  <si>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</si>
  <si>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</si>
  <si>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</si>
  <si>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</si>
  <si>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</si>
  <si>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</si>
  <si>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</si>
  <si>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</si>
  <si>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</si>
  <si>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</si>
  <si>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</si>
  <si>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</si>
  <si>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</si>
  <si>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</si>
  <si>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</si>
  <si>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</si>
  <si>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</si>
  <si>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</si>
  <si>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</si>
  <si>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</si>
  <si>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</si>
  <si>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</si>
  <si>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</si>
  <si>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</si>
  <si>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</si>
  <si>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</si>
  <si>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</si>
  <si>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</si>
  <si>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</si>
  <si>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</si>
  <si>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</si>
  <si>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</si>
  <si>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</si>
  <si>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</si>
  <si>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</si>
  <si>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</si>
  <si>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</si>
  <si>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</si>
  <si>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</si>
  <si>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</si>
  <si>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</si>
  <si>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</si>
  <si>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</si>
  <si>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</si>
  <si>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</si>
  <si>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</si>
  <si>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</si>
  <si>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</si>
  <si>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</si>
  <si>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</si>
  <si>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</si>
  <si>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</si>
  <si>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</si>
  <si>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</si>
  <si>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</si>
  <si>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</si>
  <si>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</si>
  <si>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</si>
  <si>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</si>
  <si>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</si>
  <si>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</si>
  <si>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</si>
  <si>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</si>
  <si>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</si>
  <si>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</si>
  <si>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</si>
  <si>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</si>
  <si>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</si>
  <si>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</si>
  <si>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</si>
  <si>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</si>
  <si>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</si>
  <si>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</si>
  <si>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</si>
  <si>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</si>
  <si>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</si>
  <si>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</si>
  <si>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</si>
  <si>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</si>
  <si>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</si>
  <si>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</si>
  <si>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</si>
  <si>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</si>
  <si>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</si>
  <si>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</si>
  <si>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</si>
  <si>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</si>
  <si>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</si>
  <si>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</si>
  <si>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</si>
  <si>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</si>
  <si>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</si>
  <si>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</si>
  <si>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</si>
  <si>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</si>
  <si>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</si>
  <si>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</si>
  <si>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</si>
  <si>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</si>
  <si>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</si>
  <si>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</si>
  <si>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</si>
  <si>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</si>
  <si>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</si>
  <si>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</si>
  <si>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</si>
  <si>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</si>
  <si>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</si>
  <si>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</si>
  <si>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</si>
  <si>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</si>
  <si>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</si>
  <si>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</si>
  <si>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</si>
  <si>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</si>
  <si>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</si>
  <si>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</si>
  <si>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</si>
  <si>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</si>
  <si>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</si>
  <si>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</si>
  <si>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</si>
  <si>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</si>
  <si>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</si>
  <si>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</si>
  <si>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</si>
  <si>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</si>
  <si>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</si>
  <si>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</si>
  <si>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</si>
  <si>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</si>
  <si>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</si>
  <si>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</si>
  <si>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</si>
  <si>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</si>
  <si>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</si>
  <si>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</si>
  <si>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</si>
  <si>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</si>
  <si>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</si>
  <si>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</si>
  <si>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</si>
  <si>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</si>
  <si>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</si>
  <si>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</si>
  <si>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</si>
  <si>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</si>
  <si>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</si>
  <si>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</si>
  <si>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</si>
  <si>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</si>
  <si>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</si>
  <si>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</si>
  <si>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</si>
  <si>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</si>
  <si>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</si>
  <si>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</si>
  <si>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</si>
  <si>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</si>
  <si>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</si>
  <si>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</si>
  <si>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</si>
  <si>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</si>
  <si>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</si>
  <si>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</si>
  <si>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</si>
  <si>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</si>
  <si>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</si>
  <si>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</si>
  <si>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</si>
  <si>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</si>
  <si>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</si>
  <si>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</si>
  <si>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</si>
  <si>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</si>
  <si>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</si>
  <si>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</si>
  <si>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</si>
  <si>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</si>
  <si>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</si>
  <si>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</si>
  <si>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</si>
  <si>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</si>
  <si>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</si>
  <si>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</si>
  <si>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</si>
  <si>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</si>
  <si>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</si>
  <si>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</si>
  <si>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</si>
  <si>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</si>
  <si>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</si>
  <si>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</si>
  <si>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</si>
  <si>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</si>
  <si>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</si>
  <si>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</si>
  <si>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</si>
  <si>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</si>
  <si>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</si>
  <si>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</si>
  <si>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</si>
  <si>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</si>
  <si>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</si>
  <si>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</si>
  <si>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</si>
  <si>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</si>
  <si>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</si>
  <si>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</si>
  <si>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</si>
  <si>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</si>
  <si>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</si>
  <si>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</si>
  <si>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</si>
  <si>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</si>
  <si>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</si>
  <si>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</si>
  <si>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</si>
  <si>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</si>
  <si>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</si>
  <si>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</si>
  <si>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</si>
  <si>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</si>
  <si>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</si>
  <si>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</si>
  <si>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</si>
  <si>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</si>
  <si>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</si>
  <si>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</si>
  <si>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</si>
  <si>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</si>
  <si>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</si>
  <si>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</si>
  <si>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</si>
  <si>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</si>
  <si>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</si>
  <si>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</si>
  <si>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</si>
  <si>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</si>
  <si>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</si>
  <si>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</si>
  <si>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</si>
  <si>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</si>
  <si>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</si>
  <si>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</si>
  <si>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</si>
  <si>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</si>
  <si>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</si>
  <si>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</si>
  <si>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</si>
  <si>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</si>
  <si>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</si>
  <si>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</si>
  <si>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</si>
  <si>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</si>
  <si>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</si>
  <si>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</si>
  <si>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</si>
  <si>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</si>
  <si>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</si>
  <si>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</si>
  <si>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</si>
  <si>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</si>
  <si>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</si>
  <si>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</si>
  <si>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</si>
  <si>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</si>
  <si>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</si>
  <si>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</si>
  <si>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</si>
  <si>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</si>
  <si>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</si>
  <si>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</si>
  <si>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</si>
  <si>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</si>
  <si>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</si>
  <si>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</si>
  <si>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</si>
  <si>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</si>
  <si>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</si>
  <si>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</si>
  <si>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</si>
  <si>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</si>
  <si>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</si>
  <si>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</si>
  <si>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</si>
  <si>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</si>
  <si>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</si>
  <si>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</si>
  <si>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</si>
  <si>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</si>
  <si>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</si>
  <si>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</si>
  <si>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</si>
  <si>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</si>
  <si>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</si>
  <si>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</si>
  <si>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</si>
  <si>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</si>
  <si>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</si>
  <si>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</si>
  <si>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</si>
  <si>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</si>
  <si>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</si>
  <si>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</si>
  <si>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</si>
  <si>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</si>
  <si>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</si>
  <si>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</si>
  <si>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</si>
  <si>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</si>
  <si>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</si>
  <si>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</si>
  <si>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</si>
  <si>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</si>
  <si>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</si>
  <si>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</si>
  <si>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</si>
  <si>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</si>
  <si>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</si>
  <si>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</si>
  <si>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</si>
  <si>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</si>
  <si>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</si>
  <si>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</si>
  <si>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</si>
  <si>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</si>
  <si>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</si>
  <si>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</si>
  <si>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</si>
  <si>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</si>
  <si>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</si>
  <si>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</si>
  <si>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</si>
  <si>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</si>
  <si>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</si>
  <si>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</si>
  <si>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</si>
  <si>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</si>
  <si>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</si>
  <si>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</si>
  <si>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</si>
  <si>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</si>
  <si>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</si>
  <si>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</si>
  <si>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</si>
  <si>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</si>
  <si>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</si>
  <si>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</si>
  <si>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</si>
  <si>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</si>
  <si>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</si>
  <si>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</si>
  <si>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</si>
  <si>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</si>
  <si>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</si>
  <si>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</si>
  <si>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</si>
  <si>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</si>
  <si>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</si>
  <si>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</si>
  <si>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</si>
  <si>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</si>
  <si>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</si>
  <si>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</si>
  <si>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</si>
  <si>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</si>
  <si>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</si>
  <si>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</si>
  <si>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</si>
  <si>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</si>
  <si>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</si>
  <si>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</si>
  <si>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</si>
  <si>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</si>
  <si>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</si>
  <si>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</si>
  <si>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</si>
  <si>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</si>
  <si>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</si>
  <si>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</si>
  <si>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</si>
  <si>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</si>
  <si>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</si>
  <si>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</si>
  <si>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</si>
  <si>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</si>
  <si>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</si>
  <si>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</si>
  <si>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</si>
  <si>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</si>
  <si>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</si>
  <si>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</si>
  <si>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</si>
  <si>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</si>
  <si>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</si>
  <si>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</si>
  <si>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</si>
  <si>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</si>
  <si>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</si>
  <si>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</si>
  <si>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</si>
  <si>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</si>
  <si>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</si>
  <si>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</si>
  <si>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</si>
  <si>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</si>
  <si>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</si>
  <si>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</si>
  <si>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</si>
  <si>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</si>
  <si>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</si>
  <si>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</si>
  <si>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</si>
  <si>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</si>
  <si>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</si>
  <si>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</si>
  <si>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</si>
  <si>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</si>
  <si>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</si>
  <si>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</si>
  <si>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</si>
  <si>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</si>
  <si>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</si>
  <si>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</si>
  <si>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</si>
  <si>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</si>
  <si>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</si>
  <si>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</si>
  <si>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</si>
  <si>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</si>
  <si>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</si>
  <si>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</si>
  <si>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</si>
  <si>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</si>
  <si>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</si>
  <si>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</si>
  <si>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</si>
  <si>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</si>
  <si>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</si>
  <si>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</si>
  <si>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</si>
  <si>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</si>
  <si>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</si>
  <si>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</si>
  <si>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</si>
  <si>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</si>
  <si>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</si>
  <si>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</si>
  <si>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</si>
  <si>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</si>
  <si>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</si>
  <si>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</si>
  <si>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</si>
  <si>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</si>
  <si>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</si>
  <si>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</si>
  <si>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</si>
  <si>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</si>
  <si>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</si>
  <si>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</si>
  <si>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</si>
  <si>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</si>
  <si>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</si>
  <si>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</si>
  <si>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</si>
  <si>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</si>
  <si>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</si>
  <si>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</si>
  <si>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</si>
  <si>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</si>
  <si>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</si>
  <si>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</si>
  <si>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</si>
  <si>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</si>
  <si>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</si>
  <si>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</si>
  <si>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</si>
  <si>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</si>
  <si>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</si>
  <si>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</si>
  <si>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</si>
  <si>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</si>
  <si>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</si>
  <si>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</si>
  <si>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</si>
  <si>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</si>
  <si>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</si>
  <si>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</si>
  <si>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</si>
  <si>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</si>
  <si>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</si>
  <si>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</si>
  <si>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</si>
  <si>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</si>
  <si>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</si>
  <si>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</si>
  <si>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</si>
  <si>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</si>
  <si>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</si>
  <si>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</si>
  <si>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</si>
  <si>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</si>
  <si>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</si>
  <si>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</si>
  <si>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</si>
  <si>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</si>
  <si>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</si>
  <si>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</si>
  <si>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</si>
  <si>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</si>
  <si>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</si>
  <si>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</si>
  <si>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</si>
  <si>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</si>
  <si>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</si>
  <si>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</si>
  <si>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</si>
  <si>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</si>
  <si>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</si>
  <si>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</si>
  <si>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</si>
  <si>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</si>
  <si>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</si>
  <si>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</si>
  <si>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</si>
  <si>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</si>
  <si>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</si>
  <si>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</si>
  <si>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</si>
  <si>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</si>
  <si>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</si>
  <si>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</si>
  <si>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</si>
  <si>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</si>
  <si>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</si>
  <si>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</si>
  <si>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</si>
  <si>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</si>
  <si>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</si>
  <si>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</si>
  <si>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</si>
  <si>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</si>
  <si>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</si>
  <si>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</si>
  <si>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</si>
  <si>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</si>
  <si>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</si>
  <si>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</si>
  <si>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</si>
  <si>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</si>
  <si>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</si>
  <si>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</si>
  <si>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</si>
  <si>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</si>
  <si>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</si>
  <si>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</si>
  <si>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</si>
  <si>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</si>
  <si>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</si>
  <si>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</si>
  <si>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</si>
  <si>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</si>
  <si>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</si>
  <si>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</si>
  <si>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</si>
  <si>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</si>
  <si>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</si>
  <si>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</si>
  <si>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</si>
  <si>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</si>
  <si>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</si>
  <si>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</si>
  <si>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</si>
  <si>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</si>
  <si>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</si>
  <si>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</si>
  <si>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</si>
  <si>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</si>
  <si>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</si>
  <si>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</si>
  <si>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</si>
  <si>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</si>
  <si>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</si>
  <si>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</si>
  <si>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</si>
  <si>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</si>
  <si>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</si>
  <si>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</si>
  <si>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</si>
  <si>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</si>
  <si>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</si>
  <si>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</si>
  <si>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</si>
  <si>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</si>
  <si>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</si>
  <si>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</si>
  <si>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</si>
  <si>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</si>
  <si>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</si>
  <si>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</si>
  <si>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</si>
  <si>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</si>
  <si>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</si>
  <si>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</si>
  <si>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</si>
  <si>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</si>
  <si>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</si>
  <si>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</si>
  <si>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</si>
  <si>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</si>
  <si>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</si>
  <si>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</si>
  <si>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</si>
  <si>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</si>
  <si>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</si>
  <si>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</si>
  <si>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</si>
  <si>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</si>
  <si>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</si>
  <si>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</si>
  <si>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</si>
  <si>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</si>
  <si>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</si>
  <si>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</si>
  <si>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</si>
  <si>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</si>
  <si>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</si>
  <si>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</si>
  <si>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</si>
  <si>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</si>
  <si>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</si>
  <si>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</si>
  <si>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</si>
  <si>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</si>
  <si>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</si>
  <si>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</si>
  <si>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</si>
  <si>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</si>
  <si>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</si>
  <si>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</si>
  <si>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</si>
  <si>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</si>
  <si>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</si>
  <si>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</si>
  <si>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</si>
  <si>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</si>
  <si>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</si>
  <si>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</si>
  <si>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</si>
  <si>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</si>
  <si>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</si>
  <si>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</si>
  <si>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</si>
  <si>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</si>
  <si>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</si>
  <si>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</si>
  <si>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</si>
  <si>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</si>
  <si>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</si>
  <si>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</si>
  <si>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</si>
  <si>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</si>
  <si>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</si>
  <si>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</si>
  <si>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</si>
  <si>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</si>
  <si>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</si>
  <si>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</si>
  <si>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</si>
  <si>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</si>
  <si>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</si>
  <si>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</si>
  <si>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</si>
  <si>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</si>
  <si>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</si>
  <si>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</si>
  <si>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</si>
  <si>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</si>
  <si>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</si>
  <si>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</si>
  <si>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</si>
  <si>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</si>
  <si>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</si>
  <si>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</si>
  <si>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</si>
  <si>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</si>
  <si>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</si>
  <si>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</si>
  <si>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</si>
  <si>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</si>
  <si>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</si>
  <si>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</si>
  <si>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</si>
  <si>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</si>
  <si>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</si>
  <si>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</si>
  <si>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</si>
  <si>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</si>
  <si>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</si>
  <si>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</si>
  <si>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</si>
  <si>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</si>
  <si>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</si>
  <si>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</si>
  <si>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</si>
  <si>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</si>
  <si>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</si>
  <si>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</si>
  <si>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</si>
  <si>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</si>
  <si>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</si>
  <si>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</si>
  <si>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</si>
  <si>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</si>
  <si>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</si>
  <si>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</si>
  <si>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</si>
  <si>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</si>
  <si>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</si>
  <si>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</si>
  <si>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</si>
  <si>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</si>
  <si>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</si>
  <si>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</si>
  <si>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</si>
  <si>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</si>
  <si>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</si>
  <si>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</si>
  <si>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</si>
  <si>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</si>
  <si>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</si>
  <si>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</si>
  <si>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</si>
  <si>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</si>
  <si>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</si>
  <si>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</si>
  <si>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</si>
  <si>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</si>
  <si>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</si>
  <si>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</si>
  <si>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</si>
  <si>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</si>
  <si>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</si>
  <si>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</si>
  <si>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</si>
  <si>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</si>
  <si>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</si>
  <si>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</si>
  <si>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</si>
  <si>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</si>
  <si>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</si>
  <si>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</si>
  <si>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</si>
  <si>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</si>
  <si>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</si>
  <si>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</si>
  <si>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</si>
  <si>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</si>
  <si>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</si>
  <si>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</si>
  <si>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</si>
  <si>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</si>
  <si>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</si>
  <si>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</si>
  <si>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</si>
  <si>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</si>
  <si>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</si>
  <si>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</si>
  <si>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</si>
  <si>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</si>
  <si>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</si>
  <si>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</si>
  <si>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</si>
  <si>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</si>
  <si>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</si>
  <si>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</si>
  <si>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</si>
  <si>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</si>
  <si>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</si>
  <si>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</si>
  <si>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</si>
  <si>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</si>
  <si>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</si>
  <si>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</si>
  <si>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</si>
  <si>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</si>
  <si>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</si>
  <si>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</si>
  <si>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</si>
  <si>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</si>
  <si>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</si>
  <si>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</si>
  <si>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</si>
  <si>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</si>
  <si>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</si>
  <si>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</si>
  <si>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</si>
  <si>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</si>
  <si>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</si>
  <si>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</si>
  <si>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</si>
  <si>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</si>
  <si>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</si>
  <si>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</si>
  <si>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</si>
  <si>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</si>
  <si>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</si>
  <si>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</si>
  <si>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</si>
  <si>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</si>
  <si>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</si>
  <si>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</si>
  <si>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</si>
  <si>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</si>
  <si>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</si>
  <si>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</si>
  <si>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</si>
  <si>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</si>
  <si>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</si>
  <si>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</si>
  <si>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</si>
  <si>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</si>
  <si>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</si>
  <si>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</si>
  <si>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</si>
  <si>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</si>
  <si>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</si>
  <si>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</si>
  <si>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</si>
  <si>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</si>
  <si>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</si>
  <si>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</si>
  <si>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</si>
  <si>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</si>
  <si>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</si>
  <si>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</si>
  <si>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</si>
  <si>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</si>
  <si>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</si>
  <si>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</si>
  <si>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</si>
  <si>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</si>
  <si>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</si>
  <si>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</si>
  <si>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</si>
  <si>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</si>
  <si>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</si>
  <si>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</si>
  <si>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</si>
  <si>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</si>
  <si>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</si>
  <si>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</si>
  <si>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</si>
  <si>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</si>
  <si>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</si>
  <si>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</si>
  <si>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</si>
  <si>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</si>
  <si>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</si>
  <si>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</si>
  <si>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</si>
  <si>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</si>
  <si>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</si>
  <si>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</si>
  <si>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</si>
  <si>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</si>
  <si>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</si>
  <si>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</si>
  <si>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</si>
  <si>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</si>
  <si>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</si>
  <si>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</si>
  <si>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</si>
  <si>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</si>
  <si>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</si>
  <si>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</si>
  <si>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</si>
  <si>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</si>
  <si>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</si>
  <si>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</si>
  <si>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</si>
  <si>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</si>
  <si>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</si>
  <si>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</si>
  <si>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</si>
  <si>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</si>
  <si>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</si>
  <si>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</si>
  <si>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</si>
  <si>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</si>
  <si>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</si>
  <si>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</si>
  <si>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</si>
  <si>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</si>
  <si>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</si>
  <si>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</si>
  <si>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</si>
  <si>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</si>
  <si>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</si>
  <si>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</si>
  <si>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</si>
  <si>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</si>
  <si>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</si>
  <si>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</si>
  <si>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</si>
  <si>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</si>
  <si>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</si>
  <si>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</si>
  <si>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</si>
  <si>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</si>
  <si>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</si>
  <si>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</si>
  <si>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</si>
  <si>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</si>
  <si>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</si>
  <si>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</si>
  <si>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</si>
  <si>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</si>
  <si>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</si>
  <si>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</si>
  <si>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</si>
  <si>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</si>
  <si>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</si>
  <si>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</si>
  <si>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</si>
  <si>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</si>
  <si>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</si>
  <si>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</si>
  <si>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</si>
  <si>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</si>
  <si>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</si>
  <si>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</si>
  <si>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</si>
  <si>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</si>
  <si>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</si>
  <si>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</si>
  <si>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</si>
  <si>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</si>
  <si>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</si>
  <si>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</si>
  <si>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</si>
  <si>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</si>
  <si>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</si>
  <si>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</si>
  <si>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</si>
  <si>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</si>
  <si>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</si>
  <si>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</si>
  <si>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</si>
  <si>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</si>
  <si>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</si>
  <si>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</si>
  <si>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</si>
  <si>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</si>
  <si>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</si>
  <si>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</si>
  <si>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</si>
  <si>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</si>
  <si>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</si>
  <si>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</si>
  <si>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</si>
  <si>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</si>
  <si>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</si>
  <si>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</si>
  <si>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</si>
  <si>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</si>
  <si>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</si>
  <si>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</si>
  <si>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</si>
  <si>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</si>
  <si>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</si>
  <si>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</si>
  <si>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</si>
  <si>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</si>
  <si>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</si>
  <si>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</si>
  <si>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</si>
  <si>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</si>
  <si>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</si>
  <si>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</si>
  <si>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</si>
  <si>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</si>
  <si>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</si>
  <si>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</si>
  <si>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</si>
  <si>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</si>
  <si>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</si>
  <si>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</si>
  <si>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</si>
  <si>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</si>
  <si>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</si>
  <si>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</si>
  <si>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</si>
  <si>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</si>
  <si>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</si>
  <si>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</si>
  <si>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</si>
  <si>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</si>
  <si>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</si>
  <si>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</si>
  <si>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</si>
  <si>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</si>
  <si>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</si>
  <si>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</si>
  <si>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</si>
  <si>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</si>
  <si>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</si>
  <si>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</si>
  <si>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</si>
  <si>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</si>
  <si>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</si>
  <si>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</si>
  <si>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</si>
  <si>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</si>
  <si>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</si>
  <si>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</si>
  <si>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</si>
  <si>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</si>
  <si>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</si>
  <si>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</si>
  <si>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</si>
  <si>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</si>
  <si>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</si>
  <si>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</si>
  <si>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</si>
  <si>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</si>
  <si>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</si>
  <si>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</si>
  <si>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</si>
  <si>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</si>
  <si>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</si>
  <si>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</si>
  <si>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</si>
  <si>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</si>
  <si>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</si>
  <si>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</si>
  <si>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</si>
  <si>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</si>
  <si>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</si>
  <si>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</si>
  <si>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</si>
  <si>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</si>
  <si>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</si>
  <si>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</si>
  <si>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</si>
  <si>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</si>
  <si>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</si>
  <si>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</si>
  <si>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</si>
  <si>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</si>
  <si>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</si>
  <si>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</si>
  <si>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</si>
  <si>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</si>
  <si>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</si>
  <si>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</si>
  <si>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</si>
  <si>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</si>
  <si>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</si>
  <si>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</si>
  <si>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</si>
  <si>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</si>
  <si>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</si>
  <si>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</si>
  <si>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</si>
  <si>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</si>
  <si>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</si>
  <si>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</si>
  <si>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</si>
  <si>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</si>
  <si>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</si>
  <si>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</si>
  <si>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</si>
  <si>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</si>
  <si>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</si>
  <si>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</si>
  <si>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</si>
  <si>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</si>
  <si>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</si>
  <si>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</si>
  <si>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</si>
  <si>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</si>
  <si>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</si>
  <si>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</si>
  <si>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</si>
  <si>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</si>
  <si>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</si>
  <si>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</si>
  <si>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</si>
  <si>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</si>
  <si>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</si>
  <si>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</si>
  <si>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</si>
  <si>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</si>
  <si>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</si>
  <si>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</si>
  <si>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</si>
  <si>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</si>
  <si>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</si>
  <si>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</si>
  <si>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</si>
  <si>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</si>
  <si>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</si>
  <si>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</si>
  <si>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</si>
  <si>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</si>
  <si>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</si>
  <si>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</si>
  <si>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</si>
  <si>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</si>
  <si>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</si>
  <si>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</si>
  <si>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</si>
  <si>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</si>
  <si>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</si>
  <si>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</si>
  <si>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</si>
  <si>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</si>
  <si>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</si>
  <si>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</si>
  <si>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</si>
  <si>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</si>
  <si>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</si>
  <si>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</si>
  <si>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</si>
  <si>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</si>
  <si>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</si>
  <si>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</si>
  <si>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</si>
  <si>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</si>
  <si>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</si>
  <si>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</si>
  <si>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</si>
  <si>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</si>
  <si>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</si>
  <si>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</si>
  <si>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</si>
  <si>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</si>
  <si>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</si>
  <si>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</si>
  <si>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</si>
  <si>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</si>
  <si>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</si>
  <si>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</si>
  <si>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</si>
  <si>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</si>
  <si>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</si>
  <si>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</si>
  <si>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</si>
  <si>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</si>
  <si>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</si>
  <si>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</si>
  <si>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</si>
  <si>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</si>
  <si>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</si>
  <si>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</si>
  <si>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</si>
  <si>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</si>
  <si>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</si>
  <si>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</si>
  <si>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</si>
  <si>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</si>
  <si>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</si>
  <si>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</si>
  <si>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</si>
  <si>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</si>
  <si>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</si>
  <si>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</si>
  <si>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</si>
  <si>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</si>
  <si>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</si>
  <si>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</si>
  <si>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</si>
  <si>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</si>
  <si>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</si>
  <si>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</si>
  <si>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</si>
  <si>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</si>
  <si>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</si>
  <si>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</si>
  <si>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</si>
  <si>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</si>
  <si>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</si>
  <si>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</si>
  <si>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</si>
  <si>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</si>
  <si>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</si>
  <si>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</si>
  <si>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</si>
  <si>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</si>
  <si>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</si>
  <si>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</si>
  <si>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</si>
  <si>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</si>
  <si>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</si>
  <si>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</si>
  <si>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</si>
  <si>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</si>
  <si>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</si>
  <si>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</si>
  <si>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</si>
  <si>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</si>
  <si>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</si>
  <si>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</si>
  <si>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</si>
  <si>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</si>
  <si>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</si>
  <si>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</si>
  <si>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</si>
  <si>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</si>
  <si>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</si>
  <si>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</si>
  <si>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</si>
  <si>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</si>
  <si>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</si>
  <si>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</si>
  <si>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</si>
  <si>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</si>
  <si>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</si>
  <si>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</si>
  <si>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</si>
  <si>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</si>
  <si>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</si>
  <si>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</si>
  <si>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</si>
  <si>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</si>
  <si>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</si>
  <si>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</si>
  <si>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</si>
  <si>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</si>
  <si>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</si>
  <si>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</si>
  <si>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</si>
  <si>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</si>
  <si>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</si>
  <si>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</si>
  <si>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</si>
  <si>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</si>
  <si>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</si>
  <si>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</si>
  <si>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</si>
  <si>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</si>
  <si>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</si>
  <si>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</si>
  <si>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</si>
  <si>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</si>
  <si>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</si>
  <si>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</si>
  <si>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</si>
  <si>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</si>
  <si>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</si>
  <si>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</si>
  <si>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</si>
  <si>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</si>
  <si>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</si>
  <si>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</si>
  <si>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</si>
  <si>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</si>
  <si>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</si>
  <si>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</si>
  <si>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</si>
  <si>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</si>
  <si>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</si>
  <si>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</si>
  <si>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</si>
  <si>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</si>
  <si>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</si>
  <si>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</si>
  <si>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</si>
  <si>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</si>
  <si>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</si>
  <si>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</si>
  <si>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</si>
  <si>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</si>
  <si>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</si>
  <si>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</si>
  <si>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</si>
  <si>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</si>
  <si>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</si>
  <si>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</si>
  <si>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</si>
  <si>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</si>
  <si>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</si>
  <si>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</si>
  <si>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</si>
  <si>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</si>
  <si>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</si>
  <si>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</si>
  <si>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</si>
  <si>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</si>
  <si>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</si>
  <si>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</si>
  <si>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</si>
  <si>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</si>
  <si>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</si>
  <si>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</si>
  <si>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</si>
  <si>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</si>
  <si>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</si>
  <si>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</si>
  <si>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</si>
  <si>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</si>
  <si>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</si>
  <si>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</si>
  <si>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</si>
  <si>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</si>
  <si>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</si>
  <si>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</si>
  <si>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</si>
  <si>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</si>
  <si>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</si>
  <si>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</si>
  <si>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</si>
  <si>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</si>
  <si>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</si>
  <si>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</si>
  <si>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</si>
  <si>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</si>
  <si>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</si>
  <si>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</si>
  <si>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</si>
  <si>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</si>
  <si>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</si>
  <si>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</si>
  <si>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</si>
  <si>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</si>
  <si>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</si>
  <si>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</si>
  <si>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</si>
  <si>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</si>
  <si>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</si>
  <si>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</si>
  <si>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</si>
  <si>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</si>
  <si>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</si>
  <si>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</si>
  <si>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</si>
  <si>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</si>
  <si>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</si>
  <si>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</si>
  <si>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</si>
  <si>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</si>
  <si>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</si>
  <si>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</si>
  <si>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</si>
  <si>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</si>
  <si>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</si>
  <si>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</si>
  <si>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</si>
  <si>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</si>
  <si>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</si>
  <si>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</si>
  <si>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</si>
  <si>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</si>
  <si>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</si>
  <si>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</si>
  <si>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</si>
  <si>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</si>
  <si>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</si>
  <si>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</si>
  <si>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</si>
  <si>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</si>
  <si>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</si>
  <si>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</si>
  <si>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</si>
  <si>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</si>
  <si>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</si>
  <si>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</si>
  <si>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</si>
  <si>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</si>
  <si>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</si>
  <si>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</si>
  <si>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</si>
  <si>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</si>
  <si>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</si>
  <si>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</si>
  <si>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</si>
  <si>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</si>
  <si>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</si>
  <si>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</si>
  <si>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</si>
  <si>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</si>
  <si>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</si>
  <si>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</si>
  <si>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</si>
  <si>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</si>
  <si>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</si>
  <si>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</si>
  <si>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</si>
  <si>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</si>
  <si>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</si>
  <si>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</si>
  <si>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</si>
  <si>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</si>
  <si>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</si>
  <si>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</si>
  <si>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</si>
  <si>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</si>
  <si>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</si>
  <si>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</si>
  <si>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</si>
  <si>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</si>
  <si>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</si>
  <si>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</si>
  <si>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</si>
  <si>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</si>
  <si>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</si>
  <si>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</si>
  <si>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</si>
  <si>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</si>
  <si>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</si>
  <si>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</si>
  <si>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</si>
  <si>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</si>
  <si>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</si>
  <si>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</si>
  <si>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</si>
  <si>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</si>
  <si>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</si>
  <si>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</si>
  <si>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</si>
  <si>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</si>
  <si>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</si>
  <si>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</si>
  <si>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</si>
  <si>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</si>
  <si>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</si>
  <si>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</si>
  <si>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</si>
  <si>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</si>
  <si>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</si>
  <si>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</si>
  <si>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</si>
  <si>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</si>
  <si>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</si>
  <si>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</si>
  <si>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</si>
  <si>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</si>
  <si>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</si>
  <si>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</si>
  <si>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</si>
  <si>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</si>
  <si>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</si>
  <si>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</si>
  <si>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</si>
  <si>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</si>
  <si>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</si>
  <si>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</si>
  <si>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</si>
  <si>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</si>
  <si>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</si>
  <si>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</si>
  <si>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</si>
  <si>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</si>
  <si>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</si>
  <si>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</si>
  <si>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</si>
  <si>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</si>
  <si>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</si>
  <si>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</si>
  <si>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</si>
  <si>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</si>
  <si>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</si>
  <si>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</si>
  <si>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</si>
  <si>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</si>
  <si>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</si>
  <si>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</si>
  <si>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</si>
  <si>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</si>
  <si>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</si>
  <si>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</si>
  <si>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</si>
  <si>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</si>
  <si>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</si>
  <si>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</si>
  <si>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</si>
  <si>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</si>
  <si>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</si>
  <si>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</si>
  <si>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</si>
  <si>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</si>
  <si>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</si>
  <si>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</si>
  <si>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</si>
  <si>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</si>
  <si>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</si>
  <si>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</si>
  <si>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</si>
  <si>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</si>
  <si>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</si>
  <si>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</si>
  <si>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</si>
  <si>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</si>
  <si>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</si>
  <si>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</si>
  <si>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</si>
  <si>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</si>
  <si>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</si>
  <si>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</si>
  <si>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</si>
  <si>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</si>
  <si>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</si>
  <si>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</si>
  <si>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</si>
  <si>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</si>
  <si>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</si>
  <si>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</si>
  <si>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</si>
  <si>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</si>
  <si>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</si>
  <si>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</si>
  <si>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</si>
  <si>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</si>
  <si>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</si>
  <si>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</si>
  <si>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</si>
  <si>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</si>
  <si>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</si>
  <si>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</si>
  <si>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</si>
  <si>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</si>
  <si>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</si>
  <si>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</si>
  <si>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</si>
  <si>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</si>
  <si>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</si>
  <si>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</si>
  <si>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</si>
  <si>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</si>
  <si>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</si>
  <si>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</si>
  <si>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</si>
  <si>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</si>
  <si>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</si>
  <si>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</si>
  <si>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</si>
  <si>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</si>
  <si>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</si>
  <si>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</si>
  <si>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</si>
  <si>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</si>
  <si>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</si>
  <si>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</si>
  <si>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</si>
  <si>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</si>
  <si>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</si>
  <si>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</si>
  <si>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</si>
  <si>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</si>
  <si>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</si>
  <si>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</si>
  <si>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</si>
  <si>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</si>
  <si>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</si>
  <si>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</si>
  <si>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</si>
  <si>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</si>
  <si>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</si>
  <si>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</si>
  <si>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</si>
  <si>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</si>
  <si>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</si>
  <si>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</si>
  <si>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</si>
  <si>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</si>
  <si>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</si>
  <si>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</si>
  <si>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</si>
  <si>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</si>
  <si>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</si>
  <si>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</si>
  <si>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</si>
  <si>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</si>
  <si>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</si>
  <si>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</si>
  <si>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</si>
  <si>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</si>
  <si>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</si>
  <si>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</si>
  <si>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</si>
  <si>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</si>
  <si>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</si>
  <si>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</si>
  <si>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</si>
  <si>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</si>
  <si>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</si>
  <si>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</si>
  <si>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</si>
  <si>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</si>
  <si>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</si>
  <si>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</si>
  <si>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</si>
  <si>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</si>
  <si>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</si>
  <si>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</si>
  <si>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</si>
  <si>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</si>
  <si>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</si>
  <si>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555 Main St.</t>
  </si>
  <si>
    <t>Wauconda</t>
  </si>
  <si>
    <t>wharkin@d118.org</t>
  </si>
  <si>
    <t>Evans, Marshall and Pease, P.C.</t>
  </si>
  <si>
    <t>Jeffery M. Rollefson, CPA</t>
  </si>
  <si>
    <t>1875 Hicks Road</t>
  </si>
  <si>
    <t>Rolling Meadows</t>
  </si>
  <si>
    <t>Illinois</t>
  </si>
  <si>
    <t>847-221-5700</t>
  </si>
  <si>
    <t>847-221-5701</t>
  </si>
  <si>
    <t>060-003973</t>
  </si>
  <si>
    <t>jeff@empcpa.com</t>
  </si>
  <si>
    <t>Evans, Marshall and Peace, P.C.</t>
  </si>
  <si>
    <t>SCHOOL BUILDING BONDS SERIES 2010B</t>
  </si>
  <si>
    <t>REFUNDING BONDS SERIES 2012</t>
  </si>
  <si>
    <t>REFUNDING BONDS SERIES 2013</t>
  </si>
  <si>
    <t>REFUNDING BONDS SERIES 2014</t>
  </si>
  <si>
    <t>REFUNDING BONDS SERIES 2015</t>
  </si>
  <si>
    <t>CAPITAL LEASES</t>
  </si>
  <si>
    <t>VARIOUS</t>
  </si>
  <si>
    <t>CAPITAL LEASE</t>
  </si>
  <si>
    <t>Audit check #8 - Proceeds from capital leases on line 7990; debt payments made out of Transportation Fund</t>
  </si>
  <si>
    <t>NONE</t>
  </si>
  <si>
    <t>US DEPARTMENT OF EDUCATION</t>
  </si>
  <si>
    <t>PASSED THROUGH THE ILLINOIS STATE BOARD OF EDUCATION</t>
  </si>
  <si>
    <t>TITLE I - LOW INCOME</t>
  </si>
  <si>
    <t xml:space="preserve"> TITLE II - TEACHER QUALITY</t>
  </si>
  <si>
    <t>TITLE II - TEACHER QUALITY</t>
  </si>
  <si>
    <t>TITLE III - LANG. INST. PROG. LTD. ENG. PROGRAM</t>
  </si>
  <si>
    <t>TITLE III - IMMIGRANT EDUCATION PROGRAM</t>
  </si>
  <si>
    <t>84.010A</t>
  </si>
  <si>
    <t>84.367A</t>
  </si>
  <si>
    <t>84.365A</t>
  </si>
  <si>
    <t>17-4300-00</t>
  </si>
  <si>
    <t>17-4932-00</t>
  </si>
  <si>
    <t>17-4909-00</t>
  </si>
  <si>
    <t>17-4905-00</t>
  </si>
  <si>
    <t>PASSED THROUGH THE LAKE COUNTY REGIONAL VOCATIONAL SYSTEM</t>
  </si>
  <si>
    <t>CTE PERKINS - TITLE IIE - TECH PREP</t>
  </si>
  <si>
    <t>84.243A</t>
  </si>
  <si>
    <t>17-4770-00</t>
  </si>
  <si>
    <t>N/A</t>
  </si>
  <si>
    <t>PASSED THROUGH THE SPECIAL EDUCATION DISTRICT OF LAKE COUNTY (SEDOL)</t>
  </si>
  <si>
    <t>IDEA PRESCHOOL FLOW-THROUGH</t>
  </si>
  <si>
    <t>IDEA FLOW-THROUGH</t>
  </si>
  <si>
    <t>IDEA ROOM AND BOARD</t>
  </si>
  <si>
    <t>84.173A</t>
  </si>
  <si>
    <t>17-4600-00</t>
  </si>
  <si>
    <t>84.027A</t>
  </si>
  <si>
    <t>17-4620-00</t>
  </si>
  <si>
    <t>18-4300-00</t>
  </si>
  <si>
    <t>18-4932-00</t>
  </si>
  <si>
    <t>18-4909-00</t>
  </si>
  <si>
    <t>18-4905-00</t>
  </si>
  <si>
    <t>18-4770-00</t>
  </si>
  <si>
    <t>18-4600-00</t>
  </si>
  <si>
    <t>18-4620-00</t>
  </si>
  <si>
    <t>17-4625-00</t>
  </si>
  <si>
    <t>TOTAL US DEPARTMENT OF EDUCATION</t>
  </si>
  <si>
    <t>US DEPARTMENT OF AGRICULTURE</t>
  </si>
  <si>
    <t>NATIONAL SCHOOL LUNCH (M)</t>
  </si>
  <si>
    <t>COMMODITIES (M)</t>
  </si>
  <si>
    <t>SCHOOL BREAKFAST (M)</t>
  </si>
  <si>
    <t>17-4210-00</t>
  </si>
  <si>
    <t>18-4210-00</t>
  </si>
  <si>
    <t>FY2018</t>
  </si>
  <si>
    <t>17-4220-00</t>
  </si>
  <si>
    <t>18-4220-00</t>
  </si>
  <si>
    <t>TOTAL US DEPARTMENT OF AGRICULTURE</t>
  </si>
  <si>
    <t>US DEPARTMENT OF HEALTH AND HUMAN SERVICES</t>
  </si>
  <si>
    <t>PASSED THROUGH THE ILLINOIS DEPARTMENT OF HEALTHCARE AND HUMAN SERVICES</t>
  </si>
  <si>
    <t>MEDICAID MATCHING - ADM. OUTREACH</t>
  </si>
  <si>
    <t>TOTAL US DEPARTMENT OF HEALTH AND HUMAN SERVICES</t>
  </si>
  <si>
    <t>TOTAL FEDERAL AWARDS</t>
  </si>
  <si>
    <t>17-4991-00</t>
  </si>
  <si>
    <t>18-4991-00</t>
  </si>
  <si>
    <t xml:space="preserve">UNMODIFIED </t>
  </si>
  <si>
    <t>UNMODIFIED</t>
  </si>
  <si>
    <t>NATIONAL SCHOOL LUNCH</t>
  </si>
  <si>
    <t>COMMODITIES</t>
  </si>
  <si>
    <t>SCHOOL BREAKFAST</t>
  </si>
  <si>
    <t>PROG. END 8/31</t>
  </si>
  <si>
    <t>PROG. END 9/30</t>
  </si>
  <si>
    <t>NIHIP - Northern Illinois Health Insurance Program</t>
  </si>
  <si>
    <t>IUPC - Intergovermental Utility Purchasing Cooperative</t>
  </si>
  <si>
    <t>Sodexo Inc.</t>
  </si>
  <si>
    <t>CLIC - Collective Liability Insurance Cooperative</t>
  </si>
  <si>
    <t>ISDLAF</t>
  </si>
  <si>
    <t>SEDOL - Special Education District of Lake County</t>
  </si>
  <si>
    <t>LCAVS - Lake County Area Vocational System</t>
  </si>
  <si>
    <t>Of the federal expenditures presented in the schedule, Wauconda Community Unit School District No. 118 provided federal awards to subrecipients as follows:</t>
  </si>
  <si>
    <t>The accompanying Schedule of Expenditures of Federal Awards includes the federal grant activity of Wauconda Community Unit School District No. 118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</si>
  <si>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Wauconda Community Unit School District No. 118 and are included in the Schedule of Expenditures of Federal Awards:</t>
  </si>
  <si>
    <t>ED-Support Services Business-Food Service</t>
  </si>
  <si>
    <t>10-2560-300</t>
  </si>
  <si>
    <t>Sodexo America, Inc.</t>
  </si>
  <si>
    <t>Transportation-Support Services Business-Pupil Transportation Services</t>
  </si>
  <si>
    <t>40-2550-300</t>
  </si>
  <si>
    <t>CitiCare Transportation</t>
  </si>
  <si>
    <t>Wauconda CUSD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</si>
</sst>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3</xdr:row>
          <xdr:rowOff>133350</xdr:rowOff>
        </xdr:from>
        <xdr:to>
          <xdr:col>1</xdr:col>
          <xdr:colOff>2085975</xdr:colOff>
          <xdr:row>8</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4</xdr:row>
          <xdr:rowOff>9525</xdr:rowOff>
        </xdr:from>
        <xdr:to>
          <xdr:col>1</xdr:col>
          <xdr:colOff>3171825</xdr:colOff>
          <xdr:row>8</xdr:row>
          <xdr:rowOff>47625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2074</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2074</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34049118026</v>
      </c>
      <c r="B13" s="2005"/>
      <c r="C13" s="2005"/>
      <c r="D13" s="2005"/>
      <c r="E13" s="2005"/>
      <c r="F13" s="2005"/>
      <c r="G13" s="2005"/>
      <c r="H13" s="2006"/>
      <c r="I13" s="31"/>
      <c r="J13" s="30"/>
      <c r="K13" s="28"/>
      <c r="L13" s="30"/>
      <c r="M13" s="30"/>
      <c r="N13" s="30"/>
      <c r="O13" s="30"/>
      <c r="P13" s="30"/>
      <c r="Q13" s="30"/>
      <c r="R13" s="30"/>
      <c r="S13" s="30"/>
      <c r="T13" s="2009" t="s">
        <v>2079</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2080</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2175</v>
      </c>
      <c r="B17" s="2032"/>
      <c r="C17" s="2032"/>
      <c r="D17" s="2032"/>
      <c r="E17" s="2032"/>
      <c r="F17" s="2032"/>
      <c r="G17" s="2032"/>
      <c r="H17" s="2033"/>
      <c r="T17" s="2019" t="s">
        <v>2081</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2076</v>
      </c>
      <c r="B19" s="2003"/>
      <c r="C19" s="2003"/>
      <c r="D19" s="2003"/>
      <c r="E19" s="2003"/>
      <c r="F19" s="2003"/>
      <c r="G19" s="2003"/>
      <c r="H19" s="2001"/>
      <c r="I19" s="30"/>
      <c r="J19" s="99"/>
      <c r="K19" s="40"/>
      <c r="L19" s="38"/>
      <c r="M19" s="112" t="s">
        <v>333</v>
      </c>
      <c r="P19" s="27"/>
      <c r="Q19" s="27"/>
      <c r="R19" s="27"/>
      <c r="S19" s="31"/>
      <c r="T19" s="2002" t="s">
        <v>2082</v>
      </c>
      <c r="U19" s="2000"/>
      <c r="V19" s="2000"/>
      <c r="W19" s="2001"/>
      <c r="X19" s="2017" t="s">
        <v>2083</v>
      </c>
      <c r="Y19" s="2018"/>
      <c r="Z19" s="2015">
        <v>60008</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2077</v>
      </c>
      <c r="B21" s="2000"/>
      <c r="C21" s="2000"/>
      <c r="D21" s="2000"/>
      <c r="E21" s="2000"/>
      <c r="F21" s="2000"/>
      <c r="G21" s="2000"/>
      <c r="H21" s="2001"/>
      <c r="I21" s="2025" t="s">
        <v>699</v>
      </c>
      <c r="J21" s="1988"/>
      <c r="K21" s="1988"/>
      <c r="L21" s="1988"/>
      <c r="M21" s="1988"/>
      <c r="N21" s="1988"/>
      <c r="O21" s="1988"/>
      <c r="P21" s="1988"/>
      <c r="Q21" s="1988"/>
      <c r="R21" s="1988"/>
      <c r="S21" s="1989"/>
      <c r="T21" s="1967" t="s">
        <v>2084</v>
      </c>
      <c r="U21" s="1968"/>
      <c r="V21" s="1968"/>
      <c r="W21" s="1968"/>
      <c r="X21" s="1981" t="s">
        <v>2085</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2078</v>
      </c>
      <c r="B23" s="2023"/>
      <c r="C23" s="2023"/>
      <c r="D23" s="2023"/>
      <c r="E23" s="2023"/>
      <c r="F23" s="2023"/>
      <c r="G23" s="2023"/>
      <c r="H23" s="2024"/>
      <c r="T23" s="1962" t="s">
        <v>2086</v>
      </c>
      <c r="U23" s="1963"/>
      <c r="V23" s="1963"/>
      <c r="W23" s="1963"/>
      <c r="X23" s="1978">
        <v>43466</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60084</v>
      </c>
      <c r="B25" s="2000"/>
      <c r="C25" s="2000"/>
      <c r="D25" s="2000"/>
      <c r="E25" s="2000"/>
      <c r="F25" s="2000"/>
      <c r="G25" s="2000"/>
      <c r="H25" s="2001"/>
      <c r="I25" s="113"/>
      <c r="J25" s="2066"/>
      <c r="K25" s="2066"/>
      <c r="L25" s="2066"/>
      <c r="M25" s="2066"/>
      <c r="N25" s="2066"/>
      <c r="O25" s="2066"/>
      <c r="P25" s="2066"/>
      <c r="Q25" s="2066"/>
      <c r="R25" s="2066"/>
      <c r="S25" s="2067"/>
      <c r="T25" s="1959" t="s">
        <v>2087</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2" sqref="H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2032</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27422552</v>
      </c>
      <c r="C4" s="1546">
        <v>14570136</v>
      </c>
      <c r="D4" s="1774">
        <f>B4-C4</f>
        <v>12852416</v>
      </c>
      <c r="E4" s="1546">
        <v>27865268</v>
      </c>
      <c r="F4" s="1774">
        <f>E4-C4</f>
        <v>13295132</v>
      </c>
    </row>
    <row r="5" spans="1:6" ht="13.7" customHeight="1" x14ac:dyDescent="0.2">
      <c r="A5" s="716" t="s">
        <v>925</v>
      </c>
      <c r="B5" s="1772">
        <f>'Revenues 9-14'!D5</f>
        <v>4505819</v>
      </c>
      <c r="C5" s="585">
        <v>2403702</v>
      </c>
      <c r="D5" s="1775">
        <f t="shared" ref="D5:D18" si="0">B5-C5</f>
        <v>2102117</v>
      </c>
      <c r="E5" s="585">
        <v>4597056</v>
      </c>
      <c r="F5" s="1775">
        <f>E5-C5</f>
        <v>2193354</v>
      </c>
    </row>
    <row r="6" spans="1:6" ht="13.7" customHeight="1" x14ac:dyDescent="0.2">
      <c r="A6" s="716" t="s">
        <v>431</v>
      </c>
      <c r="B6" s="1772">
        <f>'Revenues 9-14'!E5</f>
        <v>11370312</v>
      </c>
      <c r="C6" s="585">
        <v>6229713</v>
      </c>
      <c r="D6" s="1775">
        <f t="shared" si="0"/>
        <v>5140599</v>
      </c>
      <c r="E6" s="585">
        <v>11913806</v>
      </c>
      <c r="F6" s="1775">
        <f t="shared" ref="F6:F18" si="1">E6-C6</f>
        <v>5684093</v>
      </c>
    </row>
    <row r="7" spans="1:6" ht="13.7" customHeight="1" x14ac:dyDescent="0.2">
      <c r="A7" s="716" t="s">
        <v>157</v>
      </c>
      <c r="B7" s="1772">
        <f>'Revenues 9-14'!F5</f>
        <v>1693710</v>
      </c>
      <c r="C7" s="585">
        <v>860438</v>
      </c>
      <c r="D7" s="1775">
        <f t="shared" si="0"/>
        <v>833272</v>
      </c>
      <c r="E7" s="585">
        <v>1645580</v>
      </c>
      <c r="F7" s="1775">
        <f t="shared" si="1"/>
        <v>785142</v>
      </c>
    </row>
    <row r="8" spans="1:6" ht="13.7" customHeight="1" x14ac:dyDescent="0.2">
      <c r="A8" s="716" t="s">
        <v>1241</v>
      </c>
      <c r="B8" s="1772">
        <f>'Revenues 9-14'!G5</f>
        <v>1085918</v>
      </c>
      <c r="C8" s="585">
        <v>596458</v>
      </c>
      <c r="D8" s="1775">
        <f t="shared" si="0"/>
        <v>489460</v>
      </c>
      <c r="E8" s="585">
        <f>1094537+46182</f>
        <v>1140719</v>
      </c>
      <c r="F8" s="1775">
        <f t="shared" si="1"/>
        <v>544261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7392</v>
      </c>
      <c r="C10" s="585">
        <v>3947</v>
      </c>
      <c r="D10" s="1775">
        <f t="shared" si="0"/>
        <v>3445</v>
      </c>
      <c r="E10" s="585">
        <v>7549</v>
      </c>
      <c r="F10" s="1775">
        <f t="shared" si="1"/>
        <v>3602</v>
      </c>
    </row>
    <row r="11" spans="1:6" x14ac:dyDescent="0.2">
      <c r="A11" s="716" t="s">
        <v>429</v>
      </c>
      <c r="B11" s="1772">
        <f>'Revenues 9-14'!J5</f>
        <v>820314</v>
      </c>
      <c r="C11" s="585">
        <v>438112</v>
      </c>
      <c r="D11" s="1775">
        <f t="shared" si="0"/>
        <v>382202</v>
      </c>
      <c r="E11" s="585">
        <v>837887</v>
      </c>
      <c r="F11" s="1775">
        <f t="shared" si="1"/>
        <v>399775</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4198494</v>
      </c>
      <c r="C14" s="585">
        <v>2194510</v>
      </c>
      <c r="D14" s="1775">
        <f t="shared" si="0"/>
        <v>2003984</v>
      </c>
      <c r="E14" s="585">
        <v>4196984</v>
      </c>
      <c r="F14" s="1775">
        <f t="shared" si="1"/>
        <v>2002474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1085359</v>
      </c>
      <c r="C16" s="585">
        <v>572311</v>
      </c>
      <c r="D16" s="1775">
        <f t="shared" si="0"/>
        <v>513048</v>
      </c>
      <c r="E16" s="585">
        <v>1094537</v>
      </c>
      <c r="F16" s="1775">
        <f t="shared" si="1"/>
        <v>522226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52189870</v>
      </c>
      <c r="C19" s="1773">
        <f>SUM(C4:C18)</f>
        <v>27869327</v>
      </c>
      <c r="D19" s="1773">
        <f>SUM(D4:D18)</f>
        <v>24320543</v>
      </c>
      <c r="E19" s="1773">
        <f>SUM(E4:E18)</f>
        <v>53299386</v>
      </c>
      <c r="F19" s="1773">
        <f>SUM(F4:F18)</f>
        <v>25430059</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H12" sqref="H1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1902</v>
      </c>
      <c r="B2" s="2217"/>
      <c r="C2" s="1909" t="s">
        <v>2033</v>
      </c>
      <c r="D2" s="724" t="s">
        <v>2040</v>
      </c>
      <c r="E2" s="724" t="s">
        <v>2041</v>
      </c>
      <c r="F2" s="1909" t="s">
        <v>2034</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x14ac:dyDescent="0.2">
      <c r="A31" s="733" t="s">
        <v>2089</v>
      </c>
      <c r="B31" s="734">
        <v>40353</v>
      </c>
      <c r="C31" s="735">
        <v>14860000</v>
      </c>
      <c r="D31" s="736">
        <v>6</v>
      </c>
      <c r="E31" s="735">
        <v>13335000</v>
      </c>
      <c r="F31" s="735"/>
      <c r="G31" s="735"/>
      <c r="H31" s="735">
        <v>855000</v>
      </c>
      <c r="I31" s="1778">
        <f>((E31+F31)-H31)+G31</f>
        <v>12480000</v>
      </c>
      <c r="J31" s="735">
        <f>+(I31/$I$49)*56996313</f>
        <v>11234797.408980977</v>
      </c>
      <c r="K31" s="737"/>
    </row>
    <row r="32" spans="1:11" ht="12" customHeight="1" x14ac:dyDescent="0.2">
      <c r="A32" s="733" t="s">
        <v>2090</v>
      </c>
      <c r="B32" s="734">
        <v>41178</v>
      </c>
      <c r="C32" s="735">
        <v>8635000</v>
      </c>
      <c r="D32" s="736">
        <v>3</v>
      </c>
      <c r="E32" s="735">
        <v>8510000</v>
      </c>
      <c r="F32" s="735"/>
      <c r="G32" s="735"/>
      <c r="H32" s="735"/>
      <c r="I32" s="1778">
        <f>((E32+F32)-H32)+G32</f>
        <v>8510000</v>
      </c>
      <c r="J32" s="735">
        <f t="shared" ref="J32:J37" si="1">+(I32/$I$49)*56996313</f>
        <v>7660907.5280791763</v>
      </c>
      <c r="K32" s="737"/>
    </row>
    <row r="33" spans="1:11" ht="12" customHeight="1" x14ac:dyDescent="0.2">
      <c r="A33" s="733" t="s">
        <v>2091</v>
      </c>
      <c r="B33" s="734">
        <v>41326</v>
      </c>
      <c r="C33" s="735">
        <v>8735000</v>
      </c>
      <c r="D33" s="736">
        <v>3</v>
      </c>
      <c r="E33" s="735">
        <v>8735000</v>
      </c>
      <c r="F33" s="735"/>
      <c r="G33" s="735"/>
      <c r="H33" s="735">
        <v>2675000</v>
      </c>
      <c r="I33" s="1778">
        <f t="shared" ref="I33:I48" si="2">((E33+F33)-H33)+G33</f>
        <v>6060000</v>
      </c>
      <c r="J33" s="735">
        <f t="shared" si="1"/>
        <v>5455358.357245571</v>
      </c>
      <c r="K33" s="737"/>
    </row>
    <row r="34" spans="1:11" ht="12" customHeight="1" x14ac:dyDescent="0.2">
      <c r="A34" s="733" t="s">
        <v>2092</v>
      </c>
      <c r="B34" s="734">
        <v>41955</v>
      </c>
      <c r="C34" s="735">
        <v>8325000</v>
      </c>
      <c r="D34" s="736">
        <v>3</v>
      </c>
      <c r="E34" s="735">
        <v>6915000</v>
      </c>
      <c r="F34" s="735"/>
      <c r="G34" s="735"/>
      <c r="H34" s="735">
        <v>3175000</v>
      </c>
      <c r="I34" s="1778">
        <f t="shared" si="2"/>
        <v>3740000</v>
      </c>
      <c r="J34" s="735">
        <f t="shared" si="1"/>
        <v>3366838.3260888504</v>
      </c>
      <c r="K34" s="738"/>
    </row>
    <row r="35" spans="1:11" ht="12" customHeight="1" x14ac:dyDescent="0.2">
      <c r="A35" s="733" t="s">
        <v>2093</v>
      </c>
      <c r="B35" s="734">
        <v>42033</v>
      </c>
      <c r="C35" s="739">
        <v>33380000</v>
      </c>
      <c r="D35" s="736">
        <v>3</v>
      </c>
      <c r="E35" s="739">
        <v>31840000</v>
      </c>
      <c r="F35" s="739"/>
      <c r="G35" s="739"/>
      <c r="H35" s="739">
        <v>640000</v>
      </c>
      <c r="I35" s="1778">
        <f t="shared" si="2"/>
        <v>31200000</v>
      </c>
      <c r="J35" s="735">
        <f t="shared" si="1"/>
        <v>28086993.522452444</v>
      </c>
      <c r="K35" s="738"/>
    </row>
    <row r="36" spans="1:11" ht="12" customHeight="1" x14ac:dyDescent="0.2">
      <c r="A36" s="733"/>
      <c r="B36" s="734"/>
      <c r="C36" s="735"/>
      <c r="D36" s="736"/>
      <c r="E36" s="735"/>
      <c r="F36" s="735"/>
      <c r="G36" s="735"/>
      <c r="H36" s="735"/>
      <c r="I36" s="1778">
        <f t="shared" si="2"/>
        <v>0</v>
      </c>
      <c r="J36" s="735"/>
      <c r="K36" s="740"/>
    </row>
    <row r="37" spans="1:11" ht="12" customHeight="1" x14ac:dyDescent="0.2">
      <c r="A37" s="733" t="s">
        <v>2094</v>
      </c>
      <c r="B37" s="734" t="s">
        <v>2095</v>
      </c>
      <c r="C37" s="467"/>
      <c r="D37" s="741">
        <v>7</v>
      </c>
      <c r="E37" s="467">
        <v>1341606</v>
      </c>
      <c r="F37" s="467">
        <v>651200</v>
      </c>
      <c r="G37" s="467"/>
      <c r="H37" s="467">
        <v>669338</v>
      </c>
      <c r="I37" s="1778">
        <f t="shared" si="2"/>
        <v>1323468</v>
      </c>
      <c r="J37" s="735">
        <f t="shared" si="1"/>
        <v>1191417.8571529835</v>
      </c>
      <c r="K37" s="738"/>
    </row>
    <row r="38" spans="1:11" ht="12" customHeight="1" x14ac:dyDescent="0.2">
      <c r="A38" s="733"/>
      <c r="B38" s="734"/>
      <c r="C38" s="735"/>
      <c r="D38" s="742"/>
      <c r="E38" s="743"/>
      <c r="F38" s="743"/>
      <c r="G38" s="743"/>
      <c r="H38" s="743"/>
      <c r="I38" s="1778">
        <f t="shared" si="2"/>
        <v>0</v>
      </c>
      <c r="J38" s="744" t="s">
        <v>282</v>
      </c>
      <c r="K38" s="745"/>
    </row>
    <row r="39" spans="1:11" ht="12" customHeight="1" x14ac:dyDescent="0.2">
      <c r="A39" s="733"/>
      <c r="B39" s="734"/>
      <c r="C39" s="735"/>
      <c r="D39" s="742"/>
      <c r="E39" s="743"/>
      <c r="F39" s="743"/>
      <c r="G39" s="743"/>
      <c r="H39" s="743"/>
      <c r="I39" s="1778">
        <f t="shared" si="2"/>
        <v>0</v>
      </c>
      <c r="J39" s="744"/>
      <c r="K39" s="745"/>
    </row>
    <row r="40" spans="1:11" ht="12" customHeight="1" x14ac:dyDescent="0.2">
      <c r="A40" s="733"/>
      <c r="B40" s="734"/>
      <c r="C40" s="735"/>
      <c r="D40" s="742"/>
      <c r="E40" s="743"/>
      <c r="F40" s="743"/>
      <c r="G40" s="743"/>
      <c r="H40" s="743"/>
      <c r="I40" s="1778">
        <f t="shared" si="2"/>
        <v>0</v>
      </c>
      <c r="J40" s="744"/>
      <c r="K40" s="745"/>
    </row>
    <row r="41" spans="1:11" ht="12" customHeight="1" x14ac:dyDescent="0.2">
      <c r="A41" s="733"/>
      <c r="B41" s="734"/>
      <c r="C41" s="735"/>
      <c r="D41" s="742"/>
      <c r="E41" s="743"/>
      <c r="F41" s="743"/>
      <c r="G41" s="743"/>
      <c r="H41" s="743"/>
      <c r="I41" s="1778">
        <f t="shared" si="2"/>
        <v>0</v>
      </c>
      <c r="J41" s="744"/>
      <c r="K41" s="745"/>
    </row>
    <row r="42" spans="1:11" ht="12" customHeight="1" x14ac:dyDescent="0.2">
      <c r="A42" s="733"/>
      <c r="B42" s="734"/>
      <c r="C42" s="735"/>
      <c r="D42" s="742"/>
      <c r="E42" s="743"/>
      <c r="F42" s="743"/>
      <c r="G42" s="743"/>
      <c r="H42" s="743"/>
      <c r="I42" s="1778">
        <f t="shared" si="2"/>
        <v>0</v>
      </c>
      <c r="J42" s="744"/>
      <c r="K42" s="745"/>
    </row>
    <row r="43" spans="1:11" ht="12" customHeight="1" x14ac:dyDescent="0.2">
      <c r="A43" s="733"/>
      <c r="B43" s="734"/>
      <c r="C43" s="735"/>
      <c r="D43" s="742"/>
      <c r="E43" s="743"/>
      <c r="F43" s="743"/>
      <c r="G43" s="743"/>
      <c r="H43" s="743"/>
      <c r="I43" s="1778">
        <f t="shared" si="2"/>
        <v>0</v>
      </c>
      <c r="J43" s="744"/>
      <c r="K43" s="745"/>
    </row>
    <row r="44" spans="1:11" ht="12" customHeight="1" x14ac:dyDescent="0.2">
      <c r="A44" s="733"/>
      <c r="B44" s="734"/>
      <c r="C44" s="735"/>
      <c r="D44" s="736"/>
      <c r="E44" s="735"/>
      <c r="F44" s="735"/>
      <c r="G44" s="735"/>
      <c r="H44" s="735"/>
      <c r="I44" s="1778">
        <f t="shared" si="2"/>
        <v>0</v>
      </c>
      <c r="J44" s="735"/>
      <c r="K44" s="738"/>
    </row>
    <row r="45" spans="1:11" ht="12" customHeight="1" x14ac:dyDescent="0.2">
      <c r="A45" s="733"/>
      <c r="B45" s="734"/>
      <c r="C45" s="735"/>
      <c r="D45" s="736"/>
      <c r="E45" s="735"/>
      <c r="F45" s="735"/>
      <c r="G45" s="735"/>
      <c r="H45" s="735"/>
      <c r="I45" s="1778">
        <f t="shared" si="2"/>
        <v>0</v>
      </c>
      <c r="J45" s="735"/>
      <c r="K45" s="738"/>
    </row>
    <row r="46" spans="1:11" ht="12" customHeight="1" x14ac:dyDescent="0.2">
      <c r="A46" s="733"/>
      <c r="B46" s="734"/>
      <c r="C46" s="735"/>
      <c r="D46" s="736"/>
      <c r="E46" s="735"/>
      <c r="F46" s="735"/>
      <c r="G46" s="735"/>
      <c r="H46" s="735"/>
      <c r="I46" s="1778">
        <f t="shared" si="2"/>
        <v>0</v>
      </c>
      <c r="J46" s="735"/>
      <c r="K46" s="738"/>
    </row>
    <row r="47" spans="1:11" ht="12" customHeight="1" x14ac:dyDescent="0.2">
      <c r="A47" s="733"/>
      <c r="B47" s="734"/>
      <c r="C47" s="739"/>
      <c r="D47" s="736"/>
      <c r="E47" s="739"/>
      <c r="F47" s="739"/>
      <c r="G47" s="739"/>
      <c r="H47" s="739"/>
      <c r="I47" s="1778">
        <f t="shared" si="2"/>
        <v>0</v>
      </c>
      <c r="J47" s="739"/>
      <c r="K47" s="738"/>
    </row>
    <row r="48" spans="1:11" ht="12" customHeight="1" x14ac:dyDescent="0.2">
      <c r="A48" s="733"/>
      <c r="B48" s="734"/>
      <c r="C48" s="735"/>
      <c r="D48" s="736"/>
      <c r="E48" s="735"/>
      <c r="F48" s="735"/>
      <c r="G48" s="735"/>
      <c r="H48" s="735"/>
      <c r="I48" s="1778">
        <f t="shared" si="2"/>
        <v>0</v>
      </c>
      <c r="J48" s="735"/>
      <c r="K48" s="738"/>
    </row>
    <row r="49" spans="1:11" ht="12" customHeight="1" x14ac:dyDescent="0.2">
      <c r="A49" s="733"/>
      <c r="B49" s="734"/>
      <c r="C49" s="1778">
        <f>SUM(C31:C48)</f>
        <v>73935000</v>
      </c>
      <c r="D49" s="746"/>
      <c r="E49" s="1778">
        <f t="shared" ref="E49:J49" si="3">SUM(E31:E48)</f>
        <v>70676606</v>
      </c>
      <c r="F49" s="1778">
        <f t="shared" si="3"/>
        <v>651200</v>
      </c>
      <c r="G49" s="1778">
        <f t="shared" si="3"/>
        <v>0</v>
      </c>
      <c r="H49" s="1778">
        <f t="shared" si="3"/>
        <v>8014338</v>
      </c>
      <c r="I49" s="1778">
        <f t="shared" si="3"/>
        <v>63313468</v>
      </c>
      <c r="J49" s="1778">
        <f t="shared" si="3"/>
        <v>56996313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2096</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2" sqref="H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4198494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4198494</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4198494</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4198494</v>
      </c>
      <c r="I23" s="1780">
        <f>SUM(I14:I16,I21,I22)</f>
        <v>0</v>
      </c>
      <c r="J23" s="1780">
        <f>SUM(J14:J16,J21,J22)</f>
        <v>0</v>
      </c>
      <c r="K23" s="1780">
        <f>SUM(K14:K16,K21,K22)</f>
        <v>0</v>
      </c>
    </row>
    <row r="24" spans="1:11" ht="14.25" thickTop="1" thickBot="1" x14ac:dyDescent="0.25">
      <c r="A24" s="2253" t="s">
        <v>2021</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2030</v>
      </c>
      <c r="B1" s="2272"/>
      <c r="C1" s="2273"/>
      <c r="D1" s="827"/>
      <c r="E1" s="828"/>
      <c r="F1" s="828"/>
      <c r="G1" s="829"/>
      <c r="H1" s="830"/>
      <c r="I1" s="831"/>
      <c r="J1" s="2269"/>
      <c r="K1" s="2270"/>
      <c r="L1" s="2270"/>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4894309</v>
      </c>
      <c r="D5" s="842"/>
      <c r="E5" s="842"/>
      <c r="F5" s="1782">
        <f>(C5+D5)-E5</f>
        <v>4894309</v>
      </c>
      <c r="G5" s="838"/>
      <c r="H5" s="843"/>
      <c r="I5" s="843"/>
      <c r="J5" s="843"/>
      <c r="K5" s="794"/>
      <c r="L5" s="1791">
        <f>F5-K5</f>
        <v>4894309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100747407</v>
      </c>
      <c r="D8" s="845">
        <v>1346010</v>
      </c>
      <c r="E8" s="845"/>
      <c r="F8" s="1782">
        <f>(C8+D8)-E8</f>
        <v>102093417</v>
      </c>
      <c r="G8" s="844">
        <v>50</v>
      </c>
      <c r="H8" s="766">
        <v>33784395</v>
      </c>
      <c r="I8" s="766">
        <v>2377525</v>
      </c>
      <c r="J8" s="766"/>
      <c r="K8" s="1791">
        <f>(H8+I8)-J8</f>
        <v>36161920</v>
      </c>
      <c r="L8" s="1791">
        <f>F8-K8</f>
        <v>65931497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3496631</v>
      </c>
      <c r="D10" s="847">
        <v>121066</v>
      </c>
      <c r="E10" s="847"/>
      <c r="F10" s="1786">
        <f>(C10+D10)-E10</f>
        <v>3617697</v>
      </c>
      <c r="G10" s="844">
        <v>20</v>
      </c>
      <c r="H10" s="848">
        <v>2424496</v>
      </c>
      <c r="I10" s="848">
        <v>178346</v>
      </c>
      <c r="J10" s="848"/>
      <c r="K10" s="1791">
        <f>(H10+I10)-J10</f>
        <v>2602842</v>
      </c>
      <c r="L10" s="1791">
        <f>F10-K10</f>
        <v>1014855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7638201</v>
      </c>
      <c r="D12" s="845">
        <v>129241</v>
      </c>
      <c r="E12" s="845"/>
      <c r="F12" s="1782">
        <f>(C12+D12)-E12</f>
        <v>7767442</v>
      </c>
      <c r="G12" s="844">
        <v>10</v>
      </c>
      <c r="H12" s="766">
        <v>5292327</v>
      </c>
      <c r="I12" s="766">
        <v>428122</v>
      </c>
      <c r="J12" s="766"/>
      <c r="K12" s="1791">
        <f>(H12+I12)-J12</f>
        <v>5720449</v>
      </c>
      <c r="L12" s="1791">
        <f>F12-K12</f>
        <v>2046993</v>
      </c>
    </row>
    <row r="13" spans="1:14" ht="14.25" thickTop="1" thickBot="1" x14ac:dyDescent="0.25">
      <c r="A13" s="849" t="s">
        <v>1184</v>
      </c>
      <c r="B13" s="841">
        <v>252</v>
      </c>
      <c r="C13" s="845">
        <v>7135302</v>
      </c>
      <c r="D13" s="845">
        <v>651200</v>
      </c>
      <c r="E13" s="845">
        <v>294388</v>
      </c>
      <c r="F13" s="1782">
        <f>(C13+D13)-E13</f>
        <v>7492114</v>
      </c>
      <c r="G13" s="844">
        <v>5</v>
      </c>
      <c r="H13" s="766">
        <v>4069967</v>
      </c>
      <c r="I13" s="766">
        <v>559776</v>
      </c>
      <c r="J13" s="766">
        <v>264950</v>
      </c>
      <c r="K13" s="1791">
        <f>(H13+I13)-J13</f>
        <v>4364793</v>
      </c>
      <c r="L13" s="1791">
        <f>F13-K13</f>
        <v>3127321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20274</v>
      </c>
      <c r="D15" s="845">
        <v>110462</v>
      </c>
      <c r="E15" s="845">
        <v>20274</v>
      </c>
      <c r="F15" s="1782">
        <f>(C15+D15)-E15</f>
        <v>110462</v>
      </c>
      <c r="G15" s="850" t="s">
        <v>917</v>
      </c>
      <c r="H15" s="782"/>
      <c r="I15" s="782"/>
      <c r="J15" s="782"/>
      <c r="K15" s="782"/>
      <c r="L15" s="1791">
        <f>F15-K15</f>
        <v>110462</v>
      </c>
    </row>
    <row r="16" spans="1:14" ht="15" customHeight="1" thickTop="1" thickBot="1" x14ac:dyDescent="0.25">
      <c r="A16" s="1787" t="s">
        <v>664</v>
      </c>
      <c r="B16" s="1788">
        <v>200</v>
      </c>
      <c r="C16" s="1782">
        <f>SUM(C3,C5:C6,C8:C10,C12:C15)</f>
        <v>123932124</v>
      </c>
      <c r="D16" s="1782">
        <f>SUM(D3,D5:D6,D8:D10,D12:D15)</f>
        <v>2357979</v>
      </c>
      <c r="E16" s="1782">
        <f>SUM(E3,E5:E6,E8:E10,E12:E15)</f>
        <v>314662</v>
      </c>
      <c r="F16" s="1782">
        <f>SUM(F3,F5:F6,F8:F10,F12:F15)</f>
        <v>125975441</v>
      </c>
      <c r="G16" s="844"/>
      <c r="H16" s="1782">
        <f>SUM(H3,H6,H8:H10,H12:H14,)</f>
        <v>45571185</v>
      </c>
      <c r="I16" s="1782">
        <f>SUM(I3,I6,I8:I10,I12:I14,)</f>
        <v>3543769</v>
      </c>
      <c r="J16" s="1782">
        <f>SUM(J3,J6,J8:J10,J12:J14,)</f>
        <v>264950</v>
      </c>
      <c r="K16" s="1782">
        <f>(H16+I16)-J16</f>
        <v>48850004</v>
      </c>
      <c r="L16" s="1782">
        <f>F16-K16</f>
        <v>77125437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154296</v>
      </c>
      <c r="G17" s="838">
        <v>10</v>
      </c>
      <c r="H17" s="770"/>
      <c r="I17" s="1791">
        <f>F17/G17</f>
        <v>15429.6</v>
      </c>
      <c r="J17" s="770"/>
      <c r="K17" s="796"/>
      <c r="L17" s="796"/>
    </row>
    <row r="18" spans="1:12" ht="14.25" thickTop="1" thickBot="1" x14ac:dyDescent="0.25">
      <c r="A18" s="1789" t="s">
        <v>706</v>
      </c>
      <c r="B18" s="1790"/>
      <c r="C18" s="772"/>
      <c r="D18" s="772"/>
      <c r="E18" s="772"/>
      <c r="F18" s="851"/>
      <c r="G18" s="852"/>
      <c r="H18" s="774"/>
      <c r="I18" s="1782">
        <f>SUM(I16,I17)</f>
        <v>3559198.6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H12" sqref="H12"/>
      <selection pane="bottomLeft" activeCell="H12" sqref="H1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46456179</v>
      </c>
      <c r="G8" s="866"/>
    </row>
    <row r="9" spans="1:7" x14ac:dyDescent="0.2">
      <c r="A9" s="870" t="s">
        <v>480</v>
      </c>
      <c r="B9" s="871" t="s">
        <v>1985</v>
      </c>
      <c r="C9" s="872"/>
      <c r="D9" s="870" t="s">
        <v>522</v>
      </c>
      <c r="E9" s="869"/>
      <c r="F9" s="1935">
        <f>'Expenditures 15-22'!K151</f>
        <v>4433199</v>
      </c>
      <c r="G9" s="873"/>
    </row>
    <row r="10" spans="1:7" x14ac:dyDescent="0.2">
      <c r="A10" s="870" t="s">
        <v>520</v>
      </c>
      <c r="B10" s="871" t="s">
        <v>1986</v>
      </c>
      <c r="C10" s="872"/>
      <c r="D10" s="870" t="s">
        <v>522</v>
      </c>
      <c r="E10" s="869"/>
      <c r="F10" s="1935">
        <f>'Expenditures 15-22'!K174</f>
        <v>10761032</v>
      </c>
      <c r="G10" s="873"/>
    </row>
    <row r="11" spans="1:7" x14ac:dyDescent="0.2">
      <c r="A11" s="870" t="s">
        <v>481</v>
      </c>
      <c r="B11" s="871" t="s">
        <v>1987</v>
      </c>
      <c r="C11" s="872"/>
      <c r="D11" s="870" t="s">
        <v>522</v>
      </c>
      <c r="E11" s="869"/>
      <c r="F11" s="1935">
        <f>'Expenditures 15-22'!K210</f>
        <v>5475611</v>
      </c>
      <c r="G11" s="873"/>
    </row>
    <row r="12" spans="1:7" x14ac:dyDescent="0.2">
      <c r="A12" s="870" t="s">
        <v>482</v>
      </c>
      <c r="B12" s="871" t="s">
        <v>1988</v>
      </c>
      <c r="C12" s="872"/>
      <c r="D12" s="870" t="s">
        <v>522</v>
      </c>
      <c r="E12" s="869"/>
      <c r="F12" s="1935">
        <f>'Expenditures 15-22'!K295</f>
        <v>2203086</v>
      </c>
      <c r="G12" s="873"/>
    </row>
    <row r="13" spans="1:7" x14ac:dyDescent="0.2">
      <c r="A13" s="870" t="s">
        <v>108</v>
      </c>
      <c r="B13" s="871" t="s">
        <v>1989</v>
      </c>
      <c r="C13" s="872"/>
      <c r="D13" s="870" t="s">
        <v>522</v>
      </c>
      <c r="E13" s="869"/>
      <c r="F13" s="1935">
        <f>'Expenditures 15-22'!K342</f>
        <v>707970</v>
      </c>
      <c r="G13" s="874"/>
    </row>
    <row r="14" spans="1:7" ht="12" customHeight="1" thickBot="1" x14ac:dyDescent="0.25">
      <c r="A14" s="1792"/>
      <c r="B14" s="1793"/>
      <c r="C14" s="1794"/>
      <c r="D14" s="1795" t="s">
        <v>522</v>
      </c>
      <c r="E14" s="1796" t="s">
        <v>1015</v>
      </c>
      <c r="F14" s="1797">
        <f>SUM(F8:F13)</f>
        <v>70037077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132753</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4776855</v>
      </c>
      <c r="G53" s="866"/>
    </row>
    <row r="54" spans="1:7" x14ac:dyDescent="0.2">
      <c r="A54" s="870" t="s">
        <v>479</v>
      </c>
      <c r="B54" s="870" t="s">
        <v>1552</v>
      </c>
      <c r="C54" s="890" t="s">
        <v>1039</v>
      </c>
      <c r="D54" s="886" t="s">
        <v>1157</v>
      </c>
      <c r="E54" s="869"/>
      <c r="F54" s="1939">
        <f>'Expenditures 15-22'!G114</f>
        <v>296702</v>
      </c>
      <c r="G54" s="866"/>
    </row>
    <row r="55" spans="1:7" x14ac:dyDescent="0.2">
      <c r="A55" s="870" t="s">
        <v>479</v>
      </c>
      <c r="B55" s="870" t="s">
        <v>1553</v>
      </c>
      <c r="C55" s="890" t="s">
        <v>1039</v>
      </c>
      <c r="D55" s="886" t="s">
        <v>309</v>
      </c>
      <c r="E55" s="869"/>
      <c r="F55" s="1939">
        <f>'Expenditures 15-22'!I114</f>
        <v>154296</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9">
        <f>'Expenditures 15-22'!K139</f>
        <v>0</v>
      </c>
      <c r="G57" s="866"/>
    </row>
    <row r="58" spans="1:7" x14ac:dyDescent="0.2">
      <c r="A58" s="870" t="s">
        <v>480</v>
      </c>
      <c r="B58" s="870" t="s">
        <v>1991</v>
      </c>
      <c r="C58" s="887" t="s">
        <v>1039</v>
      </c>
      <c r="D58" s="886" t="s">
        <v>1157</v>
      </c>
      <c r="E58" s="869"/>
      <c r="F58" s="1941">
        <f>'Expenditures 15-22'!G151</f>
        <v>18551</v>
      </c>
      <c r="G58" s="866"/>
    </row>
    <row r="59" spans="1:7" x14ac:dyDescent="0.2">
      <c r="A59" s="894" t="s">
        <v>480</v>
      </c>
      <c r="B59" s="857" t="s">
        <v>1992</v>
      </c>
      <c r="C59" s="895" t="s">
        <v>1039</v>
      </c>
      <c r="D59" s="857" t="s">
        <v>309</v>
      </c>
      <c r="F59" s="1942">
        <f>'Expenditures 15-22'!I151</f>
        <v>0</v>
      </c>
      <c r="G59" s="866"/>
    </row>
    <row r="60" spans="1:7" x14ac:dyDescent="0.2">
      <c r="A60" s="894" t="s">
        <v>520</v>
      </c>
      <c r="B60" s="857" t="s">
        <v>1993</v>
      </c>
      <c r="C60" s="895">
        <v>4000</v>
      </c>
      <c r="D60" s="857" t="s">
        <v>330</v>
      </c>
      <c r="F60" s="1940">
        <f>'Expenditures 15-22'!K160</f>
        <v>95572</v>
      </c>
      <c r="G60" s="866"/>
    </row>
    <row r="61" spans="1:7" x14ac:dyDescent="0.2">
      <c r="A61" s="896" t="s">
        <v>520</v>
      </c>
      <c r="B61" s="896" t="s">
        <v>1994</v>
      </c>
      <c r="C61" s="897" t="str">
        <f>'Expenditures 15-22'!B170</f>
        <v>5300</v>
      </c>
      <c r="D61" s="898" t="s">
        <v>329</v>
      </c>
      <c r="E61" s="880"/>
      <c r="F61" s="1939">
        <f>'Expenditures 15-22'!K170</f>
        <v>7345000</v>
      </c>
      <c r="G61" s="866"/>
    </row>
    <row r="62" spans="1:7" x14ac:dyDescent="0.2">
      <c r="A62" s="870" t="s">
        <v>481</v>
      </c>
      <c r="B62" s="870" t="s">
        <v>1995</v>
      </c>
      <c r="C62" s="887">
        <f>'Expenditures 15-22'!B185</f>
        <v>3000</v>
      </c>
      <c r="D62" s="877" t="s">
        <v>469</v>
      </c>
      <c r="E62" s="869"/>
      <c r="F62" s="1939">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1997</v>
      </c>
      <c r="C64" s="897" t="str">
        <f>'Expenditures 15-22'!B206</f>
        <v>5300</v>
      </c>
      <c r="D64" s="893" t="s">
        <v>329</v>
      </c>
      <c r="E64" s="869"/>
      <c r="F64" s="1939">
        <f>'Expenditures 15-22'!K206</f>
        <v>669338</v>
      </c>
      <c r="G64" s="866"/>
    </row>
    <row r="65" spans="1:8" x14ac:dyDescent="0.2">
      <c r="A65" s="870" t="s">
        <v>481</v>
      </c>
      <c r="B65" s="870" t="s">
        <v>1998</v>
      </c>
      <c r="C65" s="887" t="s">
        <v>1039</v>
      </c>
      <c r="D65" s="886" t="s">
        <v>1157</v>
      </c>
      <c r="E65" s="869"/>
      <c r="F65" s="1939">
        <f>'Expenditures 15-22'!G210</f>
        <v>651200</v>
      </c>
      <c r="G65" s="866"/>
    </row>
    <row r="66" spans="1:8" x14ac:dyDescent="0.2">
      <c r="A66" s="870" t="s">
        <v>481</v>
      </c>
      <c r="B66" s="870" t="s">
        <v>1999</v>
      </c>
      <c r="C66" s="887" t="s">
        <v>1039</v>
      </c>
      <c r="D66" s="886" t="s">
        <v>309</v>
      </c>
      <c r="E66" s="869"/>
      <c r="F66" s="1939">
        <f>'Expenditures 15-22'!I210</f>
        <v>0</v>
      </c>
      <c r="G66" s="866"/>
    </row>
    <row r="67" spans="1:8" x14ac:dyDescent="0.2">
      <c r="A67" s="870" t="s">
        <v>482</v>
      </c>
      <c r="B67" s="870" t="s">
        <v>2000</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2002</v>
      </c>
      <c r="C70" s="887">
        <f>'Expenditures 15-22'!B221</f>
        <v>1300</v>
      </c>
      <c r="D70" s="888" t="str">
        <f>'Expenditures 15-22'!A221</f>
        <v>Adult/Continuing Education Programs</v>
      </c>
      <c r="E70" s="869"/>
      <c r="F70" s="1939">
        <f>'Expenditures 15-22'!K221</f>
        <v>0</v>
      </c>
      <c r="G70" s="866"/>
    </row>
    <row r="71" spans="1:8" x14ac:dyDescent="0.2">
      <c r="A71" s="870" t="s">
        <v>482</v>
      </c>
      <c r="B71" s="870" t="s">
        <v>2003</v>
      </c>
      <c r="C71" s="887">
        <f>'Expenditures 15-22'!B224</f>
        <v>1600</v>
      </c>
      <c r="D71" s="888" t="str">
        <f>'Expenditures 15-22'!A224</f>
        <v>Summer School Programs</v>
      </c>
      <c r="E71" s="869"/>
      <c r="F71" s="1939">
        <f>'Expenditures 15-22'!K224</f>
        <v>5905</v>
      </c>
      <c r="G71" s="866"/>
    </row>
    <row r="72" spans="1:8" x14ac:dyDescent="0.2">
      <c r="A72" s="870" t="s">
        <v>482</v>
      </c>
      <c r="B72" s="870" t="s">
        <v>2004</v>
      </c>
      <c r="C72" s="887">
        <f>'Expenditures 15-22'!B280</f>
        <v>3000</v>
      </c>
      <c r="D72" s="877" t="s">
        <v>469</v>
      </c>
      <c r="E72" s="869"/>
      <c r="F72" s="1939">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2006</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14146172</v>
      </c>
      <c r="G76" s="866"/>
    </row>
    <row r="77" spans="1:8" s="894" customFormat="1" ht="12" customHeight="1" thickTop="1" thickBot="1" x14ac:dyDescent="0.25">
      <c r="A77" s="1801"/>
      <c r="B77" s="1798"/>
      <c r="C77" s="1794"/>
      <c r="D77" s="1799" t="s">
        <v>2008</v>
      </c>
      <c r="E77" s="1796"/>
      <c r="F77" s="1802">
        <f>(F14-F76)</f>
        <v>55890905</v>
      </c>
      <c r="G77" s="870"/>
    </row>
    <row r="78" spans="1:8" s="894" customFormat="1" ht="12" customHeight="1" thickTop="1" x14ac:dyDescent="0.2">
      <c r="A78" s="1803"/>
      <c r="B78" s="1798"/>
      <c r="C78" s="1794"/>
      <c r="D78" s="1799" t="s">
        <v>2054</v>
      </c>
      <c r="E78" s="1796"/>
      <c r="F78" s="899">
        <v>4328.58</v>
      </c>
      <c r="G78" s="900"/>
      <c r="H78" s="870"/>
    </row>
    <row r="79" spans="1:8" s="894" customFormat="1" ht="12" customHeight="1" thickBot="1" x14ac:dyDescent="0.25">
      <c r="A79" s="1804"/>
      <c r="B79" s="1798"/>
      <c r="C79" s="1794"/>
      <c r="D79" s="1799" t="s">
        <v>2009</v>
      </c>
      <c r="E79" s="1796" t="s">
        <v>1015</v>
      </c>
      <c r="F79" s="1805">
        <f>IF(F78&gt;0,F77/F78," Complete Line 78")</f>
        <v>12912.064695581461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14782</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15892</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490506</v>
      </c>
      <c r="G94" s="913"/>
    </row>
    <row r="95" spans="1:7" x14ac:dyDescent="0.2">
      <c r="A95" s="909" t="s">
        <v>142</v>
      </c>
      <c r="B95" s="909" t="s">
        <v>177</v>
      </c>
      <c r="C95" s="911">
        <v>1700</v>
      </c>
      <c r="D95" s="919" t="str">
        <f>'Revenues 9-14'!A82</f>
        <v>Total District/School Activity Income</v>
      </c>
      <c r="E95" s="907"/>
      <c r="F95" s="1811">
        <f>SUM('Revenues 9-14'!C82,'Revenues 9-14'!D82)</f>
        <v>306444</v>
      </c>
      <c r="G95" s="913"/>
    </row>
    <row r="96" spans="1:7" x14ac:dyDescent="0.2">
      <c r="A96" s="909" t="s">
        <v>479</v>
      </c>
      <c r="B96" s="909" t="s">
        <v>178</v>
      </c>
      <c r="C96" s="911">
        <f>'Revenues 9-14'!B84</f>
        <v>1811</v>
      </c>
      <c r="D96" s="912" t="str">
        <f>'Revenues 9-14'!A84</f>
        <v>Rentals - Regular Textbooks</v>
      </c>
      <c r="E96" s="907"/>
      <c r="F96" s="1811">
        <f>'Revenues 9-14'!C84</f>
        <v>483343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15830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1629456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49525</v>
      </c>
      <c r="G106" s="913"/>
    </row>
    <row r="107" spans="1:7" x14ac:dyDescent="0.2">
      <c r="A107" s="922" t="s">
        <v>685</v>
      </c>
      <c r="B107" s="909" t="s">
        <v>843</v>
      </c>
      <c r="C107" s="921">
        <v>3300</v>
      </c>
      <c r="D107" s="912" t="str">
        <f>'Revenues 9-14'!A144</f>
        <v>Total Bilingual Ed</v>
      </c>
      <c r="E107" s="907"/>
      <c r="F107" s="1811">
        <f>SUM('Revenues 9-14'!C144,'Revenues 9-14'!G144)</f>
        <v>234867</v>
      </c>
      <c r="G107" s="913"/>
    </row>
    <row r="108" spans="1:7" x14ac:dyDescent="0.2">
      <c r="A108" s="909" t="s">
        <v>479</v>
      </c>
      <c r="B108" s="909" t="s">
        <v>844</v>
      </c>
      <c r="C108" s="921">
        <f>'Revenues 9-14'!B145</f>
        <v>3360</v>
      </c>
      <c r="D108" s="912" t="str">
        <f>'Revenues 9-14'!A145</f>
        <v>State Free Lunch &amp; Breakfast</v>
      </c>
      <c r="E108" s="907"/>
      <c r="F108" s="1811">
        <f>'Revenues 9-14'!C145</f>
        <v>10162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31870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4186422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6397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691512</v>
      </c>
      <c r="G129" s="931"/>
    </row>
    <row r="130" spans="1:7" x14ac:dyDescent="0.2">
      <c r="A130" s="928" t="s">
        <v>689</v>
      </c>
      <c r="B130" s="928" t="s">
        <v>804</v>
      </c>
      <c r="C130" s="933">
        <v>4300</v>
      </c>
      <c r="D130" s="934" t="str">
        <f>'Revenues 9-14'!A211</f>
        <v>Total Title I</v>
      </c>
      <c r="E130" s="907"/>
      <c r="F130" s="1811">
        <f>SUM('Revenues 9-14'!C211,'Revenues 9-14'!D211,'Revenues 9-14'!F211,'Revenues 9-14'!G211)</f>
        <v>554954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19102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513037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993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23844</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6283</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51606</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110713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82861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179328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2053</v>
      </c>
      <c r="C175" s="1946">
        <v>3100</v>
      </c>
      <c r="D175" s="1947" t="s">
        <v>2056</v>
      </c>
      <c r="E175" s="907"/>
      <c r="F175" s="1931"/>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9709729</v>
      </c>
    </row>
    <row r="179" spans="1:7" ht="12" customHeight="1" x14ac:dyDescent="0.2">
      <c r="A179" s="1792"/>
      <c r="B179" s="1806"/>
      <c r="C179" s="1807"/>
      <c r="D179" s="1808" t="s">
        <v>2011</v>
      </c>
      <c r="E179" s="1809"/>
      <c r="F179" s="1811">
        <f>'PCTC-OEPP 27-28'!F77-F178</f>
        <v>46181176</v>
      </c>
    </row>
    <row r="180" spans="1:7" ht="12" customHeight="1" x14ac:dyDescent="0.2">
      <c r="A180" s="1792"/>
      <c r="B180" s="1806"/>
      <c r="C180" s="1807"/>
      <c r="D180" s="1808" t="s">
        <v>1921</v>
      </c>
      <c r="E180" s="1809"/>
      <c r="F180" s="1811">
        <f>'Cap Outlay Deprec 26'!I18</f>
        <v>3559198.6</v>
      </c>
    </row>
    <row r="181" spans="1:7" ht="12" customHeight="1" x14ac:dyDescent="0.2">
      <c r="A181" s="1792"/>
      <c r="B181" s="1806"/>
      <c r="C181" s="1807"/>
      <c r="D181" s="1808" t="s">
        <v>2012</v>
      </c>
      <c r="E181" s="1809"/>
      <c r="F181" s="1811">
        <f>F179+F180</f>
        <v>49740374.600000001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4328.58</v>
      </c>
      <c r="G182" s="931"/>
    </row>
    <row r="183" spans="1:7" ht="12" customHeight="1" thickBot="1" x14ac:dyDescent="0.25">
      <c r="A183" s="1792"/>
      <c r="B183" s="1812"/>
      <c r="C183" s="1807"/>
      <c r="D183" s="1808" t="s">
        <v>2013</v>
      </c>
      <c r="E183" s="1809" t="s">
        <v>1626</v>
      </c>
      <c r="F183" s="1814">
        <f>F181/F182</f>
        <v>11491.152895406809</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H12" sqref="H12"/>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2070</v>
      </c>
      <c r="B7" s="2295"/>
      <c r="C7" s="2295"/>
      <c r="D7" s="2295"/>
      <c r="E7" s="2295"/>
      <c r="F7" s="2295"/>
      <c r="G7" s="2296"/>
    </row>
    <row r="8" spans="1:7" ht="15.75" customHeight="1" x14ac:dyDescent="0.25">
      <c r="A8" s="2297" t="s">
        <v>2019</v>
      </c>
      <c r="B8" s="2298"/>
      <c r="C8" s="2298"/>
      <c r="D8" s="2298"/>
      <c r="E8" s="2298"/>
      <c r="F8" s="2298"/>
      <c r="G8" s="2299"/>
    </row>
    <row r="9" spans="1:7" ht="35.25" customHeight="1" x14ac:dyDescent="0.25">
      <c r="A9" s="2294" t="s">
        <v>2073</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2072</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2169</v>
      </c>
      <c r="B17" s="1957" t="s">
        <v>2170</v>
      </c>
      <c r="C17" s="1958" t="s">
        <v>2171</v>
      </c>
      <c r="D17" s="1867">
        <v>871382</v>
      </c>
      <c r="E17" s="1562">
        <f t="shared" ref="E17:E141" si="1">IF(D17&lt;=25000,D17,IF(D17&gt;25000,25000,0))</f>
        <v>25000</v>
      </c>
      <c r="F17" s="1815">
        <f t="shared" si="0"/>
        <v>25000</v>
      </c>
      <c r="G17" s="1816">
        <f>IF(F17=0,0,D17-F17)</f>
        <v>846382</v>
      </c>
      <c r="H17" s="1669"/>
    </row>
    <row r="18" spans="1:8" ht="30" x14ac:dyDescent="0.25">
      <c r="A18" s="1956" t="s">
        <v>2172</v>
      </c>
      <c r="B18" s="1957" t="s">
        <v>2173</v>
      </c>
      <c r="C18" s="1958" t="s">
        <v>2174</v>
      </c>
      <c r="D18" s="1867">
        <v>592356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567356</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1463738</v>
      </c>
      <c r="E141" s="1563">
        <f t="shared" si="1"/>
        <v>25000</v>
      </c>
      <c r="F141" s="1817">
        <f>SUM(F17:F140)</f>
        <v>50000</v>
      </c>
      <c r="G141" s="1818">
        <f>SUM(G17:G140)</f>
        <v>1413738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H12" sqref="H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05" t="s">
        <v>1941</v>
      </c>
      <c r="B11" s="2306"/>
      <c r="C11" s="2306"/>
      <c r="D11" s="2307"/>
      <c r="E11" s="978">
        <v>106783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28414451</v>
      </c>
      <c r="F19" s="1822"/>
      <c r="G19" s="1824">
        <f>'Expenditures 15-22'!K33-SUM('Expenditures 15-22'!G33,'Expenditures 15-22'!I33)+'Expenditures 15-22'!D229</f>
        <v>28414451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4912633</v>
      </c>
      <c r="F21" s="1825"/>
      <c r="G21" s="1828">
        <f>'Expenditures 15-22'!K42-SUM('Expenditures 15-22'!G42,'Expenditures 15-22'!I42)+'Expenditures 15-22'!K120-SUM('Expenditures 15-22'!G120,'Expenditures 15-22'!I120)+'Expenditures 15-22'!K180-SUM('Expenditures 15-22'!G180,'Expenditures 15-22'!I180)+'Expenditures 15-22'!D238</f>
        <v>4912633</v>
      </c>
      <c r="H21" s="988"/>
      <c r="I21" s="162"/>
    </row>
    <row r="22" spans="1:9" s="669" customFormat="1" ht="12" customHeight="1" x14ac:dyDescent="0.2">
      <c r="A22" s="995" t="s">
        <v>585</v>
      </c>
      <c r="B22" s="996"/>
      <c r="C22" s="994">
        <v>2200</v>
      </c>
      <c r="D22" s="1825"/>
      <c r="E22" s="1827">
        <f>'Expenditures 15-22'!K47-SUM('Expenditures 15-22'!G47,'Expenditures 15-22'!I47)+'Expenditures 15-22'!D243</f>
        <v>3534944</v>
      </c>
      <c r="F22" s="1825"/>
      <c r="G22" s="1828">
        <f>'Expenditures 15-22'!K47-SUM('Expenditures 15-22'!G47,'Expenditures 15-22'!I47)+'Expenditures 15-22'!D243</f>
        <v>3534944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1812738</v>
      </c>
      <c r="F23" s="1825"/>
      <c r="G23" s="1827">
        <f>'Expenditures 15-22'!K53-SUM('Expenditures 15-22'!G53,'Expenditures 15-22'!I53)+'Expenditures 15-22'!D257+'Expenditures 15-22'!K330-SUM('Expenditures 15-22'!G330,'Expenditures 15-22'!I330)</f>
        <v>1812738</v>
      </c>
      <c r="H23" s="988"/>
      <c r="I23" s="162"/>
    </row>
    <row r="24" spans="1:9" s="669" customFormat="1" ht="12" customHeight="1" x14ac:dyDescent="0.2">
      <c r="A24" s="995" t="s">
        <v>587</v>
      </c>
      <c r="B24" s="996"/>
      <c r="C24" s="994">
        <v>2400</v>
      </c>
      <c r="D24" s="1825"/>
      <c r="E24" s="1827">
        <f>'Expenditures 15-22'!K57-SUM('Expenditures 15-22'!G57,'Expenditures 15-22'!I57)+'Expenditures 15-22'!D261</f>
        <v>2893696</v>
      </c>
      <c r="F24" s="1825"/>
      <c r="G24" s="1828">
        <f>'Expenditures 15-22'!K57-SUM('Expenditures 15-22'!G57,'Expenditures 15-22'!I57)+'Expenditures 15-22'!D261</f>
        <v>2893696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546976</v>
      </c>
      <c r="E26" s="1827">
        <f>'Expenditures 15-22'!K122-SUM('Expenditures 15-22'!G122,'Expenditures 15-22'!I122)+E7</f>
        <v>0</v>
      </c>
      <c r="F26" s="1827">
        <f>'Expenditures 15-22'!K59-SUM('Expenditures 15-22'!G59,'Expenditures 15-22'!I59)+'Expenditures 15-22'!D263-E7</f>
        <v>546976</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4847303</v>
      </c>
      <c r="F28" s="1829">
        <f>'Expenditures 15-22'!K61-SUM('Expenditures 15-22'!G61,'Expenditures 15-22'!I61)+'Expenditures 15-22'!K124-SUM('Expenditures 15-22'!G124,'Expenditures 15-22'!I124)+'Expenditures 15-22'!D266-E9</f>
        <v>4847303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4651269</v>
      </c>
      <c r="F29" s="1825"/>
      <c r="G29" s="1828">
        <f>'Expenditures 15-22'!K62-SUM('Expenditures 15-22'!G62,'Expenditures 15-22'!I62)+'Expenditures 15-22'!K125-SUM('Expenditures 15-22'!G125,'Expenditures 15-22'!I125)+'Expenditures 15-22'!K182-SUM('Expenditures 15-22'!G182,'Expenditures 15-22'!I182)+'Expenditures 15-22'!D267</f>
        <v>4651269</v>
      </c>
      <c r="H29" s="986"/>
    </row>
    <row r="30" spans="1:9" ht="12" customHeight="1" x14ac:dyDescent="0.2">
      <c r="A30" s="995" t="s">
        <v>102</v>
      </c>
      <c r="B30" s="998"/>
      <c r="C30" s="994">
        <v>2560</v>
      </c>
      <c r="D30" s="1825"/>
      <c r="E30" s="1827">
        <f>'Expenditures 15-22'!K63-SUM('Expenditures 15-22'!G63,'Expenditures 15-22'!I63)+'Expenditures 15-22'!D268-E10</f>
        <v>887405</v>
      </c>
      <c r="F30" s="1825"/>
      <c r="G30" s="1827">
        <f>'Expenditures 15-22'!K63-SUM('Expenditures 15-22'!G63,'Expenditures 15-22'!I63)+'Expenditures 15-22'!D268-E10</f>
        <v>887405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158663</v>
      </c>
      <c r="E36" s="1827">
        <f>E13</f>
        <v>0</v>
      </c>
      <c r="F36" s="1827">
        <f>'Expenditures 15-22'!K70-SUM('Expenditures 15-22'!G70,'Expenditures 15-22'!I70)+'Expenditures 15-22'!D275-E13</f>
        <v>158663</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-1413738</v>
      </c>
      <c r="F40" s="1825"/>
      <c r="G40" s="1829">
        <f>-'Contracts Paid in CY 29'!G141</f>
        <v>-1413738</v>
      </c>
    </row>
    <row r="41" spans="1:7" ht="12" customHeight="1" x14ac:dyDescent="0.2">
      <c r="A41" s="999" t="s">
        <v>158</v>
      </c>
      <c r="B41" s="1000"/>
      <c r="C41" s="1001"/>
      <c r="D41" s="1829">
        <f>SUM(D19:D39)</f>
        <v>705639</v>
      </c>
      <c r="E41" s="1829">
        <f>SUM(E19:E40)</f>
        <v>50540701</v>
      </c>
      <c r="F41" s="1829">
        <f>SUM(F19:F39)</f>
        <v>5552942</v>
      </c>
      <c r="G41" s="1829">
        <f>SUM(G19:G40)</f>
        <v>45693398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705639</v>
      </c>
      <c r="F43" s="1830" t="s">
        <v>495</v>
      </c>
      <c r="G43" s="1831">
        <f>F41</f>
        <v>5552942</v>
      </c>
    </row>
    <row r="44" spans="1:7" ht="12" customHeight="1" x14ac:dyDescent="0.2">
      <c r="A44" s="988"/>
      <c r="B44" s="162"/>
      <c r="C44" s="1002"/>
      <c r="D44" s="1830" t="s">
        <v>494</v>
      </c>
      <c r="E44" s="1831">
        <f>E41</f>
        <v>50540701</v>
      </c>
      <c r="F44" s="1830" t="s">
        <v>494</v>
      </c>
      <c r="G44" s="1831">
        <f>G41</f>
        <v>45693398</v>
      </c>
    </row>
    <row r="45" spans="1:7" ht="12" customHeight="1" x14ac:dyDescent="0.2">
      <c r="A45" s="988"/>
      <c r="B45" s="162"/>
      <c r="C45" s="162"/>
      <c r="D45" s="1832" t="s">
        <v>1063</v>
      </c>
      <c r="E45" s="1833">
        <f>(E43/E44)</f>
        <v>1.3961796849632141E-2</v>
      </c>
      <c r="F45" s="1832" t="s">
        <v>1063</v>
      </c>
      <c r="G45" s="1833">
        <f>(G43/G44)</f>
        <v>0.12152613381915699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12" sqref="H1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10" width="4"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2043</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Wauconda CUSD 118</v>
      </c>
      <c r="D6" s="2315"/>
      <c r="E6" s="2315"/>
      <c r="F6" s="1877"/>
    </row>
    <row r="7" spans="1:10" ht="11.25" customHeight="1" thickBot="1" x14ac:dyDescent="0.3">
      <c r="A7" s="1875"/>
      <c r="B7" s="1876"/>
      <c r="C7" s="2316">
        <f>COVER!A13</f>
        <v>34049118026</v>
      </c>
      <c r="D7" s="2316"/>
      <c r="E7" s="2316"/>
      <c r="F7" s="1877"/>
    </row>
    <row r="8" spans="1:10" ht="25.5" customHeight="1" thickBot="1" x14ac:dyDescent="0.25">
      <c r="A8" s="1918" t="s">
        <v>2020</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2074</v>
      </c>
      <c r="D14" s="1890" t="s">
        <v>2074</v>
      </c>
      <c r="E14" s="1893" t="s">
        <v>2074</v>
      </c>
      <c r="F14" s="1892" t="s">
        <v>2159</v>
      </c>
      <c r="H14" s="1903">
        <f t="shared" si="0"/>
        <v>5</v>
      </c>
      <c r="I14" s="1903">
        <f t="shared" si="1"/>
        <v>5</v>
      </c>
      <c r="J14" s="1903">
        <f t="shared" si="2"/>
        <v>5</v>
      </c>
    </row>
    <row r="15" spans="1:10" ht="12" customHeight="1" x14ac:dyDescent="0.2">
      <c r="A15" s="1888" t="s">
        <v>1454</v>
      </c>
      <c r="B15" s="1889"/>
      <c r="C15" s="1890" t="s">
        <v>2074</v>
      </c>
      <c r="D15" s="1890" t="s">
        <v>2074</v>
      </c>
      <c r="E15" s="1893" t="s">
        <v>2074</v>
      </c>
      <c r="F15" s="1892" t="s">
        <v>2160</v>
      </c>
      <c r="H15" s="1903">
        <f t="shared" si="0"/>
        <v>5</v>
      </c>
      <c r="I15" s="1903">
        <f t="shared" si="1"/>
        <v>5</v>
      </c>
      <c r="J15" s="1903">
        <f t="shared" si="2"/>
        <v>5</v>
      </c>
    </row>
    <row r="16" spans="1:10" ht="12" customHeight="1" x14ac:dyDescent="0.2">
      <c r="A16" s="1888" t="s">
        <v>1455</v>
      </c>
      <c r="B16" s="1889"/>
      <c r="C16" s="1890" t="s">
        <v>2074</v>
      </c>
      <c r="D16" s="1890" t="s">
        <v>2074</v>
      </c>
      <c r="E16" s="1893" t="s">
        <v>2074</v>
      </c>
      <c r="F16" s="1892" t="s">
        <v>2161</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2074</v>
      </c>
      <c r="D19" s="1890" t="s">
        <v>2074</v>
      </c>
      <c r="E19" s="1893" t="s">
        <v>2074</v>
      </c>
      <c r="F19" s="1892" t="s">
        <v>2162</v>
      </c>
      <c r="H19" s="1903">
        <f t="shared" si="0"/>
        <v>5</v>
      </c>
      <c r="I19" s="1903">
        <f t="shared" si="1"/>
        <v>5</v>
      </c>
      <c r="J19" s="1903">
        <f t="shared" si="2"/>
        <v>5</v>
      </c>
    </row>
    <row r="20" spans="1:12" ht="12" customHeight="1" x14ac:dyDescent="0.2">
      <c r="A20" s="1888" t="s">
        <v>1609</v>
      </c>
      <c r="B20" s="1889"/>
      <c r="C20" s="1890" t="s">
        <v>2074</v>
      </c>
      <c r="D20" s="1890" t="s">
        <v>2074</v>
      </c>
      <c r="E20" s="1893" t="s">
        <v>2074</v>
      </c>
      <c r="F20" s="1892" t="s">
        <v>2163</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t="s">
        <v>2074</v>
      </c>
      <c r="F26" s="1892" t="s">
        <v>2164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2074</v>
      </c>
      <c r="D31" s="1890" t="s">
        <v>2074</v>
      </c>
      <c r="E31" s="1893" t="s">
        <v>2074</v>
      </c>
      <c r="F31" s="1892" t="s">
        <v>2165</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35</v>
      </c>
      <c r="K34" s="1903">
        <f>SUM(H34:J34)</f>
        <v>105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Wauconda CUSD 118</v>
      </c>
      <c r="J6" s="2336"/>
      <c r="Q6" s="1686"/>
    </row>
    <row r="7" spans="1:17" x14ac:dyDescent="0.2">
      <c r="A7" s="2337" t="s">
        <v>924</v>
      </c>
      <c r="B7" s="2338"/>
      <c r="C7" s="2338"/>
      <c r="D7" s="2338"/>
      <c r="E7" s="2339"/>
      <c r="F7" s="1018"/>
      <c r="G7" s="1010"/>
      <c r="H7" s="1017" t="s">
        <v>390</v>
      </c>
      <c r="I7" s="2340">
        <f>COVER!A13</f>
        <v>34049118026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424986</v>
      </c>
      <c r="F12" s="1040"/>
      <c r="G12" s="1834">
        <f t="shared" ref="G12:G18" si="0">SUM(E12:F12)</f>
        <v>424986</v>
      </c>
      <c r="H12" s="1041">
        <v>444503</v>
      </c>
      <c r="I12" s="1040"/>
      <c r="J12" s="1834">
        <f t="shared" ref="J12:J18" si="1">SUM(H12:I12)</f>
        <v>444503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495605</v>
      </c>
      <c r="F15" s="1834">
        <f>'Expenditures 15-22'!K122</f>
        <v>0</v>
      </c>
      <c r="G15" s="1834">
        <f t="shared" si="0"/>
        <v>495605</v>
      </c>
      <c r="H15" s="1041">
        <v>488865</v>
      </c>
      <c r="I15" s="1041"/>
      <c r="J15" s="1834">
        <f t="shared" si="1"/>
        <v>488865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920591</v>
      </c>
      <c r="F19" s="1836">
        <f t="shared" si="2"/>
        <v>0</v>
      </c>
      <c r="G19" s="1836">
        <f t="shared" si="2"/>
        <v>920591</v>
      </c>
      <c r="H19" s="1836">
        <f t="shared" si="2"/>
        <v>933368</v>
      </c>
      <c r="I19" s="1836">
        <f t="shared" si="2"/>
        <v>0</v>
      </c>
      <c r="J19" s="1836">
        <f t="shared" si="2"/>
        <v>933368</v>
      </c>
    </row>
    <row r="20" spans="1:10" ht="13.5" thickTop="1" x14ac:dyDescent="0.2">
      <c r="A20" s="1036">
        <v>9</v>
      </c>
      <c r="B20" s="2347" t="s">
        <v>1703</v>
      </c>
      <c r="C20" s="2347"/>
      <c r="D20" s="2348"/>
      <c r="E20" s="1047"/>
      <c r="F20" s="1047"/>
      <c r="G20" s="1047"/>
      <c r="H20" s="1047"/>
      <c r="I20" s="1047"/>
      <c r="J20" s="1837">
        <f>IF(AND(G19&gt;0,J19&gt;0),(((J19-G19)/G19)),"Enter Budget Data")</f>
        <v>1.3879127647348279E-2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H12" sqref="H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Wauconda CUSD 118</v>
      </c>
    </row>
    <row r="65" spans="2:2" x14ac:dyDescent="0.2">
      <c r="B65" s="1071">
        <f>COVER!A13</f>
        <v>34049118026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H12" sqref="H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H12" sqref="H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2" sqref="D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1181100</xdr:colOff>
                <xdr:row>3</xdr:row>
                <xdr:rowOff>133350</xdr:rowOff>
              </from>
              <to>
                <xdr:col>1</xdr:col>
                <xdr:colOff>2085975</xdr:colOff>
                <xdr:row>8</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2257425</xdr:colOff>
                <xdr:row>4</xdr:row>
                <xdr:rowOff>9525</xdr:rowOff>
              </from>
              <to>
                <xdr:col>1</xdr:col>
                <xdr:colOff>3171825</xdr:colOff>
                <xdr:row>8</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H12" sqref="H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2051</v>
      </c>
      <c r="B4" s="2375"/>
      <c r="C4" s="2375"/>
      <c r="D4" s="2375"/>
      <c r="E4" s="2375"/>
      <c r="F4" s="2376"/>
      <c r="G4" s="1075"/>
      <c r="H4" s="1075"/>
    </row>
    <row r="5" spans="1:8" ht="14.25" customHeight="1" x14ac:dyDescent="0.2">
      <c r="A5" s="2377" t="s">
        <v>2052</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49125776</v>
      </c>
      <c r="C8" s="1838">
        <f>'Acct Summary 7-8'!D8</f>
        <v>4525626</v>
      </c>
      <c r="D8" s="1838">
        <f>'Acct Summary 7-8'!F8</f>
        <v>5916117</v>
      </c>
      <c r="E8" s="1838">
        <f>'Acct Summary 7-8'!I8</f>
        <v>220610</v>
      </c>
      <c r="F8" s="1838">
        <f>SUM(B8:E8)</f>
        <v>59788129</v>
      </c>
    </row>
    <row r="9" spans="1:8" s="1080" customFormat="1" ht="14.25" customHeight="1" thickBot="1" x14ac:dyDescent="0.25">
      <c r="A9" s="1079" t="s">
        <v>1436</v>
      </c>
      <c r="B9" s="1839">
        <f>'Acct Summary 7-8'!C17</f>
        <v>46456179</v>
      </c>
      <c r="C9" s="1839">
        <f>'Acct Summary 7-8'!D17</f>
        <v>4433199</v>
      </c>
      <c r="D9" s="1839">
        <f>'Acct Summary 7-8'!F17</f>
        <v>5475611</v>
      </c>
      <c r="E9" s="1838"/>
      <c r="F9" s="1838">
        <f>SUM(B9:E9)</f>
        <v>56364989</v>
      </c>
    </row>
    <row r="10" spans="1:8" s="1080" customFormat="1" ht="14.25" thickTop="1" thickBot="1" x14ac:dyDescent="0.25">
      <c r="A10" s="1081" t="s">
        <v>1437</v>
      </c>
      <c r="B10" s="1840">
        <f>(B8-B9)</f>
        <v>2669597</v>
      </c>
      <c r="C10" s="1840">
        <f>(C8-C9)</f>
        <v>92427</v>
      </c>
      <c r="D10" s="1840">
        <f>(D8-D9)</f>
        <v>440506</v>
      </c>
      <c r="E10" s="1839">
        <f>(E8-E9)</f>
        <v>220610</v>
      </c>
      <c r="F10" s="1841">
        <f>SUM(F8-F9)</f>
        <v>3423140</v>
      </c>
    </row>
    <row r="11" spans="1:8" s="1080" customFormat="1" ht="14.25" thickTop="1" thickBot="1" x14ac:dyDescent="0.25">
      <c r="A11" s="1082" t="s">
        <v>1785</v>
      </c>
      <c r="B11" s="1842">
        <f>'Acct Summary 7-8'!C81</f>
        <v>12148076</v>
      </c>
      <c r="C11" s="1842">
        <f>'Acct Summary 7-8'!D81</f>
        <v>589118</v>
      </c>
      <c r="D11" s="1842">
        <f>'Acct Summary 7-8'!F81</f>
        <v>1754783</v>
      </c>
      <c r="E11" s="1842">
        <f>'Acct Summary 7-8'!I81</f>
        <v>16580484</v>
      </c>
      <c r="F11" s="1843">
        <f>SUM(B11:E11)</f>
        <v>31072461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ERROR!</v>
      </c>
    </row>
    <row r="69" spans="1:4" x14ac:dyDescent="0.2">
      <c r="A69" s="1101"/>
      <c r="B69" s="1111"/>
      <c r="C69" s="1103" t="s">
        <v>2047</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34049118026</v>
      </c>
    </row>
    <row r="3" spans="1:2" x14ac:dyDescent="0.2">
      <c r="A3" t="s">
        <v>1013</v>
      </c>
      <c r="B3" s="138" t="str">
        <f>COVER!A15</f>
        <v>Lake</v>
      </c>
    </row>
    <row r="4" spans="1:2" x14ac:dyDescent="0.2">
      <c r="A4" t="s">
        <v>1064</v>
      </c>
      <c r="B4" s="138" t="str">
        <f>COVER!A17</f>
        <v>Wauconda CUSD 118</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13358078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1210002</v>
      </c>
      <c r="C91" s="2" t="s">
        <v>594</v>
      </c>
      <c r="D91" s="2" t="str">
        <f t="shared" si="0"/>
        <v>Error?</v>
      </c>
    </row>
    <row r="92" spans="1:4" x14ac:dyDescent="0.2">
      <c r="A92" s="5">
        <v>31</v>
      </c>
      <c r="B92" s="138">
        <f>'Assets-Liab 5-6'!C39</f>
        <v>12148076</v>
      </c>
      <c r="D92" s="2" t="str">
        <f t="shared" si="0"/>
        <v>Error?</v>
      </c>
    </row>
    <row r="93" spans="1:4" x14ac:dyDescent="0.2">
      <c r="A93" s="5">
        <v>32</v>
      </c>
      <c r="B93" s="138">
        <f>'Assets-Liab 5-6'!C41</f>
        <v>13358078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589118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589118</v>
      </c>
      <c r="D123" s="2" t="str">
        <f t="shared" si="0"/>
        <v>Error?</v>
      </c>
    </row>
    <row r="124" spans="1:4" x14ac:dyDescent="0.2">
      <c r="A124" s="5">
        <v>63</v>
      </c>
      <c r="B124" s="138">
        <f>'Assets-Liab 5-6'!D41</f>
        <v>589118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6317155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6317155</v>
      </c>
      <c r="D140" s="2" t="str">
        <f t="shared" si="1"/>
        <v>Error?</v>
      </c>
    </row>
    <row r="141" spans="1:4" x14ac:dyDescent="0.2">
      <c r="A141" s="5">
        <v>80</v>
      </c>
      <c r="B141" s="138">
        <f>'Assets-Liab 5-6'!E41</f>
        <v>6317155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1754783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1754783</v>
      </c>
      <c r="D170" s="2" t="str">
        <f t="shared" si="1"/>
        <v>Error?</v>
      </c>
    </row>
    <row r="171" spans="1:4" x14ac:dyDescent="0.2">
      <c r="A171" s="5">
        <v>110</v>
      </c>
      <c r="B171" s="138">
        <f>'Assets-Liab 5-6'!F41</f>
        <v>1754783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31939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31939</v>
      </c>
      <c r="D189" s="2" t="str">
        <f t="shared" si="1"/>
        <v>Error?</v>
      </c>
    </row>
    <row r="190" spans="1:4" x14ac:dyDescent="0.2">
      <c r="A190" s="5">
        <v>129</v>
      </c>
      <c r="B190" s="138">
        <f>'Assets-Liab 5-6'!G41</f>
        <v>31939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1165837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1165837</v>
      </c>
      <c r="D212" s="2" t="str">
        <f t="shared" si="2"/>
        <v>Error?</v>
      </c>
    </row>
    <row r="213" spans="1:4" x14ac:dyDescent="0.2">
      <c r="A213" s="12">
        <v>152</v>
      </c>
      <c r="B213" s="138">
        <f>'Assets-Liab 5-6'!H41</f>
        <v>1165837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4894309</v>
      </c>
      <c r="D273" s="2" t="str">
        <f t="shared" si="3"/>
        <v>Error?</v>
      </c>
    </row>
    <row r="274" spans="1:4" x14ac:dyDescent="0.2">
      <c r="A274" s="5">
        <v>213</v>
      </c>
      <c r="B274" s="138">
        <f>'Assets-Liab 5-6'!M17</f>
        <v>102093417</v>
      </c>
      <c r="D274" s="2" t="str">
        <f t="shared" si="3"/>
        <v>Error?</v>
      </c>
    </row>
    <row r="275" spans="1:4" x14ac:dyDescent="0.2">
      <c r="A275" s="5">
        <v>214</v>
      </c>
      <c r="B275" s="138">
        <f>'Assets-Liab 5-6'!M18</f>
        <v>3617697</v>
      </c>
      <c r="D275" s="2" t="str">
        <f t="shared" si="3"/>
        <v>Error?</v>
      </c>
    </row>
    <row r="276" spans="1:4" x14ac:dyDescent="0.2">
      <c r="A276" s="5">
        <v>215</v>
      </c>
      <c r="B276" s="138">
        <f>'Assets-Liab 5-6'!M19</f>
        <v>15259556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125975441</v>
      </c>
      <c r="C279" s="2" t="s">
        <v>594</v>
      </c>
      <c r="D279" s="2" t="str">
        <f t="shared" si="3"/>
        <v>Error?</v>
      </c>
    </row>
    <row r="280" spans="1:4" x14ac:dyDescent="0.2">
      <c r="A280" s="5">
        <v>219</v>
      </c>
      <c r="B280" s="138">
        <f>'Assets-Liab 5-6'!M40</f>
        <v>125975441</v>
      </c>
      <c r="D280" s="2" t="str">
        <f t="shared" si="3"/>
        <v>Error?</v>
      </c>
    </row>
    <row r="281" spans="1:4" x14ac:dyDescent="0.2">
      <c r="A281" s="5">
        <v>220</v>
      </c>
      <c r="B281" s="138">
        <f>'Assets-Liab 5-6'!M41</f>
        <v>125975441</v>
      </c>
      <c r="C281" s="2" t="s">
        <v>594</v>
      </c>
      <c r="D281" s="2" t="str">
        <f t="shared" si="3"/>
        <v>Error?</v>
      </c>
    </row>
    <row r="282" spans="1:4" x14ac:dyDescent="0.2">
      <c r="A282" s="5">
        <v>221</v>
      </c>
      <c r="B282" s="138">
        <f>'Assets-Liab 5-6'!N21</f>
        <v>6317155</v>
      </c>
      <c r="D282" s="2" t="str">
        <f t="shared" si="3"/>
        <v>Error?</v>
      </c>
    </row>
    <row r="283" spans="1:4" x14ac:dyDescent="0.2">
      <c r="A283" s="5">
        <v>222</v>
      </c>
      <c r="B283" s="138">
        <f>'Assets-Liab 5-6'!N22</f>
        <v>56996313</v>
      </c>
      <c r="D283" s="2" t="str">
        <f t="shared" si="3"/>
        <v>Error?</v>
      </c>
    </row>
    <row r="284" spans="1:4" x14ac:dyDescent="0.2">
      <c r="A284" s="5">
        <v>223</v>
      </c>
      <c r="B284" s="138">
        <f>'Assets-Liab 5-6'!N23</f>
        <v>63313468</v>
      </c>
      <c r="C284" s="2" t="s">
        <v>594</v>
      </c>
      <c r="D284" s="2" t="str">
        <f t="shared" si="3"/>
        <v>Error?</v>
      </c>
    </row>
    <row r="285" spans="1:4" x14ac:dyDescent="0.2">
      <c r="A285" s="5">
        <v>224</v>
      </c>
      <c r="B285" s="138">
        <f>'Assets-Liab 5-6'!N36</f>
        <v>63313468</v>
      </c>
      <c r="D285" s="2" t="str">
        <f t="shared" si="3"/>
        <v>Error?</v>
      </c>
    </row>
    <row r="286" spans="1:4" x14ac:dyDescent="0.2">
      <c r="A286" s="10">
        <v>225</v>
      </c>
      <c r="D286" s="2" t="str">
        <f t="shared" si="3"/>
        <v>OK</v>
      </c>
    </row>
    <row r="287" spans="1:4" x14ac:dyDescent="0.2">
      <c r="A287" s="5">
        <v>226</v>
      </c>
      <c r="B287" s="138">
        <f>'Assets-Liab 5-6'!N37</f>
        <v>63313468</v>
      </c>
      <c r="C287" s="2" t="s">
        <v>594</v>
      </c>
      <c r="D287" s="2" t="str">
        <f t="shared" si="3"/>
        <v>Error?</v>
      </c>
    </row>
    <row r="288" spans="1:4" x14ac:dyDescent="0.2">
      <c r="A288" s="5">
        <v>227</v>
      </c>
      <c r="B288" s="138">
        <f>'Assets-Liab 5-6'!N41</f>
        <v>63313468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213218</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14290924</v>
      </c>
      <c r="D705" s="2" t="str">
        <f t="shared" si="10"/>
        <v>Error?</v>
      </c>
    </row>
    <row r="706" spans="1:4" x14ac:dyDescent="0.2">
      <c r="A706" s="5">
        <v>645</v>
      </c>
      <c r="B706" s="138">
        <f>'Expenditures 15-22'!C16</f>
        <v>282821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1554686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1026956</v>
      </c>
      <c r="D718" s="2" t="str">
        <f t="shared" si="10"/>
        <v>Error?</v>
      </c>
    </row>
    <row r="719" spans="1:4" x14ac:dyDescent="0.2">
      <c r="A719" s="5">
        <v>658</v>
      </c>
      <c r="B719" s="138">
        <f>'Expenditures 15-22'!C15</f>
        <v>128778</v>
      </c>
      <c r="D719" s="2" t="str">
        <f t="shared" si="10"/>
        <v>Error?</v>
      </c>
    </row>
    <row r="720" spans="1:4" x14ac:dyDescent="0.2">
      <c r="A720" s="5">
        <v>659</v>
      </c>
      <c r="B720" s="138">
        <f>'Expenditures 15-22'!C33</f>
        <v>22607147</v>
      </c>
      <c r="C720" s="2" t="s">
        <v>594</v>
      </c>
      <c r="D720" s="2" t="str">
        <f t="shared" si="10"/>
        <v>Error?</v>
      </c>
    </row>
    <row r="721" spans="1:4" x14ac:dyDescent="0.2">
      <c r="A721" s="5">
        <v>660</v>
      </c>
      <c r="B721" s="138">
        <f>'Expenditures 15-22'!C36</f>
        <v>596575</v>
      </c>
      <c r="D721" s="2" t="str">
        <f t="shared" si="10"/>
        <v>Error?</v>
      </c>
    </row>
    <row r="722" spans="1:4" x14ac:dyDescent="0.2">
      <c r="A722" s="5">
        <v>661</v>
      </c>
      <c r="B722" s="138">
        <f>'Expenditures 15-22'!C37</f>
        <v>559871</v>
      </c>
      <c r="D722" s="2" t="str">
        <f t="shared" si="10"/>
        <v>Error?</v>
      </c>
    </row>
    <row r="723" spans="1:4" x14ac:dyDescent="0.2">
      <c r="A723" s="5">
        <v>662</v>
      </c>
      <c r="B723" s="138">
        <f>'Expenditures 15-22'!C38</f>
        <v>247660</v>
      </c>
      <c r="D723" s="2" t="str">
        <f t="shared" si="10"/>
        <v>Error?</v>
      </c>
    </row>
    <row r="724" spans="1:4" x14ac:dyDescent="0.2">
      <c r="A724" s="5">
        <v>663</v>
      </c>
      <c r="B724" s="138">
        <f>'Expenditures 15-22'!C39</f>
        <v>494589</v>
      </c>
      <c r="D724" s="2" t="str">
        <f t="shared" si="10"/>
        <v>Error?</v>
      </c>
    </row>
    <row r="725" spans="1:4" x14ac:dyDescent="0.2">
      <c r="A725" s="5">
        <v>664</v>
      </c>
      <c r="B725" s="138">
        <f>'Expenditures 15-22'!C40</f>
        <v>534806</v>
      </c>
      <c r="D725" s="2" t="str">
        <f t="shared" si="10"/>
        <v>Error?</v>
      </c>
    </row>
    <row r="726" spans="1:4" x14ac:dyDescent="0.2">
      <c r="A726" s="5">
        <v>665</v>
      </c>
      <c r="B726" s="138">
        <f>'Expenditures 15-22'!C41</f>
        <v>773660</v>
      </c>
      <c r="D726" s="2" t="str">
        <f t="shared" si="10"/>
        <v>Error?</v>
      </c>
    </row>
    <row r="727" spans="1:4" x14ac:dyDescent="0.2">
      <c r="A727" s="5">
        <v>666</v>
      </c>
      <c r="B727" s="138">
        <f>'Expenditures 15-22'!C42</f>
        <v>3207161</v>
      </c>
      <c r="C727" s="2" t="s">
        <v>594</v>
      </c>
      <c r="D727" s="2" t="str">
        <f t="shared" si="10"/>
        <v>Error?</v>
      </c>
    </row>
    <row r="728" spans="1:4" x14ac:dyDescent="0.2">
      <c r="A728" s="5">
        <v>667</v>
      </c>
      <c r="B728" s="138">
        <f>'Expenditures 15-22'!C44</f>
        <v>1188218</v>
      </c>
      <c r="D728" s="2" t="str">
        <f t="shared" si="10"/>
        <v>Error?</v>
      </c>
    </row>
    <row r="729" spans="1:4" x14ac:dyDescent="0.2">
      <c r="A729" s="5">
        <v>668</v>
      </c>
      <c r="B729" s="138">
        <f>'Expenditures 15-22'!C45</f>
        <v>674059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1862277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385261</v>
      </c>
      <c r="D733" s="2" t="str">
        <f t="shared" si="10"/>
        <v>Error?</v>
      </c>
    </row>
    <row r="734" spans="1:4" x14ac:dyDescent="0.2">
      <c r="A734" s="5">
        <v>673</v>
      </c>
      <c r="B734" s="138">
        <f>'Expenditures 15-22'!C53</f>
        <v>385261</v>
      </c>
      <c r="C734" s="2" t="s">
        <v>594</v>
      </c>
      <c r="D734" s="2" t="str">
        <f t="shared" si="10"/>
        <v>Error?</v>
      </c>
    </row>
    <row r="735" spans="1:4" x14ac:dyDescent="0.2">
      <c r="A735" s="5">
        <v>674</v>
      </c>
      <c r="B735" s="138">
        <f>'Expenditures 15-22'!C55</f>
        <v>2263420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2263420</v>
      </c>
      <c r="C737" s="2" t="s">
        <v>594</v>
      </c>
      <c r="D737" s="2" t="str">
        <f t="shared" si="10"/>
        <v>Error?</v>
      </c>
    </row>
    <row r="738" spans="1:4" x14ac:dyDescent="0.2">
      <c r="A738" s="5">
        <v>677</v>
      </c>
      <c r="B738" s="138">
        <f>'Expenditures 15-22'!C59</f>
        <v>445301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445301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143591</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143591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8307011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30914158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1830302</v>
      </c>
      <c r="D763" s="2" t="str">
        <f t="shared" si="10"/>
        <v>Error?</v>
      </c>
    </row>
    <row r="764" spans="1:4" x14ac:dyDescent="0.2">
      <c r="A764" s="5">
        <v>703</v>
      </c>
      <c r="B764" s="138">
        <f>'Expenditures 15-22'!D16</f>
        <v>25465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277410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77470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3148206</v>
      </c>
      <c r="C778" s="2" t="s">
        <v>594</v>
      </c>
      <c r="D778" s="2" t="str">
        <f t="shared" si="11"/>
        <v>Error?</v>
      </c>
    </row>
    <row r="779" spans="1:4" x14ac:dyDescent="0.2">
      <c r="A779" s="5">
        <v>718</v>
      </c>
      <c r="B779" s="138">
        <f>'Expenditures 15-22'!D36</f>
        <v>67905</v>
      </c>
      <c r="D779" s="2" t="str">
        <f t="shared" si="11"/>
        <v>Error?</v>
      </c>
    </row>
    <row r="780" spans="1:4" x14ac:dyDescent="0.2">
      <c r="A780" s="5">
        <v>719</v>
      </c>
      <c r="B780" s="138">
        <f>'Expenditures 15-22'!D37</f>
        <v>58912</v>
      </c>
      <c r="D780" s="2" t="str">
        <f t="shared" si="11"/>
        <v>Error?</v>
      </c>
    </row>
    <row r="781" spans="1:4" x14ac:dyDescent="0.2">
      <c r="A781" s="5">
        <v>720</v>
      </c>
      <c r="B781" s="138">
        <f>'Expenditures 15-22'!D38</f>
        <v>48883</v>
      </c>
      <c r="D781" s="2" t="str">
        <f t="shared" si="11"/>
        <v>Error?</v>
      </c>
    </row>
    <row r="782" spans="1:4" x14ac:dyDescent="0.2">
      <c r="A782" s="5">
        <v>721</v>
      </c>
      <c r="B782" s="138">
        <f>'Expenditures 15-22'!D39</f>
        <v>57961</v>
      </c>
      <c r="D782" s="2" t="str">
        <f t="shared" si="11"/>
        <v>Error?</v>
      </c>
    </row>
    <row r="783" spans="1:4" x14ac:dyDescent="0.2">
      <c r="A783" s="5">
        <v>722</v>
      </c>
      <c r="B783" s="138">
        <f>'Expenditures 15-22'!D40</f>
        <v>61354</v>
      </c>
      <c r="D783" s="2" t="str">
        <f t="shared" si="11"/>
        <v>Error?</v>
      </c>
    </row>
    <row r="784" spans="1:4" x14ac:dyDescent="0.2">
      <c r="A784" s="5">
        <v>723</v>
      </c>
      <c r="B784" s="138">
        <f>'Expenditures 15-22'!D41</f>
        <v>31782</v>
      </c>
      <c r="D784" s="2" t="str">
        <f t="shared" si="11"/>
        <v>Error?</v>
      </c>
    </row>
    <row r="785" spans="1:4" x14ac:dyDescent="0.2">
      <c r="A785" s="5">
        <v>724</v>
      </c>
      <c r="B785" s="138">
        <f>'Expenditures 15-22'!D42</f>
        <v>326797</v>
      </c>
      <c r="C785" s="2" t="s">
        <v>594</v>
      </c>
      <c r="D785" s="2" t="str">
        <f t="shared" si="11"/>
        <v>Error?</v>
      </c>
    </row>
    <row r="786" spans="1:4" x14ac:dyDescent="0.2">
      <c r="A786" s="5">
        <v>725</v>
      </c>
      <c r="B786" s="138">
        <f>'Expenditures 15-22'!D44</f>
        <v>664827</v>
      </c>
      <c r="D786" s="2" t="str">
        <f t="shared" si="11"/>
        <v>Error?</v>
      </c>
    </row>
    <row r="787" spans="1:4" x14ac:dyDescent="0.2">
      <c r="A787" s="5">
        <v>726</v>
      </c>
      <c r="B787" s="138">
        <f>'Expenditures 15-22'!D45</f>
        <v>148531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813358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34841</v>
      </c>
      <c r="D791" s="2" t="str">
        <f t="shared" si="11"/>
        <v>Error?</v>
      </c>
    </row>
    <row r="792" spans="1:4" x14ac:dyDescent="0.2">
      <c r="A792" s="5">
        <v>731</v>
      </c>
      <c r="B792" s="138">
        <f>'Expenditures 15-22'!D53</f>
        <v>34841</v>
      </c>
      <c r="C792" s="2" t="s">
        <v>594</v>
      </c>
      <c r="D792" s="2" t="str">
        <f t="shared" si="11"/>
        <v>Error?</v>
      </c>
    </row>
    <row r="793" spans="1:4" x14ac:dyDescent="0.2">
      <c r="A793" s="5">
        <v>732</v>
      </c>
      <c r="B793" s="138">
        <f>'Expenditures 15-22'!D55</f>
        <v>350515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350515</v>
      </c>
      <c r="C795" s="2" t="s">
        <v>594</v>
      </c>
      <c r="D795" s="2" t="str">
        <f t="shared" si="11"/>
        <v>Error?</v>
      </c>
    </row>
    <row r="796" spans="1:4" x14ac:dyDescent="0.2">
      <c r="A796" s="5">
        <v>735</v>
      </c>
      <c r="B796" s="138">
        <f>'Expenditures 15-22'!D59</f>
        <v>43195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43195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9323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9323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1578029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4726235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110221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57327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8614</v>
      </c>
      <c r="D833" s="2" t="str">
        <f t="shared" si="12"/>
        <v>Error?</v>
      </c>
    </row>
    <row r="834" spans="1:4" x14ac:dyDescent="0.2">
      <c r="A834" s="5">
        <v>773</v>
      </c>
      <c r="B834" s="138">
        <f>'Expenditures 15-22'!E14</f>
        <v>80843</v>
      </c>
      <c r="D834" s="2" t="str">
        <f t="shared" si="12"/>
        <v>Error?</v>
      </c>
    </row>
    <row r="835" spans="1:4" x14ac:dyDescent="0.2">
      <c r="A835" s="5">
        <v>774</v>
      </c>
      <c r="B835" s="138">
        <f>'Expenditures 15-22'!E15</f>
        <v>3975</v>
      </c>
      <c r="D835" s="2" t="str">
        <f t="shared" si="12"/>
        <v>Error?</v>
      </c>
    </row>
    <row r="836" spans="1:4" x14ac:dyDescent="0.2">
      <c r="A836" s="5">
        <v>775</v>
      </c>
      <c r="B836" s="138">
        <f>'Expenditures 15-22'!E33</f>
        <v>779065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572756</v>
      </c>
      <c r="D842" s="2" t="str">
        <f t="shared" si="12"/>
        <v>Error?</v>
      </c>
    </row>
    <row r="843" spans="1:4" x14ac:dyDescent="0.2">
      <c r="A843" s="5">
        <v>782</v>
      </c>
      <c r="B843" s="138">
        <f>'Expenditures 15-22'!E42</f>
        <v>572756</v>
      </c>
      <c r="C843" s="2" t="s">
        <v>594</v>
      </c>
      <c r="D843" s="2" t="str">
        <f t="shared" si="12"/>
        <v>Error?</v>
      </c>
    </row>
    <row r="844" spans="1:4" x14ac:dyDescent="0.2">
      <c r="A844" s="5">
        <v>783</v>
      </c>
      <c r="B844" s="138">
        <f>'Expenditures 15-22'!E44</f>
        <v>122042</v>
      </c>
      <c r="D844" s="2" t="str">
        <f t="shared" si="12"/>
        <v>Error?</v>
      </c>
    </row>
    <row r="845" spans="1:4" x14ac:dyDescent="0.2">
      <c r="A845" s="5">
        <v>784</v>
      </c>
      <c r="B845" s="138">
        <f>'Expenditures 15-22'!E45</f>
        <v>3106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125148</v>
      </c>
      <c r="C847" s="2" t="s">
        <v>594</v>
      </c>
      <c r="D847" s="2" t="str">
        <f t="shared" si="12"/>
        <v>Error?</v>
      </c>
    </row>
    <row r="848" spans="1:4" x14ac:dyDescent="0.2">
      <c r="A848" s="5">
        <v>787</v>
      </c>
      <c r="B848" s="138">
        <f>'Expenditures 15-22'!E49</f>
        <v>631461</v>
      </c>
      <c r="D848" s="2" t="str">
        <f t="shared" si="12"/>
        <v>Error?</v>
      </c>
    </row>
    <row r="849" spans="1:4" x14ac:dyDescent="0.2">
      <c r="A849" s="5">
        <v>788</v>
      </c>
      <c r="B849" s="138">
        <f>'Expenditures 15-22'!E50</f>
        <v>2610</v>
      </c>
      <c r="D849" s="2" t="str">
        <f t="shared" si="12"/>
        <v>Error?</v>
      </c>
    </row>
    <row r="850" spans="1:4" x14ac:dyDescent="0.2">
      <c r="A850" s="5">
        <v>789</v>
      </c>
      <c r="B850" s="138">
        <f>'Expenditures 15-22'!E53</f>
        <v>634071</v>
      </c>
      <c r="C850" s="2" t="s">
        <v>594</v>
      </c>
      <c r="D850" s="2" t="str">
        <f t="shared" si="12"/>
        <v>Error?</v>
      </c>
    </row>
    <row r="851" spans="1:4" x14ac:dyDescent="0.2">
      <c r="A851" s="5">
        <v>790</v>
      </c>
      <c r="B851" s="138">
        <f>'Expenditures 15-22'!E55</f>
        <v>9845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9845</v>
      </c>
      <c r="C853" s="2" t="s">
        <v>594</v>
      </c>
      <c r="D853" s="2" t="str">
        <f t="shared" si="12"/>
        <v>Error?</v>
      </c>
    </row>
    <row r="854" spans="1:4" x14ac:dyDescent="0.2">
      <c r="A854" s="5">
        <v>793</v>
      </c>
      <c r="B854" s="138">
        <f>'Expenditures 15-22'!E59</f>
        <v>5800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878820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884620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2188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2188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2228628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3007693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298193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37405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9186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1165979</v>
      </c>
      <c r="C894" s="2" t="s">
        <v>594</v>
      </c>
      <c r="D894" s="2" t="str">
        <f t="shared" si="12"/>
        <v>Error?</v>
      </c>
    </row>
    <row r="895" spans="1:4" x14ac:dyDescent="0.2">
      <c r="A895" s="5">
        <v>834</v>
      </c>
      <c r="B895" s="138">
        <f>'Expenditures 15-22'!F36</f>
        <v>1319</v>
      </c>
      <c r="D895" s="2" t="str">
        <f t="shared" ref="D895:D958" si="13">IF(ISBLANK(B895),"OK",IF(A895-B895=0,"OK","Error?"))</f>
        <v>Error?</v>
      </c>
    </row>
    <row r="896" spans="1:4" x14ac:dyDescent="0.2">
      <c r="A896" s="5">
        <v>835</v>
      </c>
      <c r="B896" s="138">
        <f>'Expenditures 15-22'!F37</f>
        <v>3437</v>
      </c>
      <c r="D896" s="2" t="str">
        <f t="shared" si="13"/>
        <v>Error?</v>
      </c>
    </row>
    <row r="897" spans="1:4" x14ac:dyDescent="0.2">
      <c r="A897" s="5">
        <v>836</v>
      </c>
      <c r="B897" s="138">
        <f>'Expenditures 15-22'!F38</f>
        <v>5254</v>
      </c>
      <c r="D897" s="2" t="str">
        <f t="shared" si="13"/>
        <v>Error?</v>
      </c>
    </row>
    <row r="898" spans="1:4" x14ac:dyDescent="0.2">
      <c r="A898" s="5">
        <v>837</v>
      </c>
      <c r="B898" s="138">
        <f>'Expenditures 15-22'!F39</f>
        <v>6442</v>
      </c>
      <c r="D898" s="2" t="str">
        <f t="shared" si="13"/>
        <v>Error?</v>
      </c>
    </row>
    <row r="899" spans="1:4" x14ac:dyDescent="0.2">
      <c r="A899" s="5">
        <v>838</v>
      </c>
      <c r="B899" s="138">
        <f>'Expenditures 15-22'!F40</f>
        <v>3546</v>
      </c>
      <c r="D899" s="2" t="str">
        <f t="shared" si="13"/>
        <v>Error?</v>
      </c>
    </row>
    <row r="900" spans="1:4" x14ac:dyDescent="0.2">
      <c r="A900" s="5">
        <v>839</v>
      </c>
      <c r="B900" s="138">
        <f>'Expenditures 15-22'!F41</f>
        <v>610108</v>
      </c>
      <c r="D900" s="2" t="str">
        <f t="shared" si="13"/>
        <v>Error?</v>
      </c>
    </row>
    <row r="901" spans="1:4" x14ac:dyDescent="0.2">
      <c r="A901" s="5">
        <v>840</v>
      </c>
      <c r="B901" s="138">
        <f>'Expenditures 15-22'!F42</f>
        <v>630106</v>
      </c>
      <c r="C901" s="2" t="s">
        <v>594</v>
      </c>
      <c r="D901" s="2" t="str">
        <f t="shared" si="13"/>
        <v>Error?</v>
      </c>
    </row>
    <row r="902" spans="1:4" x14ac:dyDescent="0.2">
      <c r="A902" s="5">
        <v>841</v>
      </c>
      <c r="B902" s="138">
        <f>'Expenditures 15-22'!F44</f>
        <v>581635</v>
      </c>
      <c r="D902" s="2" t="str">
        <f t="shared" si="13"/>
        <v>Error?</v>
      </c>
    </row>
    <row r="903" spans="1:4" x14ac:dyDescent="0.2">
      <c r="A903" s="5">
        <v>842</v>
      </c>
      <c r="B903" s="138">
        <f>'Expenditures 15-22'!F45</f>
        <v>39301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620936</v>
      </c>
      <c r="C905" s="2" t="s">
        <v>594</v>
      </c>
      <c r="D905" s="2" t="str">
        <f t="shared" si="13"/>
        <v>Error?</v>
      </c>
    </row>
    <row r="906" spans="1:4" x14ac:dyDescent="0.2">
      <c r="A906" s="5">
        <v>845</v>
      </c>
      <c r="B906" s="138">
        <f>'Expenditures 15-22'!F49</f>
        <v>11491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11491</v>
      </c>
      <c r="C908" s="2" t="s">
        <v>594</v>
      </c>
      <c r="D908" s="2" t="str">
        <f t="shared" si="13"/>
        <v>Error?</v>
      </c>
    </row>
    <row r="909" spans="1:4" x14ac:dyDescent="0.2">
      <c r="A909" s="5">
        <v>848</v>
      </c>
      <c r="B909" s="138">
        <f>'Expenditures 15-22'!F55</f>
        <v>51850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51850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6833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1321216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2487195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1238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234721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52324</v>
      </c>
      <c r="D958" s="2" t="str">
        <f t="shared" si="13"/>
        <v>Error?</v>
      </c>
    </row>
    <row r="959" spans="1:4" x14ac:dyDescent="0.2">
      <c r="A959" s="5">
        <v>898</v>
      </c>
      <c r="B959" s="138">
        <f>'Expenditures 15-22'!G42</f>
        <v>52324</v>
      </c>
      <c r="C959" s="2" t="s">
        <v>594</v>
      </c>
      <c r="D959" s="2" t="str">
        <f t="shared" ref="D959:D1022" si="14">IF(ISBLANK(B959),"OK",IF(A959-B959=0,"OK","Error?"))</f>
        <v>Error?</v>
      </c>
    </row>
    <row r="960" spans="1:4" x14ac:dyDescent="0.2">
      <c r="A960" s="5">
        <v>899</v>
      </c>
      <c r="B960" s="138">
        <f>'Expenditures 15-22'!G44</f>
        <v>2249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2249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7408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7408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61981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296702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28522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44502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12665</v>
      </c>
      <c r="D1016" s="2" t="str">
        <f t="shared" si="14"/>
        <v>Error?</v>
      </c>
    </row>
    <row r="1017" spans="1:4" x14ac:dyDescent="0.2">
      <c r="A1017" s="5">
        <v>956</v>
      </c>
      <c r="B1017" s="138">
        <f>'Expenditures 15-22'!H42</f>
        <v>12665</v>
      </c>
      <c r="C1017" s="2" t="s">
        <v>594</v>
      </c>
      <c r="D1017" s="2" t="str">
        <f t="shared" si="14"/>
        <v>Error?</v>
      </c>
    </row>
    <row r="1018" spans="1:4" x14ac:dyDescent="0.2">
      <c r="A1018" s="5">
        <v>957</v>
      </c>
      <c r="B1018" s="138">
        <f>'Expenditures 15-22'!H44</f>
        <v>5001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5001</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2274</v>
      </c>
      <c r="D1023" s="2" t="str">
        <f t="shared" ref="D1023:D1086" si="15">IF(ISBLANK(B1023),"OK",IF(A1023-B1023=0,"OK","Error?"))</f>
        <v>Error?</v>
      </c>
    </row>
    <row r="1024" spans="1:4" x14ac:dyDescent="0.2">
      <c r="A1024" s="5">
        <v>963</v>
      </c>
      <c r="B1024" s="138">
        <f>'Expenditures 15-22'!H53</f>
        <v>2274</v>
      </c>
      <c r="C1024" s="2" t="s">
        <v>594</v>
      </c>
      <c r="D1024" s="2" t="str">
        <f t="shared" si="15"/>
        <v>Error?</v>
      </c>
    </row>
    <row r="1025" spans="1:4" x14ac:dyDescent="0.2">
      <c r="A1025" s="5">
        <v>964</v>
      </c>
      <c r="B1025" s="138">
        <f>'Expenditures 15-22'!H55</f>
        <v>23945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23945</v>
      </c>
      <c r="C1027" s="2" t="s">
        <v>594</v>
      </c>
      <c r="D1027" s="2" t="str">
        <f t="shared" si="15"/>
        <v>Error?</v>
      </c>
    </row>
    <row r="1028" spans="1:4" x14ac:dyDescent="0.2">
      <c r="A1028" s="5">
        <v>967</v>
      </c>
      <c r="B1028" s="138">
        <f>'Expenditures 15-22'!H59</f>
        <v>1309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1752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3061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1597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1597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48543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4776855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4869900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16538640</v>
      </c>
      <c r="C1093" s="2" t="s">
        <v>594</v>
      </c>
      <c r="D1093" s="2" t="str">
        <f t="shared" si="16"/>
        <v>Error?</v>
      </c>
    </row>
    <row r="1094" spans="1:4" x14ac:dyDescent="0.2">
      <c r="A1094" s="5">
        <v>1033</v>
      </c>
      <c r="B1094" s="138">
        <f>'Expenditures 15-22'!K16</f>
        <v>308286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1926828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42911</v>
      </c>
      <c r="C1105" s="2" t="s">
        <v>594</v>
      </c>
      <c r="D1105" s="2" t="str">
        <f t="shared" si="16"/>
        <v>Error?</v>
      </c>
    </row>
    <row r="1106" spans="1:4" x14ac:dyDescent="0.2">
      <c r="A1106" s="5">
        <v>1045</v>
      </c>
      <c r="B1106" s="138">
        <f>'Expenditures 15-22'!K14</f>
        <v>1213791</v>
      </c>
      <c r="C1106" s="2" t="s">
        <v>594</v>
      </c>
      <c r="D1106" s="2" t="str">
        <f t="shared" si="16"/>
        <v>Error?</v>
      </c>
    </row>
    <row r="1107" spans="1:4" x14ac:dyDescent="0.2">
      <c r="A1107" s="5">
        <v>1046</v>
      </c>
      <c r="B1107" s="138">
        <f>'Expenditures 15-22'!K15</f>
        <v>132753</v>
      </c>
      <c r="C1107" s="2" t="s">
        <v>594</v>
      </c>
      <c r="D1107" s="2" t="str">
        <f t="shared" si="16"/>
        <v>Error?</v>
      </c>
    </row>
    <row r="1108" spans="1:4" x14ac:dyDescent="0.2">
      <c r="A1108" s="5">
        <v>1047</v>
      </c>
      <c r="B1108" s="138">
        <f>'Expenditures 15-22'!K33</f>
        <v>28096477</v>
      </c>
      <c r="C1108" s="2" t="s">
        <v>594</v>
      </c>
      <c r="D1108" s="2" t="str">
        <f t="shared" si="16"/>
        <v>Error?</v>
      </c>
    </row>
    <row r="1109" spans="1:4" x14ac:dyDescent="0.2">
      <c r="A1109" s="5">
        <v>1048</v>
      </c>
      <c r="B1109" s="138">
        <f>'Expenditures 15-22'!K36</f>
        <v>665799</v>
      </c>
      <c r="C1109" s="2" t="s">
        <v>594</v>
      </c>
      <c r="D1109" s="2" t="str">
        <f t="shared" si="16"/>
        <v>Error?</v>
      </c>
    </row>
    <row r="1110" spans="1:4" x14ac:dyDescent="0.2">
      <c r="A1110" s="5">
        <v>1049</v>
      </c>
      <c r="B1110" s="138">
        <f>'Expenditures 15-22'!K37</f>
        <v>622220</v>
      </c>
      <c r="C1110" s="2" t="s">
        <v>594</v>
      </c>
      <c r="D1110" s="2" t="str">
        <f t="shared" si="16"/>
        <v>Error?</v>
      </c>
    </row>
    <row r="1111" spans="1:4" x14ac:dyDescent="0.2">
      <c r="A1111" s="5">
        <v>1050</v>
      </c>
      <c r="B1111" s="138">
        <f>'Expenditures 15-22'!K38</f>
        <v>301797</v>
      </c>
      <c r="C1111" s="2" t="s">
        <v>594</v>
      </c>
      <c r="D1111" s="2" t="str">
        <f t="shared" si="16"/>
        <v>Error?</v>
      </c>
    </row>
    <row r="1112" spans="1:4" x14ac:dyDescent="0.2">
      <c r="A1112" s="5">
        <v>1051</v>
      </c>
      <c r="B1112" s="138">
        <f>'Expenditures 15-22'!K39</f>
        <v>558992</v>
      </c>
      <c r="C1112" s="2" t="s">
        <v>594</v>
      </c>
      <c r="D1112" s="2" t="str">
        <f t="shared" si="16"/>
        <v>Error?</v>
      </c>
    </row>
    <row r="1113" spans="1:4" x14ac:dyDescent="0.2">
      <c r="A1113" s="5">
        <v>1052</v>
      </c>
      <c r="B1113" s="138">
        <f>'Expenditures 15-22'!K40</f>
        <v>599706</v>
      </c>
      <c r="C1113" s="2" t="s">
        <v>594</v>
      </c>
      <c r="D1113" s="2" t="str">
        <f t="shared" si="16"/>
        <v>Error?</v>
      </c>
    </row>
    <row r="1114" spans="1:4" x14ac:dyDescent="0.2">
      <c r="A1114" s="5">
        <v>1053</v>
      </c>
      <c r="B1114" s="138">
        <f>'Expenditures 15-22'!K41</f>
        <v>2090734</v>
      </c>
      <c r="C1114" s="2" t="s">
        <v>594</v>
      </c>
      <c r="D1114" s="2" t="str">
        <f t="shared" si="16"/>
        <v>Error?</v>
      </c>
    </row>
    <row r="1115" spans="1:4" x14ac:dyDescent="0.2">
      <c r="A1115" s="5">
        <v>1054</v>
      </c>
      <c r="B1115" s="138">
        <f>'Expenditures 15-22'!K42</f>
        <v>4839248</v>
      </c>
      <c r="C1115" s="2" t="s">
        <v>594</v>
      </c>
      <c r="D1115" s="2" t="str">
        <f t="shared" si="16"/>
        <v>Error?</v>
      </c>
    </row>
    <row r="1116" spans="1:4" x14ac:dyDescent="0.2">
      <c r="A1116" s="5">
        <v>1055</v>
      </c>
      <c r="B1116" s="138">
        <f>'Expenditures 15-22'!K44</f>
        <v>2563972</v>
      </c>
      <c r="C1116" s="2" t="s">
        <v>594</v>
      </c>
      <c r="D1116" s="2" t="str">
        <f t="shared" si="16"/>
        <v>Error?</v>
      </c>
    </row>
    <row r="1117" spans="1:4" x14ac:dyDescent="0.2">
      <c r="A1117" s="5">
        <v>1056</v>
      </c>
      <c r="B1117" s="138">
        <f>'Expenditures 15-22'!K45</f>
        <v>864997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3428969</v>
      </c>
      <c r="C1119" s="2" t="s">
        <v>594</v>
      </c>
      <c r="D1119" s="2" t="str">
        <f t="shared" si="16"/>
        <v>Error?</v>
      </c>
    </row>
    <row r="1120" spans="1:4" x14ac:dyDescent="0.2">
      <c r="A1120" s="5">
        <v>1059</v>
      </c>
      <c r="B1120" s="138">
        <f>'Expenditures 15-22'!K49</f>
        <v>642952</v>
      </c>
      <c r="C1120" s="2" t="s">
        <v>594</v>
      </c>
      <c r="D1120" s="2" t="str">
        <f t="shared" si="16"/>
        <v>Error?</v>
      </c>
    </row>
    <row r="1121" spans="1:4" x14ac:dyDescent="0.2">
      <c r="A1121" s="5">
        <v>1060</v>
      </c>
      <c r="B1121" s="138">
        <f>'Expenditures 15-22'!K50</f>
        <v>424986</v>
      </c>
      <c r="C1121" s="2" t="s">
        <v>594</v>
      </c>
      <c r="D1121" s="2" t="str">
        <f t="shared" si="16"/>
        <v>Error?</v>
      </c>
    </row>
    <row r="1122" spans="1:4" x14ac:dyDescent="0.2">
      <c r="A1122" s="5">
        <v>1061</v>
      </c>
      <c r="B1122" s="138">
        <f>'Expenditures 15-22'!K53</f>
        <v>1067938</v>
      </c>
      <c r="C1122" s="2" t="s">
        <v>594</v>
      </c>
      <c r="D1122" s="2" t="str">
        <f t="shared" si="16"/>
        <v>Error?</v>
      </c>
    </row>
    <row r="1123" spans="1:4" x14ac:dyDescent="0.2">
      <c r="A1123" s="5">
        <v>1062</v>
      </c>
      <c r="B1123" s="138">
        <f>'Expenditures 15-22'!K55</f>
        <v>2699575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2699575</v>
      </c>
      <c r="C1125" s="2" t="s">
        <v>594</v>
      </c>
      <c r="D1125" s="2" t="str">
        <f t="shared" si="16"/>
        <v>Error?</v>
      </c>
    </row>
    <row r="1126" spans="1:4" x14ac:dyDescent="0.2">
      <c r="A1126" s="5">
        <v>1065</v>
      </c>
      <c r="B1126" s="138">
        <f>'Expenditures 15-22'!K59</f>
        <v>495605</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894813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1390418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156699</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156699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13582847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4776855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46456179</v>
      </c>
      <c r="C1152" s="2" t="s">
        <v>594</v>
      </c>
      <c r="D1152" s="2" t="str">
        <f t="shared" si="17"/>
        <v>Error?</v>
      </c>
    </row>
    <row r="1153" spans="1:4" x14ac:dyDescent="0.2">
      <c r="A1153" s="5">
        <v>1092</v>
      </c>
      <c r="B1153" s="138">
        <f>'Expenditures 15-22'!K115</f>
        <v>2669597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2039056</v>
      </c>
      <c r="D1221" s="2" t="str">
        <f t="shared" si="18"/>
        <v>Error?</v>
      </c>
    </row>
    <row r="1222" spans="1:4" x14ac:dyDescent="0.2">
      <c r="A1222" s="10">
        <v>1161</v>
      </c>
      <c r="D1222" s="2" t="str">
        <f t="shared" si="18"/>
        <v>OK</v>
      </c>
    </row>
    <row r="1223" spans="1:4" x14ac:dyDescent="0.2">
      <c r="A1223" s="5">
        <v>1162</v>
      </c>
      <c r="B1223" s="138">
        <f>'Expenditures 15-22'!C127</f>
        <v>2039056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2039056</v>
      </c>
      <c r="C1225" s="2" t="s">
        <v>594</v>
      </c>
      <c r="D1225" s="2" t="str">
        <f t="shared" si="18"/>
        <v>Error?</v>
      </c>
    </row>
    <row r="1226" spans="1:4" x14ac:dyDescent="0.2">
      <c r="A1226" s="5">
        <v>1165</v>
      </c>
      <c r="B1226" s="138">
        <f>'Expenditures 15-22'!C151</f>
        <v>2039056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355342</v>
      </c>
      <c r="D1229" s="2" t="str">
        <f t="shared" si="18"/>
        <v>Error?</v>
      </c>
    </row>
    <row r="1230" spans="1:4" x14ac:dyDescent="0.2">
      <c r="A1230" s="10">
        <v>1169</v>
      </c>
      <c r="D1230" s="2" t="str">
        <f t="shared" si="18"/>
        <v>OK</v>
      </c>
    </row>
    <row r="1231" spans="1:4" x14ac:dyDescent="0.2">
      <c r="A1231" s="5">
        <v>1170</v>
      </c>
      <c r="B1231" s="138">
        <f>'Expenditures 15-22'!D127</f>
        <v>355342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355342</v>
      </c>
      <c r="C1233" s="2" t="s">
        <v>594</v>
      </c>
      <c r="D1233" s="2" t="str">
        <f t="shared" si="18"/>
        <v>Error?</v>
      </c>
    </row>
    <row r="1234" spans="1:4" x14ac:dyDescent="0.2">
      <c r="A1234" s="5">
        <v>1173</v>
      </c>
      <c r="B1234" s="138">
        <f>'Expenditures 15-22'!D151</f>
        <v>355342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1546061</v>
      </c>
      <c r="D1237" s="2" t="str">
        <f t="shared" si="18"/>
        <v>Error?</v>
      </c>
    </row>
    <row r="1238" spans="1:4" x14ac:dyDescent="0.2">
      <c r="A1238" s="10">
        <v>1177</v>
      </c>
      <c r="D1238" s="2" t="str">
        <f t="shared" si="18"/>
        <v>OK</v>
      </c>
    </row>
    <row r="1239" spans="1:4" x14ac:dyDescent="0.2">
      <c r="A1239" s="5">
        <v>1178</v>
      </c>
      <c r="B1239" s="138">
        <f>'Expenditures 15-22'!E127</f>
        <v>1546061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1546061</v>
      </c>
      <c r="C1241" s="2" t="s">
        <v>594</v>
      </c>
      <c r="D1241" s="2" t="str">
        <f t="shared" si="18"/>
        <v>Error?</v>
      </c>
    </row>
    <row r="1242" spans="1:4" x14ac:dyDescent="0.2">
      <c r="A1242" s="5">
        <v>1181</v>
      </c>
      <c r="B1242" s="138">
        <f>'Expenditures 15-22'!E151</f>
        <v>1546061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393532</v>
      </c>
      <c r="D1245" s="2" t="str">
        <f t="shared" si="18"/>
        <v>Error?</v>
      </c>
    </row>
    <row r="1246" spans="1:4" x14ac:dyDescent="0.2">
      <c r="A1246" s="10">
        <v>1185</v>
      </c>
      <c r="D1246" s="2" t="str">
        <f t="shared" si="18"/>
        <v>OK</v>
      </c>
    </row>
    <row r="1247" spans="1:4" x14ac:dyDescent="0.2">
      <c r="A1247" s="5">
        <v>1186</v>
      </c>
      <c r="B1247" s="138">
        <f>'Expenditures 15-22'!F127</f>
        <v>393532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393532</v>
      </c>
      <c r="C1249" s="2" t="s">
        <v>594</v>
      </c>
      <c r="D1249" s="2" t="str">
        <f t="shared" si="18"/>
        <v>Error?</v>
      </c>
    </row>
    <row r="1250" spans="1:4" x14ac:dyDescent="0.2">
      <c r="A1250" s="5">
        <v>1189</v>
      </c>
      <c r="B1250" s="138">
        <f>'Expenditures 15-22'!F151</f>
        <v>393532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18551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18551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18551</v>
      </c>
      <c r="C1258" s="2" t="s">
        <v>594</v>
      </c>
      <c r="D1258" s="2" t="str">
        <f t="shared" si="18"/>
        <v>Error?</v>
      </c>
    </row>
    <row r="1259" spans="1:4" x14ac:dyDescent="0.2">
      <c r="A1259" s="5">
        <v>1198</v>
      </c>
      <c r="B1259" s="138">
        <f>'Expenditures 15-22'!G151</f>
        <v>18551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80657</v>
      </c>
      <c r="D1262" s="2" t="str">
        <f t="shared" si="18"/>
        <v>Error?</v>
      </c>
    </row>
    <row r="1263" spans="1:4" x14ac:dyDescent="0.2">
      <c r="A1263" s="10">
        <v>1202</v>
      </c>
      <c r="D1263" s="2" t="str">
        <f t="shared" si="18"/>
        <v>OK</v>
      </c>
    </row>
    <row r="1264" spans="1:4" x14ac:dyDescent="0.2">
      <c r="A1264" s="5">
        <v>1203</v>
      </c>
      <c r="B1264" s="138">
        <f>'Expenditures 15-22'!H127</f>
        <v>80657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80657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80657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4433199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4433199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4433199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4433199</v>
      </c>
      <c r="C1288" s="2" t="s">
        <v>594</v>
      </c>
      <c r="D1288" s="2" t="str">
        <f t="shared" si="19"/>
        <v>Error?</v>
      </c>
    </row>
    <row r="1289" spans="1:4" x14ac:dyDescent="0.2">
      <c r="A1289" s="5">
        <v>1228</v>
      </c>
      <c r="B1289" s="138">
        <f>'Expenditures 15-22'!K152</f>
        <v>92427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3318125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7345000</v>
      </c>
      <c r="D1315" s="2" t="str">
        <f t="shared" si="19"/>
        <v>Error?</v>
      </c>
    </row>
    <row r="1316" spans="1:4" x14ac:dyDescent="0.2">
      <c r="A1316" s="5">
        <v>1255</v>
      </c>
      <c r="B1316" s="138">
        <f>'Expenditures 15-22'!H171</f>
        <v>2335</v>
      </c>
      <c r="D1316" s="2" t="str">
        <f t="shared" si="19"/>
        <v>Error?</v>
      </c>
    </row>
    <row r="1317" spans="1:4" x14ac:dyDescent="0.2">
      <c r="A1317" s="5">
        <v>1256</v>
      </c>
      <c r="B1317" s="138">
        <f>'Expenditures 15-22'!H172</f>
        <v>10665460</v>
      </c>
      <c r="C1317" s="2" t="s">
        <v>594</v>
      </c>
      <c r="D1317" s="2" t="str">
        <f t="shared" si="19"/>
        <v>Error?</v>
      </c>
    </row>
    <row r="1318" spans="1:4" x14ac:dyDescent="0.2">
      <c r="A1318" s="5">
        <v>1257</v>
      </c>
      <c r="B1318" s="138">
        <f>'Expenditures 15-22'!H174</f>
        <v>10761032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3318125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7345000</v>
      </c>
      <c r="C1329" s="2" t="s">
        <v>594</v>
      </c>
      <c r="D1329" s="2" t="str">
        <f t="shared" si="19"/>
        <v>Error?</v>
      </c>
    </row>
    <row r="1330" spans="1:4" x14ac:dyDescent="0.2">
      <c r="A1330" s="5">
        <v>1269</v>
      </c>
      <c r="B1330" s="138">
        <f>'Expenditures 15-22'!K171</f>
        <v>2335</v>
      </c>
      <c r="C1330" s="2" t="s">
        <v>594</v>
      </c>
      <c r="D1330" s="2" t="str">
        <f t="shared" si="19"/>
        <v>Error?</v>
      </c>
    </row>
    <row r="1331" spans="1:4" x14ac:dyDescent="0.2">
      <c r="A1331" s="5">
        <v>1270</v>
      </c>
      <c r="B1331" s="138">
        <f>'Expenditures 15-22'!K172</f>
        <v>10665460</v>
      </c>
      <c r="C1331" s="2" t="s">
        <v>594</v>
      </c>
      <c r="D1331" s="2" t="str">
        <f t="shared" si="19"/>
        <v>Error?</v>
      </c>
    </row>
    <row r="1332" spans="1:4" x14ac:dyDescent="0.2">
      <c r="A1332" s="5">
        <v>1271</v>
      </c>
      <c r="B1332" s="138">
        <f>'Expenditures 15-22'!K174</f>
        <v>10761032</v>
      </c>
      <c r="C1332" s="2" t="s">
        <v>594</v>
      </c>
      <c r="D1332" s="2" t="str">
        <f t="shared" si="19"/>
        <v>Error?</v>
      </c>
    </row>
    <row r="1333" spans="1:4" x14ac:dyDescent="0.2">
      <c r="A1333" s="5">
        <v>1272</v>
      </c>
      <c r="B1333" s="138">
        <f>'Expenditures 15-22'!K175</f>
        <v>642956</v>
      </c>
      <c r="C1333" s="2" t="s">
        <v>594</v>
      </c>
      <c r="D1333" s="2" t="str">
        <f t="shared" si="19"/>
        <v>Error?</v>
      </c>
    </row>
    <row r="1334" spans="1:4" x14ac:dyDescent="0.2">
      <c r="A1334" s="10">
        <v>1273</v>
      </c>
      <c r="D1334" s="2" t="str">
        <f t="shared" si="19"/>
        <v>OK</v>
      </c>
    </row>
    <row r="1335" spans="1:4" x14ac:dyDescent="0.2">
      <c r="A1335" s="5">
        <v>1274</v>
      </c>
      <c r="B1335" s="138">
        <f>'Expenditures 15-22'!C182</f>
        <v>2403539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2403539</v>
      </c>
      <c r="C1339" s="2" t="s">
        <v>594</v>
      </c>
      <c r="D1339" s="2" t="str">
        <f t="shared" si="19"/>
        <v>Error?</v>
      </c>
    </row>
    <row r="1340" spans="1:4" x14ac:dyDescent="0.2">
      <c r="A1340" s="5">
        <v>1279</v>
      </c>
      <c r="B1340" s="138">
        <f>'Expenditures 15-22'!C210</f>
        <v>2403539</v>
      </c>
      <c r="C1340" s="2" t="s">
        <v>594</v>
      </c>
      <c r="D1340" s="2" t="str">
        <f t="shared" si="19"/>
        <v>Error?</v>
      </c>
    </row>
    <row r="1341" spans="1:4" x14ac:dyDescent="0.2">
      <c r="A1341" s="5">
        <v>1280</v>
      </c>
      <c r="B1341" s="138">
        <f>'Expenditures 15-22'!D182</f>
        <v>484945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484945</v>
      </c>
      <c r="C1345" s="2" t="s">
        <v>594</v>
      </c>
      <c r="D1345" s="2" t="str">
        <f t="shared" si="20"/>
        <v>Error?</v>
      </c>
    </row>
    <row r="1346" spans="1:4" x14ac:dyDescent="0.2">
      <c r="A1346" s="5">
        <v>1285</v>
      </c>
      <c r="B1346" s="138">
        <f>'Expenditures 15-22'!D210</f>
        <v>484945</v>
      </c>
      <c r="C1346" s="2" t="s">
        <v>594</v>
      </c>
      <c r="D1346" s="2" t="str">
        <f t="shared" si="20"/>
        <v>Error?</v>
      </c>
    </row>
    <row r="1347" spans="1:4" x14ac:dyDescent="0.2">
      <c r="A1347" s="5">
        <v>1286</v>
      </c>
      <c r="B1347" s="138">
        <f>'Expenditures 15-22'!E182</f>
        <v>772367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772367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772367</v>
      </c>
      <c r="C1353" s="2" t="s">
        <v>594</v>
      </c>
      <c r="D1353" s="2" t="str">
        <f t="shared" si="20"/>
        <v>Error?</v>
      </c>
    </row>
    <row r="1354" spans="1:4" x14ac:dyDescent="0.2">
      <c r="A1354" s="5">
        <v>1293</v>
      </c>
      <c r="B1354" s="138">
        <f>'Expenditures 15-22'!F182</f>
        <v>441590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441590</v>
      </c>
      <c r="C1358" s="2" t="s">
        <v>594</v>
      </c>
      <c r="D1358" s="2" t="str">
        <f t="shared" si="20"/>
        <v>Error?</v>
      </c>
    </row>
    <row r="1359" spans="1:4" x14ac:dyDescent="0.2">
      <c r="A1359" s="5">
        <v>1298</v>
      </c>
      <c r="B1359" s="138">
        <f>'Expenditures 15-22'!F210</f>
        <v>441590</v>
      </c>
      <c r="C1359" s="2" t="s">
        <v>594</v>
      </c>
      <c r="D1359" s="2" t="str">
        <f t="shared" si="20"/>
        <v>Error?</v>
      </c>
    </row>
    <row r="1360" spans="1:4" x14ac:dyDescent="0.2">
      <c r="A1360" s="5">
        <v>1299</v>
      </c>
      <c r="B1360" s="138">
        <f>'Expenditures 15-22'!G182</f>
        <v>651200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651200</v>
      </c>
      <c r="C1364" s="2" t="s">
        <v>594</v>
      </c>
      <c r="D1364" s="2" t="str">
        <f t="shared" si="20"/>
        <v>Error?</v>
      </c>
    </row>
    <row r="1365" spans="1:4" x14ac:dyDescent="0.2">
      <c r="A1365" s="5">
        <v>1304</v>
      </c>
      <c r="B1365" s="138">
        <f>'Expenditures 15-22'!G210</f>
        <v>651200</v>
      </c>
      <c r="C1365" s="2" t="s">
        <v>594</v>
      </c>
      <c r="D1365" s="2" t="str">
        <f t="shared" si="20"/>
        <v>Error?</v>
      </c>
    </row>
    <row r="1366" spans="1:4" x14ac:dyDescent="0.2">
      <c r="A1366" s="5">
        <v>1305</v>
      </c>
      <c r="B1366" s="138">
        <f>'Expenditures 15-22'!H182</f>
        <v>3607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3607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718363</v>
      </c>
      <c r="C1375" s="2" t="s">
        <v>594</v>
      </c>
      <c r="D1375" s="2" t="str">
        <f t="shared" si="20"/>
        <v>Error?</v>
      </c>
    </row>
    <row r="1376" spans="1:4" x14ac:dyDescent="0.2">
      <c r="A1376" s="5">
        <v>1315</v>
      </c>
      <c r="B1376" s="138">
        <f>'Expenditures 15-22'!H210</f>
        <v>721970</v>
      </c>
      <c r="C1376" s="2" t="s">
        <v>594</v>
      </c>
      <c r="D1376" s="2" t="str">
        <f t="shared" si="20"/>
        <v>Error?</v>
      </c>
    </row>
    <row r="1377" spans="1:4" x14ac:dyDescent="0.2">
      <c r="A1377" s="5">
        <v>1316</v>
      </c>
      <c r="B1377" s="138">
        <f>'Expenditures 15-22'!K182</f>
        <v>4757248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4757248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718363</v>
      </c>
      <c r="C1387" s="2" t="s">
        <v>594</v>
      </c>
      <c r="D1387" s="2" t="str">
        <f t="shared" si="20"/>
        <v>Error?</v>
      </c>
    </row>
    <row r="1388" spans="1:4" x14ac:dyDescent="0.2">
      <c r="A1388" s="5">
        <v>1327</v>
      </c>
      <c r="B1388" s="138">
        <f>'Expenditures 15-22'!K210</f>
        <v>5475611</v>
      </c>
      <c r="C1388" s="2" t="s">
        <v>594</v>
      </c>
      <c r="D1388" s="2" t="str">
        <f t="shared" si="20"/>
        <v>Error?</v>
      </c>
    </row>
    <row r="1389" spans="1:4" x14ac:dyDescent="0.2">
      <c r="A1389" s="5">
        <v>1328</v>
      </c>
      <c r="B1389" s="138">
        <f>'Expenditures 15-22'!K211</f>
        <v>440506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4384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75714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39945</v>
      </c>
      <c r="D1408" s="2" t="str">
        <f t="shared" si="21"/>
        <v>Error?</v>
      </c>
    </row>
    <row r="1409" spans="1:4" x14ac:dyDescent="0.2">
      <c r="A1409" s="5">
        <v>1348</v>
      </c>
      <c r="B1409" s="138">
        <f>'Expenditures 15-22'!D224</f>
        <v>5905</v>
      </c>
      <c r="D1409" s="2" t="str">
        <f t="shared" si="21"/>
        <v>Error?</v>
      </c>
    </row>
    <row r="1410" spans="1:4" x14ac:dyDescent="0.2">
      <c r="A1410" s="5">
        <v>1349</v>
      </c>
      <c r="B1410" s="138">
        <f>'Expenditures 15-22'!D229</f>
        <v>669552</v>
      </c>
      <c r="C1410" s="2" t="s">
        <v>594</v>
      </c>
      <c r="D1410" s="2" t="str">
        <f t="shared" si="21"/>
        <v>Error?</v>
      </c>
    </row>
    <row r="1411" spans="1:4" x14ac:dyDescent="0.2">
      <c r="A1411" s="5">
        <v>1350</v>
      </c>
      <c r="B1411" s="138">
        <f>'Expenditures 15-22'!D232</f>
        <v>8963</v>
      </c>
      <c r="D1411" s="2" t="str">
        <f t="shared" si="21"/>
        <v>Error?</v>
      </c>
    </row>
    <row r="1412" spans="1:4" x14ac:dyDescent="0.2">
      <c r="A1412" s="5">
        <v>1351</v>
      </c>
      <c r="B1412" s="138">
        <f>'Expenditures 15-22'!D233</f>
        <v>15358</v>
      </c>
      <c r="D1412" s="2" t="str">
        <f t="shared" si="21"/>
        <v>Error?</v>
      </c>
    </row>
    <row r="1413" spans="1:4" x14ac:dyDescent="0.2">
      <c r="A1413" s="5">
        <v>1352</v>
      </c>
      <c r="B1413" s="138">
        <f>'Expenditures 15-22'!D234</f>
        <v>53228</v>
      </c>
      <c r="D1413" s="2" t="str">
        <f t="shared" si="21"/>
        <v>Error?</v>
      </c>
    </row>
    <row r="1414" spans="1:4" x14ac:dyDescent="0.2">
      <c r="A1414" s="5">
        <v>1353</v>
      </c>
      <c r="B1414" s="138">
        <f>'Expenditures 15-22'!D235</f>
        <v>7879</v>
      </c>
      <c r="D1414" s="2" t="str">
        <f t="shared" si="21"/>
        <v>Error?</v>
      </c>
    </row>
    <row r="1415" spans="1:4" x14ac:dyDescent="0.2">
      <c r="A1415" s="5">
        <v>1354</v>
      </c>
      <c r="B1415" s="138">
        <f>'Expenditures 15-22'!D236</f>
        <v>8503</v>
      </c>
      <c r="D1415" s="2" t="str">
        <f t="shared" si="21"/>
        <v>Error?</v>
      </c>
    </row>
    <row r="1416" spans="1:4" x14ac:dyDescent="0.2">
      <c r="A1416" s="5">
        <v>1355</v>
      </c>
      <c r="B1416" s="138">
        <f>'Expenditures 15-22'!D237</f>
        <v>69217</v>
      </c>
      <c r="D1416" s="2" t="str">
        <f t="shared" si="21"/>
        <v>Error?</v>
      </c>
    </row>
    <row r="1417" spans="1:4" x14ac:dyDescent="0.2">
      <c r="A1417" s="5">
        <v>1356</v>
      </c>
      <c r="B1417" s="138">
        <f>'Expenditures 15-22'!D238</f>
        <v>163148</v>
      </c>
      <c r="C1417" s="2" t="s">
        <v>594</v>
      </c>
      <c r="D1417" s="2" t="str">
        <f t="shared" si="21"/>
        <v>Error?</v>
      </c>
    </row>
    <row r="1418" spans="1:4" x14ac:dyDescent="0.2">
      <c r="A1418" s="5">
        <v>1357</v>
      </c>
      <c r="B1418" s="138">
        <f>'Expenditures 15-22'!D240</f>
        <v>38051</v>
      </c>
      <c r="D1418" s="2" t="str">
        <f t="shared" si="21"/>
        <v>Error?</v>
      </c>
    </row>
    <row r="1419" spans="1:4" x14ac:dyDescent="0.2">
      <c r="A1419" s="5">
        <v>1358</v>
      </c>
      <c r="B1419" s="138">
        <f>'Expenditures 15-22'!D241</f>
        <v>70173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108224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36830</v>
      </c>
      <c r="D1423" s="2" t="str">
        <f t="shared" si="21"/>
        <v>Error?</v>
      </c>
    </row>
    <row r="1424" spans="1:4" x14ac:dyDescent="0.2">
      <c r="A1424" s="5">
        <v>1363</v>
      </c>
      <c r="B1424" s="138">
        <f>'Expenditures 15-22'!D257</f>
        <v>36830</v>
      </c>
      <c r="C1424" s="2" t="s">
        <v>594</v>
      </c>
      <c r="D1424" s="2" t="str">
        <f t="shared" si="21"/>
        <v>Error?</v>
      </c>
    </row>
    <row r="1425" spans="1:4" x14ac:dyDescent="0.2">
      <c r="A1425" s="5">
        <v>1364</v>
      </c>
      <c r="B1425" s="138">
        <f>'Expenditures 15-22'!D259</f>
        <v>194121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194121</v>
      </c>
      <c r="C1427" s="2" t="s">
        <v>594</v>
      </c>
      <c r="D1427" s="2" t="str">
        <f t="shared" si="21"/>
        <v>Error?</v>
      </c>
    </row>
    <row r="1428" spans="1:4" x14ac:dyDescent="0.2">
      <c r="A1428" s="5">
        <v>1367</v>
      </c>
      <c r="B1428" s="138">
        <f>'Expenditures 15-22'!D263</f>
        <v>51371</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432655</v>
      </c>
      <c r="D1431" s="2" t="str">
        <f t="shared" si="21"/>
        <v>Error?</v>
      </c>
    </row>
    <row r="1432" spans="1:4" x14ac:dyDescent="0.2">
      <c r="A1432" s="5">
        <v>1371</v>
      </c>
      <c r="B1432" s="138">
        <f>'Expenditures 15-22'!D267</f>
        <v>545221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1029247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1964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1964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1533534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2203086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4384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75714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39945</v>
      </c>
      <c r="C1472" s="2" t="s">
        <v>594</v>
      </c>
      <c r="D1472" s="2" t="str">
        <f t="shared" si="22"/>
        <v>Error?</v>
      </c>
    </row>
    <row r="1473" spans="1:4" x14ac:dyDescent="0.2">
      <c r="A1473" s="5">
        <v>1412</v>
      </c>
      <c r="B1473" s="138">
        <f>'Expenditures 15-22'!K224</f>
        <v>5905</v>
      </c>
      <c r="C1473" s="2" t="s">
        <v>594</v>
      </c>
      <c r="D1473" s="2" t="str">
        <f t="shared" si="22"/>
        <v>Error?</v>
      </c>
    </row>
    <row r="1474" spans="1:4" x14ac:dyDescent="0.2">
      <c r="A1474" s="5">
        <v>1413</v>
      </c>
      <c r="B1474" s="138">
        <f>'Expenditures 15-22'!K229</f>
        <v>669552</v>
      </c>
      <c r="C1474" s="2" t="s">
        <v>594</v>
      </c>
      <c r="D1474" s="2" t="str">
        <f t="shared" si="22"/>
        <v>Error?</v>
      </c>
    </row>
    <row r="1475" spans="1:4" x14ac:dyDescent="0.2">
      <c r="A1475" s="5">
        <v>1414</v>
      </c>
      <c r="B1475" s="138">
        <f>'Expenditures 15-22'!K232</f>
        <v>8963</v>
      </c>
      <c r="C1475" s="2" t="s">
        <v>594</v>
      </c>
      <c r="D1475" s="2" t="str">
        <f t="shared" si="22"/>
        <v>Error?</v>
      </c>
    </row>
    <row r="1476" spans="1:4" x14ac:dyDescent="0.2">
      <c r="A1476" s="5">
        <v>1415</v>
      </c>
      <c r="B1476" s="138">
        <f>'Expenditures 15-22'!K233</f>
        <v>15358</v>
      </c>
      <c r="C1476" s="2" t="s">
        <v>594</v>
      </c>
      <c r="D1476" s="2" t="str">
        <f t="shared" si="22"/>
        <v>Error?</v>
      </c>
    </row>
    <row r="1477" spans="1:4" x14ac:dyDescent="0.2">
      <c r="A1477" s="5">
        <v>1416</v>
      </c>
      <c r="B1477" s="138">
        <f>'Expenditures 15-22'!K234</f>
        <v>53228</v>
      </c>
      <c r="C1477" s="2" t="s">
        <v>594</v>
      </c>
      <c r="D1477" s="2" t="str">
        <f t="shared" si="22"/>
        <v>Error?</v>
      </c>
    </row>
    <row r="1478" spans="1:4" x14ac:dyDescent="0.2">
      <c r="A1478" s="5">
        <v>1417</v>
      </c>
      <c r="B1478" s="138">
        <f>'Expenditures 15-22'!K235</f>
        <v>7879</v>
      </c>
      <c r="C1478" s="2" t="s">
        <v>594</v>
      </c>
      <c r="D1478" s="2" t="str">
        <f t="shared" si="22"/>
        <v>Error?</v>
      </c>
    </row>
    <row r="1479" spans="1:4" x14ac:dyDescent="0.2">
      <c r="A1479" s="5">
        <v>1418</v>
      </c>
      <c r="B1479" s="138">
        <f>'Expenditures 15-22'!K236</f>
        <v>8503</v>
      </c>
      <c r="C1479" s="2" t="s">
        <v>594</v>
      </c>
      <c r="D1479" s="2" t="str">
        <f t="shared" si="22"/>
        <v>Error?</v>
      </c>
    </row>
    <row r="1480" spans="1:4" x14ac:dyDescent="0.2">
      <c r="A1480" s="5">
        <v>1419</v>
      </c>
      <c r="B1480" s="138">
        <f>'Expenditures 15-22'!K237</f>
        <v>69217</v>
      </c>
      <c r="C1480" s="2" t="s">
        <v>594</v>
      </c>
      <c r="D1480" s="2" t="str">
        <f t="shared" si="22"/>
        <v>Error?</v>
      </c>
    </row>
    <row r="1481" spans="1:4" x14ac:dyDescent="0.2">
      <c r="A1481" s="5">
        <v>1420</v>
      </c>
      <c r="B1481" s="138">
        <f>'Expenditures 15-22'!K238</f>
        <v>163148</v>
      </c>
      <c r="C1481" s="2" t="s">
        <v>594</v>
      </c>
      <c r="D1481" s="2" t="str">
        <f t="shared" si="22"/>
        <v>Error?</v>
      </c>
    </row>
    <row r="1482" spans="1:4" x14ac:dyDescent="0.2">
      <c r="A1482" s="5">
        <v>1421</v>
      </c>
      <c r="B1482" s="138">
        <f>'Expenditures 15-22'!K240</f>
        <v>38051</v>
      </c>
      <c r="C1482" s="2" t="s">
        <v>594</v>
      </c>
      <c r="D1482" s="2" t="str">
        <f t="shared" si="22"/>
        <v>Error?</v>
      </c>
    </row>
    <row r="1483" spans="1:4" x14ac:dyDescent="0.2">
      <c r="A1483" s="5">
        <v>1422</v>
      </c>
      <c r="B1483" s="138">
        <f>'Expenditures 15-22'!K241</f>
        <v>70173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108224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36830</v>
      </c>
      <c r="C1487" s="2" t="s">
        <v>594</v>
      </c>
      <c r="D1487" s="2" t="str">
        <f t="shared" si="22"/>
        <v>Error?</v>
      </c>
    </row>
    <row r="1488" spans="1:4" x14ac:dyDescent="0.2">
      <c r="A1488" s="5">
        <v>1427</v>
      </c>
      <c r="B1488" s="138">
        <f>'Expenditures 15-22'!K257</f>
        <v>36830</v>
      </c>
      <c r="C1488" s="2" t="s">
        <v>594</v>
      </c>
      <c r="D1488" s="2" t="str">
        <f t="shared" si="22"/>
        <v>Error?</v>
      </c>
    </row>
    <row r="1489" spans="1:4" x14ac:dyDescent="0.2">
      <c r="A1489" s="5">
        <v>1428</v>
      </c>
      <c r="B1489" s="138">
        <f>'Expenditures 15-22'!K259</f>
        <v>194121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194121</v>
      </c>
      <c r="C1491" s="2" t="s">
        <v>594</v>
      </c>
      <c r="D1491" s="2" t="str">
        <f t="shared" si="22"/>
        <v>Error?</v>
      </c>
    </row>
    <row r="1492" spans="1:4" x14ac:dyDescent="0.2">
      <c r="A1492" s="5">
        <v>1431</v>
      </c>
      <c r="B1492" s="138">
        <f>'Expenditures 15-22'!K263</f>
        <v>51371</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432655</v>
      </c>
      <c r="C1495" s="2" t="s">
        <v>594</v>
      </c>
      <c r="D1495" s="2" t="str">
        <f t="shared" si="22"/>
        <v>Error?</v>
      </c>
    </row>
    <row r="1496" spans="1:4" x14ac:dyDescent="0.2">
      <c r="A1496" s="5">
        <v>1435</v>
      </c>
      <c r="B1496" s="138">
        <f>'Expenditures 15-22'!K267</f>
        <v>545221</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1029247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1964</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1964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1533534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2203086</v>
      </c>
      <c r="C1517" s="2" t="s">
        <v>594</v>
      </c>
      <c r="D1517" s="2" t="str">
        <f t="shared" si="22"/>
        <v>Error?</v>
      </c>
    </row>
    <row r="1518" spans="1:4" x14ac:dyDescent="0.2">
      <c r="A1518" s="5">
        <v>1457</v>
      </c>
      <c r="B1518" s="138">
        <f>'Expenditures 15-22'!K296</f>
        <v>-11229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27203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27203</v>
      </c>
      <c r="C1535" s="2" t="s">
        <v>594</v>
      </c>
      <c r="D1535" s="2" t="str">
        <f t="shared" ref="D1535:D1598" si="23">IF(ISBLANK(B1535),"OK",IF(A1535-B1535=0,"OK","Error?"))</f>
        <v>Error?</v>
      </c>
    </row>
    <row r="1536" spans="1:4" x14ac:dyDescent="0.2">
      <c r="A1536" s="5">
        <v>1475</v>
      </c>
      <c r="B1536" s="138">
        <f>'Expenditures 15-22'!E312</f>
        <v>27203</v>
      </c>
      <c r="C1536" s="2" t="s">
        <v>594</v>
      </c>
      <c r="D1536" s="2" t="str">
        <f t="shared" si="23"/>
        <v>Error?</v>
      </c>
    </row>
    <row r="1537" spans="1:4" x14ac:dyDescent="0.2">
      <c r="A1537" s="5">
        <v>1476</v>
      </c>
      <c r="B1537" s="138">
        <f>'Expenditures 15-22'!F301</f>
        <v>6336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6336</v>
      </c>
      <c r="C1541" s="2" t="s">
        <v>594</v>
      </c>
      <c r="D1541" s="2" t="str">
        <f t="shared" si="23"/>
        <v>Error?</v>
      </c>
    </row>
    <row r="1542" spans="1:4" x14ac:dyDescent="0.2">
      <c r="A1542" s="5">
        <v>1481</v>
      </c>
      <c r="B1542" s="138">
        <f>'Expenditures 15-22'!F312</f>
        <v>6336</v>
      </c>
      <c r="C1542" s="2" t="s">
        <v>594</v>
      </c>
      <c r="D1542" s="2" t="str">
        <f t="shared" si="23"/>
        <v>Error?</v>
      </c>
    </row>
    <row r="1543" spans="1:4" x14ac:dyDescent="0.2">
      <c r="A1543" s="5">
        <v>1482</v>
      </c>
      <c r="B1543" s="138">
        <f>'Expenditures 15-22'!G301</f>
        <v>1371252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1371252</v>
      </c>
      <c r="C1547" s="2" t="s">
        <v>594</v>
      </c>
      <c r="D1547" s="2" t="str">
        <f t="shared" si="23"/>
        <v>Error?</v>
      </c>
    </row>
    <row r="1548" spans="1:4" x14ac:dyDescent="0.2">
      <c r="A1548" s="5">
        <v>1487</v>
      </c>
      <c r="B1548" s="138">
        <f>'Expenditures 15-22'!G312</f>
        <v>1371252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1404791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1404791</v>
      </c>
      <c r="C1559" s="2" t="s">
        <v>594</v>
      </c>
      <c r="D1559" s="2" t="str">
        <f t="shared" si="23"/>
        <v>Error?</v>
      </c>
    </row>
    <row r="1560" spans="1:4" x14ac:dyDescent="0.2">
      <c r="A1560" s="5">
        <v>1499</v>
      </c>
      <c r="B1560" s="138">
        <f>'Expenditures 15-22'!K312</f>
        <v>1404791</v>
      </c>
      <c r="C1560" s="2" t="s">
        <v>594</v>
      </c>
      <c r="D1560" s="2" t="str">
        <f t="shared" si="23"/>
        <v>Error?</v>
      </c>
    </row>
    <row r="1561" spans="1:4" x14ac:dyDescent="0.2">
      <c r="A1561" s="5">
        <v>1500</v>
      </c>
      <c r="B1561" s="138">
        <f>'Expenditures 15-22'!K313</f>
        <v>-1347960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10015261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12148076</v>
      </c>
      <c r="C1630" s="2" t="s">
        <v>594</v>
      </c>
      <c r="D1630" s="2" t="str">
        <f t="shared" si="24"/>
        <v>Error?</v>
      </c>
    </row>
    <row r="1631" spans="1:4" x14ac:dyDescent="0.2">
      <c r="A1631" s="5">
        <v>1570</v>
      </c>
      <c r="B1631" s="138">
        <f>'Acct Summary 7-8'!D79</f>
        <v>496691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589118</v>
      </c>
      <c r="C1644" s="2" t="s">
        <v>594</v>
      </c>
      <c r="D1644" s="2" t="str">
        <f t="shared" si="24"/>
        <v>Error?</v>
      </c>
    </row>
    <row r="1645" spans="1:4" x14ac:dyDescent="0.2">
      <c r="A1645" s="5">
        <v>1584</v>
      </c>
      <c r="B1645" s="138">
        <f>'Acct Summary 7-8'!E79</f>
        <v>5674199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6317155</v>
      </c>
      <c r="C1658" s="2" t="s">
        <v>594</v>
      </c>
      <c r="D1658" s="2" t="str">
        <f t="shared" si="24"/>
        <v>Error?</v>
      </c>
    </row>
    <row r="1659" spans="1:4" x14ac:dyDescent="0.2">
      <c r="A1659" s="5">
        <v>1598</v>
      </c>
      <c r="B1659" s="138">
        <f>'Acct Summary 7-8'!F79</f>
        <v>641577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1754783</v>
      </c>
      <c r="C1672" s="2" t="s">
        <v>594</v>
      </c>
      <c r="D1672" s="2" t="str">
        <f t="shared" si="25"/>
        <v>Error?</v>
      </c>
    </row>
    <row r="1673" spans="1:4" x14ac:dyDescent="0.2">
      <c r="A1673" s="5">
        <v>1612</v>
      </c>
      <c r="B1673" s="138">
        <f>'Acct Summary 7-8'!G79</f>
        <v>43168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31939</v>
      </c>
      <c r="C1686" s="2" t="s">
        <v>594</v>
      </c>
      <c r="D1686" s="2" t="str">
        <f t="shared" si="25"/>
        <v>Error?</v>
      </c>
    </row>
    <row r="1687" spans="1:4" x14ac:dyDescent="0.2">
      <c r="A1687" s="5">
        <v>1626</v>
      </c>
      <c r="B1687" s="138">
        <f>'Acct Summary 7-8'!H79</f>
        <v>1763797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1165837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27422552</v>
      </c>
      <c r="C1744" s="2" t="s">
        <v>594</v>
      </c>
      <c r="D1744" s="2" t="str">
        <f t="shared" si="26"/>
        <v>Error?</v>
      </c>
    </row>
    <row r="1745" spans="1:5" x14ac:dyDescent="0.2">
      <c r="A1745" s="5">
        <v>1684</v>
      </c>
      <c r="B1745" s="138">
        <f>'Tax Sched 23'!B5</f>
        <v>4505819</v>
      </c>
      <c r="C1745" s="2" t="s">
        <v>594</v>
      </c>
      <c r="D1745" s="2" t="str">
        <f t="shared" si="26"/>
        <v>Error?</v>
      </c>
    </row>
    <row r="1746" spans="1:5" x14ac:dyDescent="0.2">
      <c r="A1746" s="5">
        <v>1685</v>
      </c>
      <c r="B1746" s="138">
        <f>'Tax Sched 23'!B6</f>
        <v>11370312</v>
      </c>
      <c r="C1746" s="2" t="s">
        <v>594</v>
      </c>
      <c r="D1746" s="2" t="str">
        <f t="shared" si="26"/>
        <v>Error?</v>
      </c>
    </row>
    <row r="1747" spans="1:5" x14ac:dyDescent="0.2">
      <c r="A1747" s="5">
        <v>1686</v>
      </c>
      <c r="B1747" s="138">
        <f>'Tax Sched 23'!B7</f>
        <v>1693710</v>
      </c>
      <c r="C1747" s="2" t="s">
        <v>594</v>
      </c>
      <c r="D1747" s="2" t="str">
        <f t="shared" si="26"/>
        <v>Error?</v>
      </c>
    </row>
    <row r="1748" spans="1:5" x14ac:dyDescent="0.2">
      <c r="A1748" s="5">
        <v>1687</v>
      </c>
      <c r="B1748" s="138">
        <f>'Tax Sched 23'!B8</f>
        <v>1085918</v>
      </c>
      <c r="C1748" s="2" t="s">
        <v>594</v>
      </c>
      <c r="D1748" s="2" t="str">
        <f t="shared" si="26"/>
        <v>Error?</v>
      </c>
    </row>
    <row r="1749" spans="1:5" x14ac:dyDescent="0.2">
      <c r="A1749" s="5">
        <v>1688</v>
      </c>
      <c r="B1749" s="138">
        <f>'Tax Sched 23'!B10</f>
        <v>7392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820314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4198494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52189870</v>
      </c>
      <c r="C1759" s="2" t="s">
        <v>594</v>
      </c>
      <c r="D1759" s="2" t="str">
        <f t="shared" si="26"/>
        <v>Error?</v>
      </c>
    </row>
    <row r="1760" spans="1:5" x14ac:dyDescent="0.2">
      <c r="A1760" s="5">
        <v>1699</v>
      </c>
      <c r="B1760" s="138">
        <f>'Tax Sched 23'!D4</f>
        <v>12852416</v>
      </c>
      <c r="C1760" s="2" t="s">
        <v>594</v>
      </c>
      <c r="D1760" s="2" t="str">
        <f t="shared" si="26"/>
        <v>Error?</v>
      </c>
    </row>
    <row r="1761" spans="1:5" x14ac:dyDescent="0.2">
      <c r="A1761" s="5">
        <v>1700</v>
      </c>
      <c r="B1761" s="138">
        <f>'Tax Sched 23'!D5</f>
        <v>2102117</v>
      </c>
      <c r="C1761" s="2" t="s">
        <v>594</v>
      </c>
      <c r="D1761" s="2" t="str">
        <f t="shared" si="26"/>
        <v>Error?</v>
      </c>
    </row>
    <row r="1762" spans="1:5" s="8" customFormat="1" x14ac:dyDescent="0.2">
      <c r="A1762" s="5">
        <v>1701</v>
      </c>
      <c r="B1762" s="138">
        <f>'Tax Sched 23'!D6</f>
        <v>5140599</v>
      </c>
      <c r="C1762" s="2" t="s">
        <v>594</v>
      </c>
      <c r="D1762" s="2" t="str">
        <f t="shared" si="26"/>
        <v>Error?</v>
      </c>
      <c r="E1762" s="9"/>
    </row>
    <row r="1763" spans="1:5" x14ac:dyDescent="0.2">
      <c r="A1763" s="5">
        <v>1702</v>
      </c>
      <c r="B1763" s="138">
        <f>'Tax Sched 23'!D7</f>
        <v>833272</v>
      </c>
      <c r="C1763" s="2" t="s">
        <v>594</v>
      </c>
      <c r="D1763" s="2" t="str">
        <f t="shared" si="26"/>
        <v>Error?</v>
      </c>
    </row>
    <row r="1764" spans="1:5" x14ac:dyDescent="0.2">
      <c r="A1764" s="5">
        <v>1703</v>
      </c>
      <c r="B1764" s="138">
        <f>'Tax Sched 23'!D8</f>
        <v>489460</v>
      </c>
      <c r="C1764" s="2" t="s">
        <v>594</v>
      </c>
      <c r="D1764" s="2" t="str">
        <f t="shared" si="26"/>
        <v>Error?</v>
      </c>
    </row>
    <row r="1765" spans="1:5" x14ac:dyDescent="0.2">
      <c r="A1765" s="5">
        <v>1704</v>
      </c>
      <c r="B1765" s="138">
        <f>'Tax Sched 23'!D10</f>
        <v>3445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382202</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2003984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24320543</v>
      </c>
      <c r="C1775" s="2" t="s">
        <v>594</v>
      </c>
      <c r="D1775" s="2" t="str">
        <f t="shared" si="26"/>
        <v>Error?</v>
      </c>
    </row>
    <row r="1776" spans="1:5" x14ac:dyDescent="0.2">
      <c r="A1776" s="5">
        <v>1715</v>
      </c>
      <c r="B1776" s="138">
        <f>'Tax Sched 23'!C4</f>
        <v>14570136</v>
      </c>
      <c r="D1776" s="2" t="str">
        <f t="shared" si="26"/>
        <v>Error?</v>
      </c>
    </row>
    <row r="1777" spans="1:4" x14ac:dyDescent="0.2">
      <c r="A1777" s="5">
        <v>1716</v>
      </c>
      <c r="B1777" s="138">
        <f>'Tax Sched 23'!C5</f>
        <v>2403702</v>
      </c>
      <c r="D1777" s="2" t="str">
        <f t="shared" si="26"/>
        <v>Error?</v>
      </c>
    </row>
    <row r="1778" spans="1:4" x14ac:dyDescent="0.2">
      <c r="A1778" s="5">
        <v>1717</v>
      </c>
      <c r="B1778" s="138">
        <f>'Tax Sched 23'!C6</f>
        <v>6229713</v>
      </c>
      <c r="D1778" s="2" t="str">
        <f t="shared" si="26"/>
        <v>Error?</v>
      </c>
    </row>
    <row r="1779" spans="1:4" x14ac:dyDescent="0.2">
      <c r="A1779" s="5">
        <v>1718</v>
      </c>
      <c r="B1779" s="138">
        <f>'Tax Sched 23'!C7</f>
        <v>860438</v>
      </c>
      <c r="D1779" s="2" t="str">
        <f t="shared" si="26"/>
        <v>Error?</v>
      </c>
    </row>
    <row r="1780" spans="1:4" x14ac:dyDescent="0.2">
      <c r="A1780" s="5">
        <v>1719</v>
      </c>
      <c r="B1780" s="138">
        <f>'Tax Sched 23'!C8</f>
        <v>596458</v>
      </c>
      <c r="D1780" s="2" t="str">
        <f t="shared" si="26"/>
        <v>Error?</v>
      </c>
    </row>
    <row r="1781" spans="1:4" x14ac:dyDescent="0.2">
      <c r="A1781" s="5">
        <v>1720</v>
      </c>
      <c r="B1781" s="138">
        <f>'Tax Sched 23'!C10</f>
        <v>3947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438112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2194510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27869327</v>
      </c>
      <c r="C1791" s="2" t="s">
        <v>594</v>
      </c>
      <c r="D1791" s="2" t="str">
        <f t="shared" ref="D1791:D1854" si="27">IF(ISBLANK(B1791),"OK",IF(A1791-B1791=0,"OK","Error?"))</f>
        <v>Error?</v>
      </c>
    </row>
    <row r="1792" spans="1:4" x14ac:dyDescent="0.2">
      <c r="A1792" s="5">
        <v>1731</v>
      </c>
      <c r="B1792" s="138">
        <f>'Tax Sched 23'!F4</f>
        <v>13295132</v>
      </c>
      <c r="C1792" s="2" t="s">
        <v>594</v>
      </c>
      <c r="D1792" s="2" t="str">
        <f t="shared" si="27"/>
        <v>Error?</v>
      </c>
    </row>
    <row r="1793" spans="1:4" x14ac:dyDescent="0.2">
      <c r="A1793" s="5">
        <v>1732</v>
      </c>
      <c r="B1793" s="138">
        <f>'Tax Sched 23'!F5</f>
        <v>2193354</v>
      </c>
      <c r="C1793" s="2" t="s">
        <v>594</v>
      </c>
      <c r="D1793" s="2" t="str">
        <f t="shared" si="27"/>
        <v>Error?</v>
      </c>
    </row>
    <row r="1794" spans="1:4" x14ac:dyDescent="0.2">
      <c r="A1794" s="5">
        <v>1733</v>
      </c>
      <c r="B1794" s="138">
        <f>'Tax Sched 23'!F6</f>
        <v>5684093</v>
      </c>
      <c r="C1794" s="2" t="s">
        <v>594</v>
      </c>
      <c r="D1794" s="2" t="str">
        <f t="shared" si="27"/>
        <v>Error?</v>
      </c>
    </row>
    <row r="1795" spans="1:4" x14ac:dyDescent="0.2">
      <c r="A1795" s="5">
        <v>1734</v>
      </c>
      <c r="B1795" s="138">
        <f>'Tax Sched 23'!F7</f>
        <v>785142</v>
      </c>
      <c r="C1795" s="2" t="s">
        <v>594</v>
      </c>
      <c r="D1795" s="2" t="str">
        <f t="shared" si="27"/>
        <v>Error?</v>
      </c>
    </row>
    <row r="1796" spans="1:4" x14ac:dyDescent="0.2">
      <c r="A1796" s="5">
        <v>1735</v>
      </c>
      <c r="B1796" s="138">
        <f>'Tax Sched 23'!F8</f>
        <v>544261</v>
      </c>
      <c r="C1796" s="2" t="s">
        <v>594</v>
      </c>
      <c r="D1796" s="2" t="str">
        <f t="shared" si="27"/>
        <v>Error?</v>
      </c>
    </row>
    <row r="1797" spans="1:4" x14ac:dyDescent="0.2">
      <c r="A1797" s="5">
        <v>1736</v>
      </c>
      <c r="B1797" s="138">
        <f>'Tax Sched 23'!F10</f>
        <v>3602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399775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2002474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25430059</v>
      </c>
      <c r="C1807" s="2" t="s">
        <v>594</v>
      </c>
      <c r="D1807" s="2" t="str">
        <f t="shared" si="27"/>
        <v>Error?</v>
      </c>
    </row>
    <row r="1808" spans="1:4" x14ac:dyDescent="0.2">
      <c r="A1808" s="5">
        <v>1747</v>
      </c>
      <c r="B1808" s="138">
        <f>'Tax Sched 23'!E4</f>
        <v>27865268</v>
      </c>
      <c r="D1808" s="2" t="str">
        <f t="shared" si="27"/>
        <v>Error?</v>
      </c>
    </row>
    <row r="1809" spans="1:4" x14ac:dyDescent="0.2">
      <c r="A1809" s="5">
        <v>1748</v>
      </c>
      <c r="B1809" s="138">
        <f>'Tax Sched 23'!E5</f>
        <v>4597056</v>
      </c>
      <c r="D1809" s="2" t="str">
        <f t="shared" si="27"/>
        <v>Error?</v>
      </c>
    </row>
    <row r="1810" spans="1:4" x14ac:dyDescent="0.2">
      <c r="A1810" s="5">
        <v>1749</v>
      </c>
      <c r="B1810" s="138">
        <f>'Tax Sched 23'!E6</f>
        <v>11913806</v>
      </c>
      <c r="D1810" s="2" t="str">
        <f t="shared" si="27"/>
        <v>Error?</v>
      </c>
    </row>
    <row r="1811" spans="1:4" x14ac:dyDescent="0.2">
      <c r="A1811" s="5">
        <v>1750</v>
      </c>
      <c r="B1811" s="138">
        <f>'Tax Sched 23'!E7</f>
        <v>1645580</v>
      </c>
      <c r="D1811" s="2" t="str">
        <f t="shared" si="27"/>
        <v>Error?</v>
      </c>
    </row>
    <row r="1812" spans="1:4" x14ac:dyDescent="0.2">
      <c r="A1812" s="5">
        <v>1751</v>
      </c>
      <c r="B1812" s="138">
        <f>'Tax Sched 23'!E8</f>
        <v>1140719</v>
      </c>
      <c r="D1812" s="2" t="str">
        <f t="shared" si="27"/>
        <v>Error?</v>
      </c>
    </row>
    <row r="1813" spans="1:4" x14ac:dyDescent="0.2">
      <c r="A1813" s="5">
        <v>1752</v>
      </c>
      <c r="B1813" s="138">
        <f>'Tax Sched 23'!E10</f>
        <v>7549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837887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4196984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53299386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70676606</v>
      </c>
      <c r="C1939" s="2" t="s">
        <v>594</v>
      </c>
      <c r="D1939" s="2" t="str">
        <f t="shared" si="29"/>
        <v>Error?</v>
      </c>
    </row>
    <row r="1940" spans="1:5" x14ac:dyDescent="0.2">
      <c r="A1940" s="5">
        <v>1879</v>
      </c>
      <c r="B1940" s="138">
        <f>'Short-Term Long-Term Debt 24'!F49</f>
        <v>651200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4198494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4198494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4198494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4894309</v>
      </c>
      <c r="D2008" s="2" t="str">
        <f t="shared" si="30"/>
        <v>Error?</v>
      </c>
    </row>
    <row r="2009" spans="1:4" x14ac:dyDescent="0.2">
      <c r="A2009" s="5">
        <v>1948</v>
      </c>
      <c r="B2009" s="138">
        <f>'Cap Outlay Deprec 26'!C8</f>
        <v>100747407</v>
      </c>
      <c r="D2009" s="2" t="str">
        <f t="shared" si="30"/>
        <v>Error?</v>
      </c>
    </row>
    <row r="2010" spans="1:4" x14ac:dyDescent="0.2">
      <c r="A2010" s="5">
        <v>1949</v>
      </c>
      <c r="B2010" s="138">
        <f>'Cap Outlay Deprec 26'!C10</f>
        <v>3496631</v>
      </c>
      <c r="D2010" s="2" t="str">
        <f t="shared" si="30"/>
        <v>Error?</v>
      </c>
    </row>
    <row r="2011" spans="1:4" x14ac:dyDescent="0.2">
      <c r="A2011" s="5">
        <v>1950</v>
      </c>
      <c r="B2011" s="138">
        <f>'Cap Outlay Deprec 26'!C12</f>
        <v>7638201</v>
      </c>
      <c r="D2011" s="2" t="str">
        <f t="shared" si="30"/>
        <v>Error?</v>
      </c>
    </row>
    <row r="2012" spans="1:4" x14ac:dyDescent="0.2">
      <c r="A2012" s="5">
        <v>1951</v>
      </c>
      <c r="B2012" s="138">
        <f>'Cap Outlay Deprec 26'!C13</f>
        <v>7135302</v>
      </c>
      <c r="D2012" s="2" t="str">
        <f t="shared" si="30"/>
        <v>Error?</v>
      </c>
    </row>
    <row r="2013" spans="1:4" x14ac:dyDescent="0.2">
      <c r="A2013" s="5">
        <v>1952</v>
      </c>
      <c r="B2013" s="138">
        <f>'Cap Outlay Deprec 26'!C16</f>
        <v>123932124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1346010</v>
      </c>
      <c r="D2015" s="2" t="str">
        <f t="shared" si="30"/>
        <v>Error?</v>
      </c>
    </row>
    <row r="2016" spans="1:4" x14ac:dyDescent="0.2">
      <c r="A2016" s="5">
        <v>1955</v>
      </c>
      <c r="B2016" s="138">
        <f>'Cap Outlay Deprec 26'!D10</f>
        <v>121066</v>
      </c>
      <c r="D2016" s="2" t="str">
        <f t="shared" si="30"/>
        <v>Error?</v>
      </c>
    </row>
    <row r="2017" spans="1:4" x14ac:dyDescent="0.2">
      <c r="A2017" s="5">
        <v>1956</v>
      </c>
      <c r="B2017" s="138">
        <f>'Cap Outlay Deprec 26'!D12</f>
        <v>129241</v>
      </c>
      <c r="D2017" s="2" t="str">
        <f t="shared" si="30"/>
        <v>Error?</v>
      </c>
    </row>
    <row r="2018" spans="1:4" x14ac:dyDescent="0.2">
      <c r="A2018" s="5">
        <v>1957</v>
      </c>
      <c r="B2018" s="138">
        <f>'Cap Outlay Deprec 26'!D13</f>
        <v>651200</v>
      </c>
      <c r="D2018" s="2" t="str">
        <f t="shared" si="30"/>
        <v>Error?</v>
      </c>
    </row>
    <row r="2019" spans="1:4" x14ac:dyDescent="0.2">
      <c r="A2019" s="5">
        <v>1958</v>
      </c>
      <c r="B2019" s="138">
        <f>'Cap Outlay Deprec 26'!D16</f>
        <v>2357979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294388</v>
      </c>
      <c r="D2024" s="2" t="str">
        <f t="shared" si="30"/>
        <v>Error?</v>
      </c>
    </row>
    <row r="2025" spans="1:4" x14ac:dyDescent="0.2">
      <c r="A2025" s="5">
        <v>1964</v>
      </c>
      <c r="B2025" s="138">
        <f>'Cap Outlay Deprec 26'!E16</f>
        <v>314662</v>
      </c>
      <c r="C2025" s="2" t="s">
        <v>594</v>
      </c>
      <c r="D2025" s="2" t="str">
        <f t="shared" si="30"/>
        <v>Error?</v>
      </c>
    </row>
    <row r="2026" spans="1:4" x14ac:dyDescent="0.2">
      <c r="A2026" s="5">
        <v>1965</v>
      </c>
      <c r="B2026" s="138">
        <f>'Cap Outlay Deprec 26'!F5</f>
        <v>4894309</v>
      </c>
      <c r="C2026" s="2" t="s">
        <v>594</v>
      </c>
      <c r="D2026" s="2" t="str">
        <f t="shared" si="30"/>
        <v>Error?</v>
      </c>
    </row>
    <row r="2027" spans="1:4" x14ac:dyDescent="0.2">
      <c r="A2027" s="5">
        <v>1966</v>
      </c>
      <c r="B2027" s="138">
        <f>'Cap Outlay Deprec 26'!F8</f>
        <v>102093417</v>
      </c>
      <c r="C2027" s="2" t="s">
        <v>594</v>
      </c>
      <c r="D2027" s="2" t="str">
        <f t="shared" si="30"/>
        <v>Error?</v>
      </c>
    </row>
    <row r="2028" spans="1:4" x14ac:dyDescent="0.2">
      <c r="A2028" s="5">
        <v>1967</v>
      </c>
      <c r="B2028" s="138">
        <f>'Cap Outlay Deprec 26'!F10</f>
        <v>3617697</v>
      </c>
      <c r="C2028" s="2" t="s">
        <v>594</v>
      </c>
      <c r="D2028" s="2" t="str">
        <f t="shared" si="30"/>
        <v>Error?</v>
      </c>
    </row>
    <row r="2029" spans="1:4" x14ac:dyDescent="0.2">
      <c r="A2029" s="5">
        <v>1968</v>
      </c>
      <c r="B2029" s="138">
        <f>'Cap Outlay Deprec 26'!F12</f>
        <v>7767442</v>
      </c>
      <c r="C2029" s="2" t="s">
        <v>594</v>
      </c>
      <c r="D2029" s="2" t="str">
        <f t="shared" si="30"/>
        <v>Error?</v>
      </c>
    </row>
    <row r="2030" spans="1:4" x14ac:dyDescent="0.2">
      <c r="A2030" s="5">
        <v>1969</v>
      </c>
      <c r="B2030" s="138">
        <f>'Cap Outlay Deprec 26'!F13</f>
        <v>7492114</v>
      </c>
      <c r="C2030" s="2" t="s">
        <v>594</v>
      </c>
      <c r="D2030" s="2" t="str">
        <f t="shared" si="30"/>
        <v>Error?</v>
      </c>
    </row>
    <row r="2031" spans="1:4" x14ac:dyDescent="0.2">
      <c r="A2031" s="5">
        <v>1970</v>
      </c>
      <c r="B2031" s="138">
        <f>'Cap Outlay Deprec 26'!F16</f>
        <v>125975441</v>
      </c>
      <c r="C2031" s="2" t="s">
        <v>594</v>
      </c>
      <c r="D2031" s="2" t="str">
        <f t="shared" si="30"/>
        <v>Error?</v>
      </c>
    </row>
    <row r="2032" spans="1:4" x14ac:dyDescent="0.2">
      <c r="A2032" s="10">
        <v>1971</v>
      </c>
      <c r="D2032" s="2" t="str">
        <f t="shared" si="30"/>
        <v>OK</v>
      </c>
    </row>
    <row r="2033" spans="1:4" x14ac:dyDescent="0.2">
      <c r="A2033" s="5">
        <v>1972</v>
      </c>
      <c r="B2033" s="138">
        <f>'Cap Outlay Deprec 26'!H8</f>
        <v>33784395</v>
      </c>
      <c r="D2033" s="2" t="str">
        <f t="shared" si="30"/>
        <v>Error?</v>
      </c>
    </row>
    <row r="2034" spans="1:4" x14ac:dyDescent="0.2">
      <c r="A2034" s="5">
        <v>1973</v>
      </c>
      <c r="B2034" s="138">
        <f>'Cap Outlay Deprec 26'!H10</f>
        <v>2424496</v>
      </c>
      <c r="D2034" s="2" t="str">
        <f t="shared" si="30"/>
        <v>Error?</v>
      </c>
    </row>
    <row r="2035" spans="1:4" x14ac:dyDescent="0.2">
      <c r="A2035" s="5">
        <v>1974</v>
      </c>
      <c r="B2035" s="138">
        <f>'Cap Outlay Deprec 26'!H12</f>
        <v>5292327</v>
      </c>
      <c r="D2035" s="2" t="str">
        <f t="shared" si="30"/>
        <v>Error?</v>
      </c>
    </row>
    <row r="2036" spans="1:4" x14ac:dyDescent="0.2">
      <c r="A2036" s="5">
        <v>1975</v>
      </c>
      <c r="B2036" s="138">
        <f>'Cap Outlay Deprec 26'!H13</f>
        <v>4069967</v>
      </c>
      <c r="D2036" s="2" t="str">
        <f t="shared" si="30"/>
        <v>Error?</v>
      </c>
    </row>
    <row r="2037" spans="1:4" x14ac:dyDescent="0.2">
      <c r="A2037" s="5">
        <v>1976</v>
      </c>
      <c r="B2037" s="138">
        <f>'Cap Outlay Deprec 26'!H16</f>
        <v>45571185</v>
      </c>
      <c r="C2037" s="2" t="s">
        <v>594</v>
      </c>
      <c r="D2037" s="2" t="str">
        <f t="shared" si="30"/>
        <v>Error?</v>
      </c>
    </row>
    <row r="2038" spans="1:4" x14ac:dyDescent="0.2">
      <c r="A2038" s="10">
        <v>1977</v>
      </c>
      <c r="D2038" s="2" t="str">
        <f t="shared" si="30"/>
        <v>OK</v>
      </c>
    </row>
    <row r="2039" spans="1:4" x14ac:dyDescent="0.2">
      <c r="A2039" s="5">
        <v>1978</v>
      </c>
      <c r="B2039" s="138">
        <f>'Cap Outlay Deprec 26'!I8</f>
        <v>2377525</v>
      </c>
      <c r="D2039" s="2" t="str">
        <f t="shared" si="30"/>
        <v>Error?</v>
      </c>
    </row>
    <row r="2040" spans="1:4" x14ac:dyDescent="0.2">
      <c r="A2040" s="5">
        <v>1979</v>
      </c>
      <c r="B2040" s="138">
        <f>'Cap Outlay Deprec 26'!I10</f>
        <v>178346</v>
      </c>
      <c r="D2040" s="2" t="str">
        <f t="shared" si="30"/>
        <v>Error?</v>
      </c>
    </row>
    <row r="2041" spans="1:4" x14ac:dyDescent="0.2">
      <c r="A2041" s="5">
        <v>1980</v>
      </c>
      <c r="B2041" s="138">
        <f>'Cap Outlay Deprec 26'!I12</f>
        <v>428122</v>
      </c>
      <c r="D2041" s="2" t="str">
        <f t="shared" si="30"/>
        <v>Error?</v>
      </c>
    </row>
    <row r="2042" spans="1:4" x14ac:dyDescent="0.2">
      <c r="A2042" s="5">
        <v>1981</v>
      </c>
      <c r="B2042" s="138">
        <f>'Cap Outlay Deprec 26'!I13</f>
        <v>559776</v>
      </c>
      <c r="D2042" s="2" t="str">
        <f t="shared" si="30"/>
        <v>Error?</v>
      </c>
    </row>
    <row r="2043" spans="1:4" x14ac:dyDescent="0.2">
      <c r="A2043" s="5">
        <v>1982</v>
      </c>
      <c r="B2043" s="138">
        <f>'Cap Outlay Deprec 26'!I16</f>
        <v>3543769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264950</v>
      </c>
      <c r="D2048" s="2" t="str">
        <f t="shared" si="31"/>
        <v>Error?</v>
      </c>
    </row>
    <row r="2049" spans="1:4" x14ac:dyDescent="0.2">
      <c r="A2049" s="5">
        <v>1988</v>
      </c>
      <c r="B2049" s="138">
        <f>'Cap Outlay Deprec 26'!J16</f>
        <v>264950</v>
      </c>
      <c r="C2049" s="2" t="s">
        <v>594</v>
      </c>
      <c r="D2049" s="2" t="str">
        <f t="shared" si="31"/>
        <v>Error?</v>
      </c>
    </row>
    <row r="2050" spans="1:4" x14ac:dyDescent="0.2">
      <c r="A2050" s="10">
        <v>1989</v>
      </c>
      <c r="D2050" s="2" t="str">
        <f t="shared" si="31"/>
        <v>OK</v>
      </c>
    </row>
    <row r="2051" spans="1:4" x14ac:dyDescent="0.2">
      <c r="A2051" s="5">
        <v>1990</v>
      </c>
      <c r="B2051" s="138">
        <f>'Cap Outlay Deprec 26'!K8</f>
        <v>36161920</v>
      </c>
      <c r="C2051" s="2" t="s">
        <v>594</v>
      </c>
      <c r="D2051" s="2" t="str">
        <f t="shared" si="31"/>
        <v>Error?</v>
      </c>
    </row>
    <row r="2052" spans="1:4" x14ac:dyDescent="0.2">
      <c r="A2052" s="5">
        <v>1991</v>
      </c>
      <c r="B2052" s="138">
        <f>'Cap Outlay Deprec 26'!K10</f>
        <v>2602842</v>
      </c>
      <c r="C2052" s="2" t="s">
        <v>594</v>
      </c>
      <c r="D2052" s="2" t="str">
        <f t="shared" si="31"/>
        <v>Error?</v>
      </c>
    </row>
    <row r="2053" spans="1:4" x14ac:dyDescent="0.2">
      <c r="A2053" s="5">
        <v>1992</v>
      </c>
      <c r="B2053" s="138">
        <f>'Cap Outlay Deprec 26'!K12</f>
        <v>5720449</v>
      </c>
      <c r="C2053" s="2" t="s">
        <v>594</v>
      </c>
      <c r="D2053" s="2" t="str">
        <f t="shared" si="31"/>
        <v>Error?</v>
      </c>
    </row>
    <row r="2054" spans="1:4" x14ac:dyDescent="0.2">
      <c r="A2054" s="5">
        <v>1993</v>
      </c>
      <c r="B2054" s="138">
        <f>'Cap Outlay Deprec 26'!K13</f>
        <v>4364793</v>
      </c>
      <c r="C2054" s="2" t="s">
        <v>594</v>
      </c>
      <c r="D2054" s="2" t="str">
        <f t="shared" si="31"/>
        <v>Error?</v>
      </c>
    </row>
    <row r="2055" spans="1:4" x14ac:dyDescent="0.2">
      <c r="A2055" s="5">
        <v>1994</v>
      </c>
      <c r="B2055" s="138">
        <f>'Cap Outlay Deprec 26'!K16</f>
        <v>48850004</v>
      </c>
      <c r="C2055" s="2" t="s">
        <v>594</v>
      </c>
      <c r="D2055" s="2" t="str">
        <f t="shared" si="31"/>
        <v>Error?</v>
      </c>
    </row>
    <row r="2056" spans="1:4" x14ac:dyDescent="0.2">
      <c r="A2056" s="5">
        <v>1995</v>
      </c>
      <c r="B2056" s="138">
        <f>'Cap Outlay Deprec 26'!L5</f>
        <v>4894309</v>
      </c>
      <c r="C2056" s="2" t="s">
        <v>594</v>
      </c>
      <c r="D2056" s="2" t="str">
        <f t="shared" si="31"/>
        <v>Error?</v>
      </c>
    </row>
    <row r="2057" spans="1:4" x14ac:dyDescent="0.2">
      <c r="A2057" s="5">
        <v>1996</v>
      </c>
      <c r="B2057" s="138">
        <f>'Cap Outlay Deprec 26'!L8</f>
        <v>65931497</v>
      </c>
      <c r="C2057" s="2" t="s">
        <v>594</v>
      </c>
      <c r="D2057" s="2" t="str">
        <f t="shared" si="31"/>
        <v>Error?</v>
      </c>
    </row>
    <row r="2058" spans="1:4" x14ac:dyDescent="0.2">
      <c r="A2058" s="5">
        <v>1997</v>
      </c>
      <c r="B2058" s="138">
        <f>'Cap Outlay Deprec 26'!L10</f>
        <v>1014855</v>
      </c>
      <c r="C2058" s="2" t="s">
        <v>594</v>
      </c>
      <c r="D2058" s="2" t="str">
        <f t="shared" si="31"/>
        <v>Error?</v>
      </c>
    </row>
    <row r="2059" spans="1:4" x14ac:dyDescent="0.2">
      <c r="A2059" s="5">
        <v>1998</v>
      </c>
      <c r="B2059" s="138">
        <f>'Cap Outlay Deprec 26'!L12</f>
        <v>2046993</v>
      </c>
      <c r="C2059" s="2" t="s">
        <v>594</v>
      </c>
      <c r="D2059" s="2" t="str">
        <f t="shared" si="31"/>
        <v>Error?</v>
      </c>
    </row>
    <row r="2060" spans="1:4" x14ac:dyDescent="0.2">
      <c r="A2060" s="5">
        <v>1999</v>
      </c>
      <c r="B2060" s="138">
        <f>'Cap Outlay Deprec 26'!L13</f>
        <v>3127321</v>
      </c>
      <c r="C2060" s="2" t="s">
        <v>594</v>
      </c>
      <c r="D2060" s="2" t="str">
        <f t="shared" si="31"/>
        <v>Error?</v>
      </c>
    </row>
    <row r="2061" spans="1:4" x14ac:dyDescent="0.2">
      <c r="A2061" s="5">
        <v>2000</v>
      </c>
      <c r="B2061" s="138">
        <f>'Cap Outlay Deprec 26'!L16</f>
        <v>77125437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4776855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213218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34073338</v>
      </c>
      <c r="C2551" s="2" t="s">
        <v>594</v>
      </c>
      <c r="D2551" s="2" t="str">
        <f t="shared" si="38"/>
        <v>Error?</v>
      </c>
    </row>
    <row r="2552" spans="1:4" x14ac:dyDescent="0.2">
      <c r="A2552" s="10">
        <v>2491</v>
      </c>
      <c r="D2552" s="2" t="str">
        <f t="shared" si="38"/>
        <v>OK</v>
      </c>
    </row>
    <row r="2553" spans="1:4" x14ac:dyDescent="0.2">
      <c r="A2553" s="5">
        <v>2492</v>
      </c>
      <c r="B2553" s="138">
        <f>'Acct Summary 7-8'!C6</f>
        <v>12818205</v>
      </c>
      <c r="C2553" s="2" t="s">
        <v>594</v>
      </c>
      <c r="D2553" s="2" t="str">
        <f t="shared" si="38"/>
        <v>Error?</v>
      </c>
    </row>
    <row r="2554" spans="1:4" x14ac:dyDescent="0.2">
      <c r="A2554" s="5">
        <v>2493</v>
      </c>
      <c r="B2554" s="138">
        <f>'Acct Summary 7-8'!C7</f>
        <v>2234233</v>
      </c>
      <c r="C2554" s="2" t="s">
        <v>594</v>
      </c>
      <c r="D2554" s="2" t="str">
        <f t="shared" si="38"/>
        <v>Error?</v>
      </c>
    </row>
    <row r="2555" spans="1:4" x14ac:dyDescent="0.2">
      <c r="A2555" s="5">
        <v>2494</v>
      </c>
      <c r="B2555" s="138">
        <f>'Acct Summary 7-8'!C8</f>
        <v>49125776</v>
      </c>
      <c r="C2555" s="2" t="s">
        <v>594</v>
      </c>
      <c r="D2555" s="2" t="str">
        <f t="shared" si="38"/>
        <v>Error?</v>
      </c>
    </row>
    <row r="2556" spans="1:4" x14ac:dyDescent="0.2">
      <c r="A2556" s="5">
        <v>2495</v>
      </c>
      <c r="B2556" s="138">
        <f>'Acct Summary 7-8'!C12</f>
        <v>28096477</v>
      </c>
      <c r="C2556" s="2" t="s">
        <v>594</v>
      </c>
      <c r="D2556" s="2" t="str">
        <f t="shared" si="38"/>
        <v>Error?</v>
      </c>
    </row>
    <row r="2557" spans="1:4" x14ac:dyDescent="0.2">
      <c r="A2557" s="5">
        <v>2496</v>
      </c>
      <c r="B2557" s="138">
        <f>'Acct Summary 7-8'!C13</f>
        <v>13582847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4776855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46456179</v>
      </c>
      <c r="C2561" s="2" t="s">
        <v>594</v>
      </c>
      <c r="D2561" s="2" t="str">
        <f t="shared" si="39"/>
        <v>Error?</v>
      </c>
    </row>
    <row r="2562" spans="1:4" x14ac:dyDescent="0.2">
      <c r="A2562" s="5">
        <v>2501</v>
      </c>
      <c r="B2562" s="138">
        <f>'Acct Summary 7-8'!C20</f>
        <v>2669597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4525626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4525626</v>
      </c>
      <c r="C2568" s="2" t="s">
        <v>594</v>
      </c>
      <c r="D2568" s="2" t="str">
        <f t="shared" si="39"/>
        <v>Error?</v>
      </c>
    </row>
    <row r="2569" spans="1:4" x14ac:dyDescent="0.2">
      <c r="A2569" s="5">
        <v>2508</v>
      </c>
      <c r="B2569" s="138">
        <f>'Acct Summary 7-8'!D13</f>
        <v>4433199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4433199</v>
      </c>
      <c r="C2573" s="2" t="s">
        <v>594</v>
      </c>
      <c r="D2573" s="2" t="str">
        <f t="shared" si="39"/>
        <v>Error?</v>
      </c>
    </row>
    <row r="2574" spans="1:4" x14ac:dyDescent="0.2">
      <c r="A2574" s="5">
        <v>2513</v>
      </c>
      <c r="B2574" s="138">
        <f>'Acct Summary 7-8'!D20</f>
        <v>92427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1729695</v>
      </c>
      <c r="C2591" s="2" t="s">
        <v>594</v>
      </c>
      <c r="D2591" s="2" t="str">
        <f t="shared" si="39"/>
        <v>Error?</v>
      </c>
    </row>
    <row r="2592" spans="1:4" x14ac:dyDescent="0.2">
      <c r="A2592" s="10">
        <v>2531</v>
      </c>
      <c r="D2592" s="2" t="str">
        <f t="shared" si="39"/>
        <v>OK</v>
      </c>
    </row>
    <row r="2593" spans="1:4" x14ac:dyDescent="0.2">
      <c r="A2593" s="5">
        <v>2532</v>
      </c>
      <c r="B2593" s="138">
        <f>'Acct Summary 7-8'!F6</f>
        <v>4186422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5916117</v>
      </c>
      <c r="C2595" s="2" t="s">
        <v>594</v>
      </c>
      <c r="D2595" s="2" t="str">
        <f t="shared" si="39"/>
        <v>Error?</v>
      </c>
    </row>
    <row r="2596" spans="1:4" x14ac:dyDescent="0.2">
      <c r="A2596" s="5">
        <v>2535</v>
      </c>
      <c r="B2596" s="138">
        <f>'Acct Summary 7-8'!F13</f>
        <v>4757248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718363</v>
      </c>
      <c r="C2599" s="2" t="s">
        <v>594</v>
      </c>
      <c r="D2599" s="2" t="str">
        <f t="shared" si="39"/>
        <v>Error?</v>
      </c>
    </row>
    <row r="2600" spans="1:4" x14ac:dyDescent="0.2">
      <c r="A2600" s="5">
        <v>2539</v>
      </c>
      <c r="B2600" s="138">
        <f>'Acct Summary 7-8'!F17</f>
        <v>5475611</v>
      </c>
      <c r="C2600" s="2" t="s">
        <v>594</v>
      </c>
      <c r="D2600" s="2" t="str">
        <f t="shared" si="39"/>
        <v>Error?</v>
      </c>
    </row>
    <row r="2601" spans="1:4" x14ac:dyDescent="0.2">
      <c r="A2601" s="5">
        <v>2540</v>
      </c>
      <c r="B2601" s="138">
        <f>'Acct Summary 7-8'!F20</f>
        <v>440506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2191857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2191857</v>
      </c>
      <c r="C2606" s="2" t="s">
        <v>594</v>
      </c>
      <c r="D2606" s="2" t="str">
        <f t="shared" si="39"/>
        <v>Error?</v>
      </c>
    </row>
    <row r="2607" spans="1:4" x14ac:dyDescent="0.2">
      <c r="A2607" s="5">
        <v>2546</v>
      </c>
      <c r="B2607" s="138">
        <f>'Acct Summary 7-8'!G12</f>
        <v>669552</v>
      </c>
      <c r="C2607" s="2" t="s">
        <v>594</v>
      </c>
      <c r="D2607" s="2" t="str">
        <f t="shared" si="39"/>
        <v>Error?</v>
      </c>
    </row>
    <row r="2608" spans="1:4" x14ac:dyDescent="0.2">
      <c r="A2608" s="5">
        <v>2547</v>
      </c>
      <c r="B2608" s="138">
        <f>'Acct Summary 7-8'!G13</f>
        <v>1533534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2203086</v>
      </c>
      <c r="C2612" s="2" t="s">
        <v>594</v>
      </c>
      <c r="D2612" s="2" t="str">
        <f t="shared" si="39"/>
        <v>Error?</v>
      </c>
    </row>
    <row r="2613" spans="1:4" x14ac:dyDescent="0.2">
      <c r="A2613" s="5">
        <v>2552</v>
      </c>
      <c r="B2613" s="138">
        <f>'Acct Summary 7-8'!G20</f>
        <v>-11229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11403988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11403988</v>
      </c>
      <c r="C2632" s="2" t="s">
        <v>594</v>
      </c>
      <c r="D2632" s="2" t="str">
        <f t="shared" si="40"/>
        <v>Error?</v>
      </c>
    </row>
    <row r="2633" spans="1:4" x14ac:dyDescent="0.2">
      <c r="A2633" s="5">
        <v>2572</v>
      </c>
      <c r="B2633" s="138">
        <f>'Acct Summary 7-8'!E15</f>
        <v>95572</v>
      </c>
      <c r="C2633" s="2" t="s">
        <v>594</v>
      </c>
      <c r="D2633" s="2" t="str">
        <f t="shared" si="40"/>
        <v>Error?</v>
      </c>
    </row>
    <row r="2634" spans="1:4" x14ac:dyDescent="0.2">
      <c r="A2634" s="5">
        <v>2573</v>
      </c>
      <c r="B2634" s="138">
        <f>'Acct Summary 7-8'!E16</f>
        <v>10665460</v>
      </c>
      <c r="C2634" s="2" t="s">
        <v>594</v>
      </c>
      <c r="D2634" s="2" t="str">
        <f t="shared" si="40"/>
        <v>Error?</v>
      </c>
    </row>
    <row r="2635" spans="1:4" x14ac:dyDescent="0.2">
      <c r="A2635" s="5">
        <v>2574</v>
      </c>
      <c r="B2635" s="138">
        <f>'Acct Summary 7-8'!E17</f>
        <v>10761032</v>
      </c>
      <c r="C2635" s="2" t="s">
        <v>594</v>
      </c>
      <c r="D2635" s="2" t="str">
        <f t="shared" si="40"/>
        <v>Error?</v>
      </c>
    </row>
    <row r="2636" spans="1:4" x14ac:dyDescent="0.2">
      <c r="A2636" s="5">
        <v>2575</v>
      </c>
      <c r="B2636" s="138">
        <f>'Acct Summary 7-8'!E20</f>
        <v>642956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56831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56831</v>
      </c>
      <c r="C2658" s="2" t="s">
        <v>594</v>
      </c>
      <c r="D2658" s="2" t="str">
        <f t="shared" si="40"/>
        <v>Error?</v>
      </c>
    </row>
    <row r="2659" spans="1:4" x14ac:dyDescent="0.2">
      <c r="A2659" s="5">
        <v>2598</v>
      </c>
      <c r="B2659" s="138">
        <f>'Acct Summary 7-8'!H13</f>
        <v>1404791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1404791</v>
      </c>
      <c r="C2661" s="2" t="s">
        <v>594</v>
      </c>
      <c r="D2661" s="2" t="str">
        <f t="shared" si="40"/>
        <v>Error?</v>
      </c>
    </row>
    <row r="2662" spans="1:4" x14ac:dyDescent="0.2">
      <c r="A2662" s="5">
        <v>2601</v>
      </c>
      <c r="B2662" s="138">
        <f>'Acct Summary 7-8'!H20</f>
        <v>-1347960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110462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16580484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391093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16580484</v>
      </c>
      <c r="D2912" s="2" t="str">
        <f t="shared" si="44"/>
        <v>Error?</v>
      </c>
    </row>
    <row r="2913" spans="1:4" x14ac:dyDescent="0.2">
      <c r="A2913" s="5">
        <v>2852</v>
      </c>
      <c r="B2913" s="138">
        <f>'Assets-Liab 5-6'!I41</f>
        <v>16580484</v>
      </c>
      <c r="C2913" s="2" t="s">
        <v>594</v>
      </c>
      <c r="D2913" s="2" t="str">
        <f t="shared" si="44"/>
        <v>Error?</v>
      </c>
    </row>
    <row r="2914" spans="1:4" x14ac:dyDescent="0.2">
      <c r="A2914" s="5">
        <v>2853</v>
      </c>
      <c r="B2914" s="138">
        <f>'Assets-Liab 5-6'!L33</f>
        <v>391093</v>
      </c>
      <c r="D2914" s="2" t="str">
        <f t="shared" si="44"/>
        <v>Error?</v>
      </c>
    </row>
    <row r="2915" spans="1:4" x14ac:dyDescent="0.2">
      <c r="A2915" s="10">
        <v>2854</v>
      </c>
      <c r="D2915" s="2" t="str">
        <f t="shared" si="44"/>
        <v>OK</v>
      </c>
    </row>
    <row r="2916" spans="1:4" x14ac:dyDescent="0.2">
      <c r="A2916" s="5">
        <v>2855</v>
      </c>
      <c r="B2916" s="138">
        <f>'Assets-Liab 5-6'!L34</f>
        <v>391093</v>
      </c>
      <c r="C2916" s="2" t="s">
        <v>594</v>
      </c>
      <c r="D2916" s="2" t="str">
        <f t="shared" si="44"/>
        <v>Error?</v>
      </c>
    </row>
    <row r="2917" spans="1:4" x14ac:dyDescent="0.2">
      <c r="A2917" s="5">
        <v>2856</v>
      </c>
      <c r="B2917" s="138">
        <f>'Assets-Liab 5-6'!L41</f>
        <v>391093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749217</v>
      </c>
      <c r="D3055" s="2" t="str">
        <f t="shared" si="46"/>
        <v>Error?</v>
      </c>
    </row>
    <row r="3056" spans="1:4" x14ac:dyDescent="0.2">
      <c r="A3056" s="5">
        <v>2995</v>
      </c>
      <c r="B3056" s="138">
        <f>'Expenditures 15-22'!D10</f>
        <v>74313</v>
      </c>
      <c r="D3056" s="2" t="str">
        <f t="shared" si="46"/>
        <v>Error?</v>
      </c>
    </row>
    <row r="3057" spans="1:4" x14ac:dyDescent="0.2">
      <c r="A3057" s="5">
        <v>2996</v>
      </c>
      <c r="B3057" s="138">
        <f>'Expenditures 15-22'!E10</f>
        <v>83388</v>
      </c>
      <c r="D3057" s="2" t="str">
        <f t="shared" si="46"/>
        <v>Error?</v>
      </c>
    </row>
    <row r="3058" spans="1:4" x14ac:dyDescent="0.2">
      <c r="A3058" s="5">
        <v>2997</v>
      </c>
      <c r="B3058" s="138">
        <f>'Expenditures 15-22'!F10</f>
        <v>176799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1167867</v>
      </c>
      <c r="C3062" s="2" t="s">
        <v>594</v>
      </c>
      <c r="D3062" s="2" t="str">
        <f t="shared" si="46"/>
        <v>Error?</v>
      </c>
    </row>
    <row r="3063" spans="1:4" x14ac:dyDescent="0.2">
      <c r="A3063" s="10">
        <v>3002</v>
      </c>
      <c r="D3063" s="2" t="str">
        <f t="shared" si="46"/>
        <v>OK</v>
      </c>
    </row>
    <row r="3064" spans="1:4" x14ac:dyDescent="0.2">
      <c r="A3064" s="5">
        <v>3003</v>
      </c>
      <c r="B3064" s="138">
        <f>'Expenditures 15-22'!D219</f>
        <v>9839</v>
      </c>
      <c r="D3064" s="2" t="str">
        <f t="shared" si="46"/>
        <v>Error?</v>
      </c>
    </row>
    <row r="3065" spans="1:4" x14ac:dyDescent="0.2">
      <c r="A3065" s="5">
        <v>3004</v>
      </c>
      <c r="B3065" s="138">
        <f>'Expenditures 15-22'!K219</f>
        <v>9839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220610</v>
      </c>
      <c r="C3225" s="2" t="s">
        <v>594</v>
      </c>
      <c r="D3225" s="2" t="str">
        <f t="shared" si="49"/>
        <v>Error?</v>
      </c>
    </row>
    <row r="3226" spans="1:4" x14ac:dyDescent="0.2">
      <c r="A3226" s="5">
        <v>3165</v>
      </c>
      <c r="B3226" s="138">
        <f>'Acct Summary 7-8'!I8</f>
        <v>220610</v>
      </c>
      <c r="C3226" s="2" t="s">
        <v>594</v>
      </c>
      <c r="D3226" s="2" t="str">
        <f t="shared" si="49"/>
        <v>Error?</v>
      </c>
    </row>
    <row r="3227" spans="1:4" x14ac:dyDescent="0.2">
      <c r="A3227" s="5">
        <v>3166</v>
      </c>
      <c r="B3227" s="138">
        <f>'Acct Summary 7-8'!I20</f>
        <v>220610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213218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750000</v>
      </c>
      <c r="C3231" s="2" t="s">
        <v>594</v>
      </c>
      <c r="D3231" s="2" t="str">
        <f t="shared" si="49"/>
        <v>Error?</v>
      </c>
    </row>
    <row r="3232" spans="1:4" x14ac:dyDescent="0.2">
      <c r="A3232" s="5">
        <v>3171</v>
      </c>
      <c r="B3232" s="138">
        <f>'Acct Summary 7-8'!C77</f>
        <v>-536782</v>
      </c>
      <c r="C3232" s="2" t="s">
        <v>594</v>
      </c>
      <c r="D3232" s="2" t="str">
        <f t="shared" si="49"/>
        <v>Error?</v>
      </c>
    </row>
    <row r="3233" spans="1:4" x14ac:dyDescent="0.2">
      <c r="A3233" s="5">
        <v>3172</v>
      </c>
      <c r="B3233" s="138">
        <f>'Acct Summary 7-8'!C78</f>
        <v>2132815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92427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651200</v>
      </c>
      <c r="D3251" s="2" t="str">
        <f t="shared" si="49"/>
        <v>Error?</v>
      </c>
    </row>
    <row r="3252" spans="1:4" x14ac:dyDescent="0.2">
      <c r="A3252" s="5">
        <v>3191</v>
      </c>
      <c r="B3252" s="138">
        <f>'Acct Summary 7-8'!F44</f>
        <v>672700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672700</v>
      </c>
      <c r="C3255" s="2" t="s">
        <v>594</v>
      </c>
      <c r="D3255" s="2" t="str">
        <f t="shared" si="49"/>
        <v>Error?</v>
      </c>
    </row>
    <row r="3256" spans="1:4" x14ac:dyDescent="0.2">
      <c r="A3256" s="5">
        <v>3195</v>
      </c>
      <c r="B3256" s="138">
        <f>'Acct Summary 7-8'!F78</f>
        <v>1113206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-11229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642956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750000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750000</v>
      </c>
      <c r="C3299" s="2" t="s">
        <v>594</v>
      </c>
      <c r="D3299" s="2" t="str">
        <f t="shared" si="50"/>
        <v>Error?</v>
      </c>
    </row>
    <row r="3300" spans="1:4" x14ac:dyDescent="0.2">
      <c r="A3300" s="5">
        <v>3239</v>
      </c>
      <c r="B3300" s="138">
        <f>'Acct Summary 7-8'!H78</f>
        <v>-597960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213218</v>
      </c>
      <c r="C3318" s="2" t="s">
        <v>594</v>
      </c>
      <c r="D3318" s="2" t="str">
        <f t="shared" si="50"/>
        <v>Error?</v>
      </c>
    </row>
    <row r="3319" spans="1:4" x14ac:dyDescent="0.2">
      <c r="A3319" s="5">
        <v>3258</v>
      </c>
      <c r="B3319" s="138">
        <f>'Acct Summary 7-8'!I77</f>
        <v>-213218</v>
      </c>
      <c r="C3319" s="2" t="s">
        <v>594</v>
      </c>
      <c r="D3319" s="2" t="str">
        <f t="shared" si="50"/>
        <v>Error?</v>
      </c>
    </row>
    <row r="3320" spans="1:4" x14ac:dyDescent="0.2">
      <c r="A3320" s="5">
        <v>3259</v>
      </c>
      <c r="B3320" s="138">
        <f>'Acct Summary 7-8'!I78</f>
        <v>7392</v>
      </c>
      <c r="C3320" s="2" t="s">
        <v>594</v>
      </c>
      <c r="D3320" s="2" t="str">
        <f t="shared" si="50"/>
        <v>Error?</v>
      </c>
    </row>
    <row r="3321" spans="1:4" x14ac:dyDescent="0.2">
      <c r="A3321" s="5">
        <v>3260</v>
      </c>
      <c r="B3321" s="138">
        <f>'Acct Summary 7-8'!I79</f>
        <v>16573092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16580484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4573765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863246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434697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644396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233483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6980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6765401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227747</v>
      </c>
      <c r="D3387" s="2" t="str">
        <f t="shared" si="51"/>
        <v>Error?</v>
      </c>
    </row>
    <row r="3388" spans="1:4" x14ac:dyDescent="0.2">
      <c r="A3388" s="5">
        <v>3327</v>
      </c>
      <c r="B3388" s="138">
        <f>'Expenditures 15-22'!D217</f>
        <v>306018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227747</v>
      </c>
      <c r="C3390" s="2" t="s">
        <v>594</v>
      </c>
      <c r="D3390" s="2" t="str">
        <f t="shared" si="51"/>
        <v>Error?</v>
      </c>
    </row>
    <row r="3391" spans="1:4" x14ac:dyDescent="0.2">
      <c r="A3391" s="5">
        <v>3330</v>
      </c>
      <c r="B3391" s="138">
        <f>'Expenditures 15-22'!K217</f>
        <v>306018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13358078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375564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5737917</v>
      </c>
      <c r="D3417" s="2" t="str">
        <f t="shared" si="52"/>
        <v>Error?</v>
      </c>
    </row>
    <row r="3418" spans="1:4" x14ac:dyDescent="0.2">
      <c r="A3418" s="10">
        <v>3357</v>
      </c>
      <c r="D3418" s="2" t="str">
        <f t="shared" si="52"/>
        <v>OK</v>
      </c>
    </row>
    <row r="3419" spans="1:4" x14ac:dyDescent="0.2">
      <c r="A3419" s="5">
        <v>3358</v>
      </c>
      <c r="B3419" s="138">
        <f>'Assets-Liab 5-6'!F4</f>
        <v>1451508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1122300</v>
      </c>
      <c r="D3425" s="2" t="str">
        <f t="shared" si="52"/>
        <v>Error?</v>
      </c>
    </row>
    <row r="3426" spans="1:4" x14ac:dyDescent="0.2">
      <c r="A3426" s="10">
        <v>3365</v>
      </c>
      <c r="D3426" s="2" t="str">
        <f t="shared" si="52"/>
        <v>OK</v>
      </c>
    </row>
    <row r="3427" spans="1:4" x14ac:dyDescent="0.2">
      <c r="A3427" s="5">
        <v>3366</v>
      </c>
      <c r="B3427" s="138">
        <f>'Assets-Liab 5-6'!I4</f>
        <v>16576971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391093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1085359</v>
      </c>
      <c r="C3446" s="2" t="s">
        <v>594</v>
      </c>
      <c r="D3446" s="2" t="str">
        <f t="shared" si="52"/>
        <v>Error?</v>
      </c>
    </row>
    <row r="3447" spans="1:4" x14ac:dyDescent="0.2">
      <c r="A3447" s="5">
        <v>3386</v>
      </c>
      <c r="B3447" s="138">
        <f>'Tax Sched 23'!D16</f>
        <v>513048</v>
      </c>
      <c r="C3447" s="2" t="s">
        <v>594</v>
      </c>
      <c r="D3447" s="2" t="str">
        <f t="shared" si="52"/>
        <v>Error?</v>
      </c>
    </row>
    <row r="3448" spans="1:4" x14ac:dyDescent="0.2">
      <c r="A3448" s="5">
        <v>3387</v>
      </c>
      <c r="B3448" s="138">
        <f>'Tax Sched 23'!C16</f>
        <v>572311</v>
      </c>
      <c r="D3448" s="2" t="str">
        <f t="shared" si="52"/>
        <v>Error?</v>
      </c>
    </row>
    <row r="3449" spans="1:4" x14ac:dyDescent="0.2">
      <c r="A3449" s="5">
        <v>3388</v>
      </c>
      <c r="B3449" s="138">
        <f>'Tax Sched 23'!F16</f>
        <v>522226</v>
      </c>
      <c r="C3449" s="2" t="s">
        <v>594</v>
      </c>
      <c r="D3449" s="2" t="str">
        <f t="shared" si="52"/>
        <v>Error?</v>
      </c>
    </row>
    <row r="3450" spans="1:4" x14ac:dyDescent="0.2">
      <c r="A3450" s="5">
        <v>3389</v>
      </c>
      <c r="B3450" s="138">
        <f>'Tax Sched 23'!E16</f>
        <v>1094537</v>
      </c>
      <c r="D3450" s="2" t="str">
        <f t="shared" si="52"/>
        <v>Error?</v>
      </c>
    </row>
    <row r="3451" spans="1:4" x14ac:dyDescent="0.2">
      <c r="A3451" s="5">
        <v>3390</v>
      </c>
      <c r="B3451" s="138">
        <f>'Cap Outlay Deprec 26'!C15</f>
        <v>20274</v>
      </c>
      <c r="D3451" s="2" t="str">
        <f t="shared" si="52"/>
        <v>Error?</v>
      </c>
    </row>
    <row r="3452" spans="1:4" x14ac:dyDescent="0.2">
      <c r="A3452" s="5">
        <v>3391</v>
      </c>
      <c r="B3452" s="138">
        <f>'Cap Outlay Deprec 26'!D15</f>
        <v>110462</v>
      </c>
      <c r="D3452" s="2" t="str">
        <f t="shared" si="52"/>
        <v>Error?</v>
      </c>
    </row>
    <row r="3453" spans="1:4" x14ac:dyDescent="0.2">
      <c r="A3453" s="5">
        <v>3392</v>
      </c>
      <c r="B3453" s="138">
        <f>'Cap Outlay Deprec 26'!E15</f>
        <v>20274</v>
      </c>
      <c r="D3453" s="2" t="str">
        <f t="shared" si="52"/>
        <v>Error?</v>
      </c>
    </row>
    <row r="3454" spans="1:4" x14ac:dyDescent="0.2">
      <c r="A3454" s="5">
        <v>3393</v>
      </c>
      <c r="B3454" s="138">
        <f>'Cap Outlay Deprec 26'!F15</f>
        <v>110462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110462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21500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17702493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66828269</v>
      </c>
      <c r="C4122" s="2" t="s">
        <v>594</v>
      </c>
      <c r="D4122" s="2" t="str">
        <f t="shared" si="63"/>
        <v>Error?</v>
      </c>
    </row>
    <row r="4123" spans="1:4" x14ac:dyDescent="0.2">
      <c r="A4123" s="5">
        <v>4062</v>
      </c>
      <c r="B4123" s="138">
        <f>'Acct Summary 7-8'!D10</f>
        <v>4525626</v>
      </c>
      <c r="C4123" s="2" t="s">
        <v>594</v>
      </c>
      <c r="D4123" s="2" t="str">
        <f t="shared" si="63"/>
        <v>Error?</v>
      </c>
    </row>
    <row r="4124" spans="1:4" x14ac:dyDescent="0.2">
      <c r="A4124" s="5">
        <v>4063</v>
      </c>
      <c r="B4124" s="138">
        <f>'Acct Summary 7-8'!E10</f>
        <v>11403988</v>
      </c>
      <c r="C4124" s="2" t="s">
        <v>594</v>
      </c>
      <c r="D4124" s="2" t="str">
        <f t="shared" si="63"/>
        <v>Error?</v>
      </c>
    </row>
    <row r="4125" spans="1:4" x14ac:dyDescent="0.2">
      <c r="A4125" s="5">
        <v>4064</v>
      </c>
      <c r="B4125" s="138">
        <f>'Acct Summary 7-8'!F10</f>
        <v>5916117</v>
      </c>
      <c r="C4125" s="2" t="s">
        <v>594</v>
      </c>
      <c r="D4125" s="2" t="str">
        <f t="shared" si="63"/>
        <v>Error?</v>
      </c>
    </row>
    <row r="4126" spans="1:4" x14ac:dyDescent="0.2">
      <c r="A4126" s="5">
        <v>4065</v>
      </c>
      <c r="B4126" s="138">
        <f>'Acct Summary 7-8'!G10</f>
        <v>2191857</v>
      </c>
      <c r="C4126" s="2" t="s">
        <v>594</v>
      </c>
      <c r="D4126" s="2" t="str">
        <f t="shared" si="63"/>
        <v>Error?</v>
      </c>
    </row>
    <row r="4127" spans="1:4" x14ac:dyDescent="0.2">
      <c r="A4127" s="5">
        <v>4066</v>
      </c>
      <c r="B4127" s="138">
        <f>'Acct Summary 7-8'!H10</f>
        <v>56831</v>
      </c>
      <c r="C4127" s="2" t="s">
        <v>594</v>
      </c>
      <c r="D4127" s="2" t="str">
        <f t="shared" si="63"/>
        <v>Error?</v>
      </c>
    </row>
    <row r="4128" spans="1:4" x14ac:dyDescent="0.2">
      <c r="A4128" s="5">
        <v>4067</v>
      </c>
      <c r="B4128" s="138">
        <f>'Acct Summary 7-8'!I10</f>
        <v>220610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17702493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64158672</v>
      </c>
      <c r="C4136" s="2" t="s">
        <v>594</v>
      </c>
      <c r="D4136" s="2" t="str">
        <f t="shared" si="63"/>
        <v>Error?</v>
      </c>
    </row>
    <row r="4137" spans="1:4" x14ac:dyDescent="0.2">
      <c r="A4137" s="5">
        <v>4076</v>
      </c>
      <c r="B4137" s="138">
        <f>'Acct Summary 7-8'!D19</f>
        <v>4433199</v>
      </c>
      <c r="C4137" s="2" t="s">
        <v>594</v>
      </c>
      <c r="D4137" s="2" t="str">
        <f t="shared" si="63"/>
        <v>Error?</v>
      </c>
    </row>
    <row r="4138" spans="1:4" x14ac:dyDescent="0.2">
      <c r="A4138" s="5">
        <v>4077</v>
      </c>
      <c r="B4138" s="138">
        <f>'Acct Summary 7-8'!E19</f>
        <v>10761032</v>
      </c>
      <c r="C4138" s="2" t="s">
        <v>594</v>
      </c>
      <c r="D4138" s="2" t="str">
        <f t="shared" si="63"/>
        <v>Error?</v>
      </c>
    </row>
    <row r="4139" spans="1:4" x14ac:dyDescent="0.2">
      <c r="A4139" s="5">
        <v>4078</v>
      </c>
      <c r="B4139" s="138">
        <f>'Acct Summary 7-8'!F19</f>
        <v>5475611</v>
      </c>
      <c r="C4139" s="2" t="s">
        <v>594</v>
      </c>
      <c r="D4139" s="2" t="str">
        <f t="shared" si="63"/>
        <v>Error?</v>
      </c>
    </row>
    <row r="4140" spans="1:4" x14ac:dyDescent="0.2">
      <c r="A4140" s="5">
        <v>4079</v>
      </c>
      <c r="B4140" s="138">
        <f>'Acct Summary 7-8'!G19</f>
        <v>2203086</v>
      </c>
      <c r="C4140" s="2" t="s">
        <v>594</v>
      </c>
      <c r="D4140" s="2" t="str">
        <f t="shared" si="63"/>
        <v>Error?</v>
      </c>
    </row>
    <row r="4141" spans="1:4" x14ac:dyDescent="0.2">
      <c r="A4141" s="5">
        <v>4080</v>
      </c>
      <c r="B4141" s="138">
        <f>'Acct Summary 7-8'!H19</f>
        <v>1404791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63313468</v>
      </c>
      <c r="C4171" s="2" t="s">
        <v>594</v>
      </c>
      <c r="D4171" s="2" t="str">
        <f t="shared" si="64"/>
        <v>Error?</v>
      </c>
    </row>
    <row r="4172" spans="1:4" x14ac:dyDescent="0.2">
      <c r="A4172" s="5">
        <v>4111</v>
      </c>
      <c r="B4172" s="138">
        <f>'Short-Term Long-Term Debt 24'!J49</f>
        <v>56996313</v>
      </c>
      <c r="C4172" s="2" t="s">
        <v>594</v>
      </c>
      <c r="D4172" s="2" t="str">
        <f t="shared" si="64"/>
        <v>Error?</v>
      </c>
    </row>
    <row r="4173" spans="1:4" x14ac:dyDescent="0.2">
      <c r="A4173" s="5">
        <v>4112</v>
      </c>
      <c r="B4173" s="138">
        <f>'Short-Term Long-Term Debt 24'!H49</f>
        <v>8014338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669338</v>
      </c>
      <c r="D4210" s="2" t="str">
        <f t="shared" si="64"/>
        <v>Error?</v>
      </c>
    </row>
    <row r="4211" spans="1:4" x14ac:dyDescent="0.2">
      <c r="A4211" s="5">
        <v>4150</v>
      </c>
      <c r="B4211" s="138">
        <f>'Expenditures 15-22'!K206</f>
        <v>669338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3691</v>
      </c>
      <c r="C4265" s="2" t="s">
        <v>594</v>
      </c>
      <c r="D4265" s="2" t="str">
        <f t="shared" si="65"/>
        <v>Error?</v>
      </c>
      <c r="E4265" s="128"/>
    </row>
    <row r="4266" spans="1:5" x14ac:dyDescent="0.2">
      <c r="A4266" s="12">
        <v>4205</v>
      </c>
      <c r="B4266" s="138">
        <f>('FP Info 3'!F10)*100000</f>
        <v>609</v>
      </c>
      <c r="C4266" s="2" t="s">
        <v>594</v>
      </c>
      <c r="D4266" s="2" t="str">
        <f t="shared" si="65"/>
        <v>Error?</v>
      </c>
      <c r="E4266" s="128"/>
    </row>
    <row r="4267" spans="1:5" x14ac:dyDescent="0.2">
      <c r="A4267" s="12">
        <v>4206</v>
      </c>
      <c r="B4267" s="138">
        <f>('FP Info 3'!H10)*100000</f>
        <v>218</v>
      </c>
      <c r="C4267" s="2" t="s">
        <v>594</v>
      </c>
      <c r="D4267" s="2" t="str">
        <f t="shared" si="65"/>
        <v>Error?</v>
      </c>
      <c r="E4267" s="128"/>
    </row>
    <row r="4268" spans="1:5" x14ac:dyDescent="0.2">
      <c r="A4268" s="12">
        <v>4207</v>
      </c>
      <c r="B4268" s="138">
        <f>('FP Info 3'!J10)*100000</f>
        <v>4518</v>
      </c>
      <c r="C4268" s="2" t="s">
        <v>594</v>
      </c>
      <c r="D4268" s="2" t="str">
        <f t="shared" si="65"/>
        <v>Error?</v>
      </c>
    </row>
    <row r="4269" spans="1:5" x14ac:dyDescent="0.2">
      <c r="A4269" s="12">
        <v>4208</v>
      </c>
      <c r="B4269" s="138">
        <f>'FP Info 3'!J16</f>
        <v>31072461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82861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179328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19102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51606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110713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6397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754853162</v>
      </c>
      <c r="D4995" s="2" t="str">
        <f t="shared" si="77"/>
        <v>Error?</v>
      </c>
    </row>
    <row r="4996" spans="1:4" x14ac:dyDescent="0.2">
      <c r="A4996" s="12">
        <v>4935</v>
      </c>
      <c r="B4996" s="138">
        <f>'FP Info 3'!H31</f>
        <v>104169736.35600001</v>
      </c>
      <c r="D4996" s="2" t="str">
        <f t="shared" si="77"/>
        <v>Error?</v>
      </c>
    </row>
    <row r="4997" spans="1:4" x14ac:dyDescent="0.2">
      <c r="A4997" s="12">
        <v>4936</v>
      </c>
      <c r="B4997" s="138">
        <f>'FP Info 3'!H37</f>
        <v>63313468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750000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27422552</v>
      </c>
      <c r="D5061" s="2" t="str">
        <f t="shared" si="78"/>
        <v>Error?</v>
      </c>
    </row>
    <row r="5062" spans="1:4" x14ac:dyDescent="0.2">
      <c r="A5062" s="10">
        <v>5001</v>
      </c>
      <c r="D5062" s="2" t="str">
        <f t="shared" si="78"/>
        <v>OK</v>
      </c>
    </row>
    <row r="5063" spans="1:4" x14ac:dyDescent="0.2">
      <c r="A5063" s="5">
        <v>5002</v>
      </c>
      <c r="B5063" s="138">
        <f>'Revenues 9-14'!C7</f>
        <v>4198494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31621046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173937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173937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52085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52085</v>
      </c>
      <c r="C5087" s="2" t="s">
        <v>594</v>
      </c>
      <c r="D5087" s="2" t="str">
        <f t="shared" si="78"/>
        <v>Error?</v>
      </c>
    </row>
    <row r="5088" spans="1:4" x14ac:dyDescent="0.2">
      <c r="A5088" s="5">
        <v>5027</v>
      </c>
      <c r="B5088" s="138">
        <f>'Revenues 9-14'!C65</f>
        <v>105418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105418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490506</v>
      </c>
      <c r="C5096" s="2" t="s">
        <v>594</v>
      </c>
      <c r="D5096" s="2" t="str">
        <f t="shared" si="78"/>
        <v>Error?</v>
      </c>
    </row>
    <row r="5097" spans="1:4" x14ac:dyDescent="0.2">
      <c r="A5097" s="5">
        <v>5036</v>
      </c>
      <c r="B5097" s="138">
        <f>'Revenues 9-14'!C77</f>
        <v>36787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269657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306444</v>
      </c>
      <c r="C5102" s="2" t="s">
        <v>594</v>
      </c>
      <c r="D5102" s="2" t="str">
        <f t="shared" si="78"/>
        <v>Error?</v>
      </c>
    </row>
    <row r="5103" spans="1:4" x14ac:dyDescent="0.2">
      <c r="A5103" s="5">
        <v>5042</v>
      </c>
      <c r="B5103" s="138">
        <f>'Revenues 9-14'!C84</f>
        <v>483343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483343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840559</v>
      </c>
      <c r="D5119" s="2" t="str">
        <f t="shared" ref="D5119:D5182" si="79">IF(ISBLANK(B5119),"OK",IF(A5119-B5119=0,"OK","Error?"))</f>
        <v>Error?</v>
      </c>
    </row>
    <row r="5120" spans="1:4" x14ac:dyDescent="0.2">
      <c r="A5120" s="5">
        <v>5059</v>
      </c>
      <c r="B5120" s="138">
        <f>'Revenues 9-14'!C108</f>
        <v>840559</v>
      </c>
      <c r="C5120" s="2" t="s">
        <v>594</v>
      </c>
      <c r="D5120" s="2" t="str">
        <f t="shared" si="79"/>
        <v>Error?</v>
      </c>
    </row>
    <row r="5121" spans="1:4" x14ac:dyDescent="0.2">
      <c r="A5121" s="5">
        <v>5060</v>
      </c>
      <c r="B5121" s="138">
        <f>'Revenues 9-14'!C109</f>
        <v>34073338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10471051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10471051</v>
      </c>
      <c r="C5132" s="2" t="s">
        <v>594</v>
      </c>
      <c r="D5132" s="2" t="str">
        <f t="shared" si="79"/>
        <v>Error?</v>
      </c>
    </row>
    <row r="5133" spans="1:4" x14ac:dyDescent="0.2">
      <c r="A5133" s="5">
        <v>5072</v>
      </c>
      <c r="B5133" s="138">
        <f>'Revenues 9-14'!C124</f>
        <v>899204</v>
      </c>
      <c r="D5133" s="2" t="str">
        <f t="shared" si="79"/>
        <v>Error?</v>
      </c>
    </row>
    <row r="5134" spans="1:4" x14ac:dyDescent="0.2">
      <c r="A5134" s="5">
        <v>5073</v>
      </c>
      <c r="B5134" s="138">
        <f>'Revenues 9-14'!C125</f>
        <v>306192</v>
      </c>
      <c r="D5134" s="2" t="str">
        <f t="shared" si="79"/>
        <v>Error?</v>
      </c>
    </row>
    <row r="5135" spans="1:4" x14ac:dyDescent="0.2">
      <c r="A5135" s="5">
        <v>5074</v>
      </c>
      <c r="B5135" s="138">
        <f>'Revenues 9-14'!C126</f>
        <v>412306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11754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1629456</v>
      </c>
      <c r="C5147" s="2" t="s">
        <v>594</v>
      </c>
      <c r="D5147" s="2" t="str">
        <f t="shared" si="79"/>
        <v>Error?</v>
      </c>
    </row>
    <row r="5148" spans="1:4" x14ac:dyDescent="0.2">
      <c r="A5148" s="5">
        <v>5087</v>
      </c>
      <c r="B5148" s="138">
        <f>'Revenues 9-14'!C133</f>
        <v>49525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49525</v>
      </c>
      <c r="C5161" s="2" t="s">
        <v>594</v>
      </c>
      <c r="D5161" s="2" t="str">
        <f t="shared" si="79"/>
        <v>Error?</v>
      </c>
    </row>
    <row r="5162" spans="1:4" x14ac:dyDescent="0.2">
      <c r="A5162" s="10">
        <v>5101</v>
      </c>
      <c r="D5162" s="2" t="str">
        <f t="shared" si="79"/>
        <v>OK</v>
      </c>
    </row>
    <row r="5163" spans="1:4" x14ac:dyDescent="0.2">
      <c r="A5163" s="5">
        <v>5102</v>
      </c>
      <c r="B5163" s="138">
        <f>'Revenues 9-14'!C142</f>
        <v>234867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234867</v>
      </c>
      <c r="C5165" s="2" t="s">
        <v>594</v>
      </c>
      <c r="D5165" s="2" t="str">
        <f t="shared" si="79"/>
        <v>Error?</v>
      </c>
    </row>
    <row r="5166" spans="1:4" x14ac:dyDescent="0.2">
      <c r="A5166" s="10">
        <v>5105</v>
      </c>
      <c r="D5166" s="2" t="str">
        <f t="shared" si="79"/>
        <v>OK</v>
      </c>
    </row>
    <row r="5167" spans="1:4" x14ac:dyDescent="0.2">
      <c r="A5167" s="5">
        <v>5106</v>
      </c>
      <c r="B5167" s="138">
        <f>'Revenues 9-14'!C145</f>
        <v>10162</v>
      </c>
      <c r="D5167" s="2" t="str">
        <f t="shared" si="79"/>
        <v>Error?</v>
      </c>
    </row>
    <row r="5168" spans="1:4" x14ac:dyDescent="0.2">
      <c r="A5168" s="5">
        <v>5107</v>
      </c>
      <c r="B5168" s="138">
        <f>'Revenues 9-14'!C147</f>
        <v>31870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384877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2347154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12818205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575657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115855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691512</v>
      </c>
      <c r="C5246" s="2" t="s">
        <v>594</v>
      </c>
      <c r="D5246" s="2" t="str">
        <f t="shared" si="80"/>
        <v>Error?</v>
      </c>
    </row>
    <row r="5247" spans="1:4" x14ac:dyDescent="0.2">
      <c r="A5247" s="5">
        <v>5186</v>
      </c>
      <c r="B5247" s="138">
        <f>'Revenues 9-14'!C203</f>
        <v>554954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19102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554954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513037</v>
      </c>
      <c r="D5278" s="2" t="str">
        <f t="shared" si="81"/>
        <v>Error?</v>
      </c>
    </row>
    <row r="5279" spans="1:4" x14ac:dyDescent="0.2">
      <c r="A5279" s="5">
        <v>5218</v>
      </c>
      <c r="B5279" s="138">
        <f>'Revenues 9-14'!C221</f>
        <v>993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514030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23844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23844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6283</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2234233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2234233</v>
      </c>
      <c r="C5326" s="2" t="s">
        <v>594</v>
      </c>
      <c r="D5326" s="2" t="str">
        <f t="shared" si="82"/>
        <v>Error?</v>
      </c>
    </row>
    <row r="5327" spans="1:4" x14ac:dyDescent="0.2">
      <c r="A5327" s="5">
        <v>5266</v>
      </c>
      <c r="B5327" s="138">
        <f>'Revenues 9-14'!C275</f>
        <v>49125776</v>
      </c>
      <c r="C5327" s="2" t="s">
        <v>594</v>
      </c>
      <c r="D5327" s="2" t="str">
        <f t="shared" si="82"/>
        <v>Error?</v>
      </c>
    </row>
    <row r="5328" spans="1:4" x14ac:dyDescent="0.2">
      <c r="A5328" s="5">
        <v>5267</v>
      </c>
      <c r="B5328" s="138">
        <f>'Revenues 9-14'!D5</f>
        <v>4505819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4505819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3815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3815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15830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162</v>
      </c>
      <c r="D5354" s="2" t="str">
        <f t="shared" si="82"/>
        <v>Error?</v>
      </c>
    </row>
    <row r="5355" spans="1:4" x14ac:dyDescent="0.2">
      <c r="A5355" s="5">
        <v>5294</v>
      </c>
      <c r="B5355" s="138">
        <f>'Revenues 9-14'!D108</f>
        <v>15992</v>
      </c>
      <c r="C5355" s="2" t="s">
        <v>594</v>
      </c>
      <c r="D5355" s="2" t="str">
        <f t="shared" si="82"/>
        <v>Error?</v>
      </c>
    </row>
    <row r="5356" spans="1:4" x14ac:dyDescent="0.2">
      <c r="A5356" s="5">
        <v>5295</v>
      </c>
      <c r="B5356" s="138">
        <f>'Revenues 9-14'!D109</f>
        <v>4525626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4525626</v>
      </c>
      <c r="C5508" s="2" t="s">
        <v>594</v>
      </c>
      <c r="D5508" s="2" t="str">
        <f t="shared" si="85"/>
        <v>Error?</v>
      </c>
    </row>
    <row r="5509" spans="1:4" x14ac:dyDescent="0.2">
      <c r="A5509" s="5">
        <v>5448</v>
      </c>
      <c r="B5509" s="138">
        <f>'Revenues 9-14'!E5</f>
        <v>11370312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11370312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33676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33676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11403988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11403988</v>
      </c>
      <c r="C5552" s="2" t="s">
        <v>594</v>
      </c>
      <c r="D5552" s="2" t="str">
        <f t="shared" si="85"/>
        <v>Error?</v>
      </c>
    </row>
    <row r="5553" spans="1:4" x14ac:dyDescent="0.2">
      <c r="A5553" s="5">
        <v>5492</v>
      </c>
      <c r="B5553" s="138">
        <f>'Revenues 9-14'!F5</f>
        <v>1693710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1693710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14782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15892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30674</v>
      </c>
      <c r="C5579" s="2" t="s">
        <v>594</v>
      </c>
      <c r="D5579" s="2" t="str">
        <f t="shared" si="86"/>
        <v>Error?</v>
      </c>
    </row>
    <row r="5580" spans="1:4" x14ac:dyDescent="0.2">
      <c r="A5580" s="5">
        <v>5519</v>
      </c>
      <c r="B5580" s="138">
        <f>'Revenues 9-14'!F65</f>
        <v>4110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1201</v>
      </c>
      <c r="D5586" s="2" t="str">
        <f t="shared" si="86"/>
        <v>Error?</v>
      </c>
    </row>
    <row r="5587" spans="1:4" x14ac:dyDescent="0.2">
      <c r="A5587" s="5">
        <v>5526</v>
      </c>
      <c r="B5587" s="138">
        <f>'Revenues 9-14'!F108</f>
        <v>1201</v>
      </c>
      <c r="C5587" s="2" t="s">
        <v>594</v>
      </c>
      <c r="D5587" s="2" t="str">
        <f t="shared" si="86"/>
        <v>Error?</v>
      </c>
    </row>
    <row r="5588" spans="1:4" x14ac:dyDescent="0.2">
      <c r="A5588" s="5">
        <v>5527</v>
      </c>
      <c r="B5588" s="138">
        <f>'Revenues 9-14'!F109</f>
        <v>1729695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1686371</v>
      </c>
      <c r="D5615" s="2" t="str">
        <f t="shared" si="86"/>
        <v>Error?</v>
      </c>
    </row>
    <row r="5616" spans="1:4" x14ac:dyDescent="0.2">
      <c r="A5616" s="10">
        <v>5555</v>
      </c>
      <c r="D5616" s="2" t="str">
        <f t="shared" si="86"/>
        <v>OK</v>
      </c>
    </row>
    <row r="5617" spans="1:4" x14ac:dyDescent="0.2">
      <c r="A5617" s="5">
        <v>5556</v>
      </c>
      <c r="B5617" s="138">
        <f>'Revenues 9-14'!F152</f>
        <v>2500051</v>
      </c>
      <c r="D5617" s="2" t="str">
        <f t="shared" si="86"/>
        <v>Error?</v>
      </c>
    </row>
    <row r="5618" spans="1:4" x14ac:dyDescent="0.2">
      <c r="A5618" s="5">
        <v>5557</v>
      </c>
      <c r="B5618" s="138">
        <f>'Revenues 9-14'!F154</f>
        <v>4186422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4186422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4186422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5916117</v>
      </c>
      <c r="C5720" s="2" t="s">
        <v>594</v>
      </c>
      <c r="D5720" s="2" t="str">
        <f t="shared" si="88"/>
        <v>Error?</v>
      </c>
    </row>
    <row r="5721" spans="1:4" x14ac:dyDescent="0.2">
      <c r="A5721" s="5">
        <v>5660</v>
      </c>
      <c r="B5721" s="138">
        <f>'Revenues 9-14'!G5</f>
        <v>1085918</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1085359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2171277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580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2191857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8555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8555</v>
      </c>
      <c r="C5881" s="2" t="s">
        <v>594</v>
      </c>
      <c r="D5881" s="2" t="str">
        <f t="shared" si="90"/>
        <v>Error?</v>
      </c>
    </row>
    <row r="5882" spans="1:4" x14ac:dyDescent="0.2">
      <c r="A5882" s="5">
        <v>5821</v>
      </c>
      <c r="B5882" s="138">
        <f>'Revenues 9-14'!H96</f>
        <v>48276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48276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56831</v>
      </c>
      <c r="C5915" s="2" t="s">
        <v>594</v>
      </c>
      <c r="D5915" s="2" t="str">
        <f t="shared" si="91"/>
        <v>Error?</v>
      </c>
    </row>
    <row r="5916" spans="1:4" x14ac:dyDescent="0.2">
      <c r="A5916" s="5">
        <v>5855</v>
      </c>
      <c r="B5916" s="138">
        <f>'Revenues 9-14'!I5</f>
        <v>7392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7392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213218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213218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220610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2191857</v>
      </c>
      <c r="C6024" s="2" t="s">
        <v>594</v>
      </c>
      <c r="D6024" s="2" t="str">
        <f t="shared" si="93"/>
        <v>Error?</v>
      </c>
    </row>
    <row r="6025" spans="1:5" x14ac:dyDescent="0.2">
      <c r="A6025" s="5">
        <v>5964</v>
      </c>
      <c r="B6025" s="138">
        <f>'Revenues 9-14'!H109</f>
        <v>56831</v>
      </c>
      <c r="C6025" s="2" t="s">
        <v>594</v>
      </c>
      <c r="D6025" s="2" t="str">
        <f t="shared" si="93"/>
        <v>Error?</v>
      </c>
    </row>
    <row r="6026" spans="1:5" x14ac:dyDescent="0.2">
      <c r="A6026" s="5">
        <v>5965</v>
      </c>
      <c r="B6026" s="138">
        <f>'Revenues 9-14'!I109</f>
        <v>220610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490506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106783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4328.58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213554</v>
      </c>
      <c r="D6082" s="2" t="str">
        <f t="shared" si="94"/>
        <v>Error?</v>
      </c>
      <c r="E6082" s="2" t="s">
        <v>199</v>
      </c>
    </row>
    <row r="6083" spans="1:5" x14ac:dyDescent="0.2">
      <c r="A6083">
        <v>6022</v>
      </c>
      <c r="B6083" s="138">
        <f>'Assets-Liab 5-6'!E7</f>
        <v>579238</v>
      </c>
      <c r="D6083" s="2" t="str">
        <f t="shared" si="94"/>
        <v>Error?</v>
      </c>
      <c r="E6083" s="2" t="s">
        <v>199</v>
      </c>
    </row>
    <row r="6084" spans="1:5" x14ac:dyDescent="0.2">
      <c r="A6084">
        <v>6023</v>
      </c>
      <c r="B6084" s="138">
        <f>'Assets-Liab 5-6'!F7</f>
        <v>303275</v>
      </c>
      <c r="D6084" s="2" t="str">
        <f t="shared" si="94"/>
        <v>Error?</v>
      </c>
      <c r="E6084" s="2" t="s">
        <v>199</v>
      </c>
    </row>
    <row r="6085" spans="1:5" x14ac:dyDescent="0.2">
      <c r="A6085">
        <v>6024</v>
      </c>
      <c r="B6085" s="138">
        <f>'Assets-Liab 5-6'!G7</f>
        <v>31939</v>
      </c>
      <c r="D6085" s="2" t="str">
        <f t="shared" si="94"/>
        <v>Error?</v>
      </c>
      <c r="E6085" s="2" t="s">
        <v>199</v>
      </c>
    </row>
    <row r="6086" spans="1:5" x14ac:dyDescent="0.2">
      <c r="A6086">
        <v>6025</v>
      </c>
      <c r="B6086" s="138">
        <f>'Assets-Liab 5-6'!H7</f>
        <v>43537</v>
      </c>
      <c r="D6086" s="2" t="str">
        <f t="shared" si="94"/>
        <v>Error?</v>
      </c>
      <c r="E6086" s="2" t="s">
        <v>199</v>
      </c>
    </row>
    <row r="6087" spans="1:5" x14ac:dyDescent="0.2">
      <c r="A6087">
        <v>6026</v>
      </c>
      <c r="B6087" s="138">
        <f>'Assets-Liab 5-6'!I7</f>
        <v>3513</v>
      </c>
      <c r="D6087" s="2" t="str">
        <f t="shared" si="94"/>
        <v>Error?</v>
      </c>
      <c r="E6087" s="2" t="s">
        <v>199</v>
      </c>
    </row>
    <row r="6088" spans="1:5" x14ac:dyDescent="0.2">
      <c r="A6088">
        <v>6027</v>
      </c>
      <c r="B6088" s="138">
        <f>'Assets-Liab 5-6'!J7</f>
        <v>34625</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34625</v>
      </c>
      <c r="D6124" s="2" t="str">
        <f t="shared" si="94"/>
        <v>Error?</v>
      </c>
      <c r="E6124" s="2" t="s">
        <v>199</v>
      </c>
    </row>
    <row r="6125" spans="1:5" x14ac:dyDescent="0.2">
      <c r="A6125">
        <v>6064</v>
      </c>
      <c r="B6125" s="138">
        <f>'Assets-Liab 5-6'!C25</f>
        <v>1209681</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34625</v>
      </c>
      <c r="D6215" s="2" t="str">
        <f t="shared" si="96"/>
        <v>Error?</v>
      </c>
      <c r="E6215" s="2" t="s">
        <v>199</v>
      </c>
    </row>
    <row r="6216" spans="1:5" x14ac:dyDescent="0.2">
      <c r="A6216">
        <v>6155</v>
      </c>
      <c r="B6216" s="138">
        <f>'Assets-Liab 5-6'!J41</f>
        <v>34625</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860291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860291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860291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707970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707970</v>
      </c>
      <c r="D6229" s="2" t="str">
        <f t="shared" si="96"/>
        <v>Error?</v>
      </c>
      <c r="E6229" s="2" t="s">
        <v>199</v>
      </c>
    </row>
    <row r="6230" spans="1:5" x14ac:dyDescent="0.2">
      <c r="A6230">
        <v>6169</v>
      </c>
      <c r="B6230" s="138">
        <f>'Acct Summary 7-8'!J20</f>
        <v>152321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152321</v>
      </c>
      <c r="D6263" s="2" t="str">
        <f t="shared" si="96"/>
        <v>Error?</v>
      </c>
      <c r="E6263" s="2" t="s">
        <v>199</v>
      </c>
    </row>
    <row r="6264" spans="1:5" x14ac:dyDescent="0.2">
      <c r="A6264">
        <v>6203</v>
      </c>
      <c r="B6264" s="138">
        <f>'Acct Summary 7-8'!J79</f>
        <v>-117696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34625</v>
      </c>
      <c r="D6266" s="2" t="str">
        <f t="shared" si="96"/>
        <v>Error?</v>
      </c>
      <c r="E6266" s="2" t="s">
        <v>199</v>
      </c>
    </row>
    <row r="6267" spans="1:5" x14ac:dyDescent="0.2">
      <c r="A6267">
        <v>6206</v>
      </c>
      <c r="B6267" s="138">
        <f>'Acct Summary 7-8'!C82</f>
        <v>2132815</v>
      </c>
      <c r="D6267" s="2" t="str">
        <f t="shared" si="96"/>
        <v>Error?</v>
      </c>
      <c r="E6267" s="2" t="s">
        <v>199</v>
      </c>
    </row>
    <row r="6268" spans="1:5" x14ac:dyDescent="0.2">
      <c r="A6268">
        <v>6207</v>
      </c>
      <c r="B6268" s="138">
        <f>'Acct Summary 7-8'!D82</f>
        <v>92427</v>
      </c>
      <c r="D6268" s="2" t="str">
        <f t="shared" si="96"/>
        <v>Error?</v>
      </c>
      <c r="E6268" s="2" t="s">
        <v>199</v>
      </c>
    </row>
    <row r="6269" spans="1:5" x14ac:dyDescent="0.2">
      <c r="A6269">
        <v>6208</v>
      </c>
      <c r="B6269" s="138">
        <f>'Acct Summary 7-8'!E82</f>
        <v>642956</v>
      </c>
      <c r="D6269" s="2" t="str">
        <f t="shared" si="96"/>
        <v>Error?</v>
      </c>
      <c r="E6269" s="2" t="s">
        <v>199</v>
      </c>
    </row>
    <row r="6270" spans="1:5" x14ac:dyDescent="0.2">
      <c r="A6270">
        <v>6209</v>
      </c>
      <c r="B6270" s="138">
        <f>'Acct Summary 7-8'!F82</f>
        <v>1113206</v>
      </c>
      <c r="D6270" s="2" t="str">
        <f t="shared" si="96"/>
        <v>Error?</v>
      </c>
      <c r="E6270" s="2" t="s">
        <v>199</v>
      </c>
    </row>
    <row r="6271" spans="1:5" x14ac:dyDescent="0.2">
      <c r="A6271">
        <v>6210</v>
      </c>
      <c r="B6271" s="138">
        <f>'Acct Summary 7-8'!G82</f>
        <v>-11229</v>
      </c>
      <c r="D6271" s="2" t="str">
        <f t="shared" ref="D6271:D6334" si="97">IF(ISBLANK(B6271),"OK",IF(A6271-B6271=0,"OK","Error?"))</f>
        <v>Error?</v>
      </c>
      <c r="E6271" s="2" t="s">
        <v>199</v>
      </c>
    </row>
    <row r="6272" spans="1:5" x14ac:dyDescent="0.2">
      <c r="A6272">
        <v>6211</v>
      </c>
      <c r="B6272" s="138">
        <f>'Acct Summary 7-8'!H82</f>
        <v>-597960</v>
      </c>
      <c r="D6272" s="2" t="str">
        <f t="shared" si="97"/>
        <v>Error?</v>
      </c>
      <c r="E6272" s="2" t="s">
        <v>199</v>
      </c>
    </row>
    <row r="6273" spans="1:5" x14ac:dyDescent="0.2">
      <c r="A6273">
        <v>6212</v>
      </c>
      <c r="B6273" s="138">
        <f>'Acct Summary 7-8'!I82</f>
        <v>7392</v>
      </c>
      <c r="D6273" s="2" t="str">
        <f t="shared" si="97"/>
        <v>Error?</v>
      </c>
      <c r="E6273" s="2" t="s">
        <v>199</v>
      </c>
    </row>
    <row r="6274" spans="1:5" x14ac:dyDescent="0.2">
      <c r="A6274">
        <v>6213</v>
      </c>
      <c r="B6274" s="138">
        <f>'Acct Summary 7-8'!J82</f>
        <v>152321</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0.17556813111804701</v>
      </c>
      <c r="D6276" s="2" t="str">
        <f t="shared" si="97"/>
        <v>Error?</v>
      </c>
      <c r="E6276" s="2" t="s">
        <v>199</v>
      </c>
    </row>
    <row r="6277" spans="1:5" x14ac:dyDescent="0.2">
      <c r="A6277">
        <v>6216</v>
      </c>
      <c r="B6277" s="138">
        <f>'Acct Summary 7-8'!D83</f>
        <v>0.15689047016047719</v>
      </c>
      <c r="D6277" s="2" t="str">
        <f t="shared" si="97"/>
        <v>Error?</v>
      </c>
      <c r="E6277" s="2" t="s">
        <v>199</v>
      </c>
    </row>
    <row r="6278" spans="1:5" x14ac:dyDescent="0.2">
      <c r="A6278">
        <v>6217</v>
      </c>
      <c r="B6278" s="138">
        <f>'Acct Summary 7-8'!E83</f>
        <v>0.10177936112063105</v>
      </c>
      <c r="D6278" s="2" t="str">
        <f t="shared" si="97"/>
        <v>Error?</v>
      </c>
      <c r="E6278" s="2" t="s">
        <v>199</v>
      </c>
    </row>
    <row r="6279" spans="1:5" x14ac:dyDescent="0.2">
      <c r="A6279">
        <v>6218</v>
      </c>
      <c r="B6279" s="138">
        <f>'Acct Summary 7-8'!F83</f>
        <v>0.63438385259032026</v>
      </c>
      <c r="D6279" s="2" t="str">
        <f t="shared" si="97"/>
        <v>Error?</v>
      </c>
      <c r="E6279" s="2" t="s">
        <v>199</v>
      </c>
    </row>
    <row r="6280" spans="1:5" x14ac:dyDescent="0.2">
      <c r="A6280">
        <v>6219</v>
      </c>
      <c r="B6280" s="138">
        <f>'Acct Summary 7-8'!G83</f>
        <v>-0.35157644259369425</v>
      </c>
      <c r="D6280" s="2" t="str">
        <f t="shared" si="97"/>
        <v>Error?</v>
      </c>
      <c r="E6280" s="2" t="s">
        <v>199</v>
      </c>
    </row>
    <row r="6281" spans="1:5" x14ac:dyDescent="0.2">
      <c r="A6281">
        <v>6220</v>
      </c>
      <c r="B6281" s="138">
        <f>'Acct Summary 7-8'!H83</f>
        <v>-0.51290188937218495</v>
      </c>
      <c r="D6281" s="2" t="str">
        <f t="shared" si="97"/>
        <v>Error?</v>
      </c>
      <c r="E6281" s="2" t="s">
        <v>199</v>
      </c>
    </row>
    <row r="6282" spans="1:5" x14ac:dyDescent="0.2">
      <c r="A6282">
        <v>6221</v>
      </c>
      <c r="B6282" s="138">
        <f>'Acct Summary 7-8'!I83</f>
        <v>4.4582534502611625E-4</v>
      </c>
      <c r="D6282" s="2" t="str">
        <f t="shared" si="97"/>
        <v>Error?</v>
      </c>
      <c r="E6282" s="2" t="s">
        <v>199</v>
      </c>
    </row>
    <row r="6283" spans="1:5" x14ac:dyDescent="0.2">
      <c r="A6283">
        <v>6222</v>
      </c>
      <c r="B6283" s="138">
        <f>'Acct Summary 7-8'!J83</f>
        <v>4.3991624548736459</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750000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820314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820314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39977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39977</v>
      </c>
      <c r="D6351" s="2" t="str">
        <f t="shared" si="98"/>
        <v>Error?</v>
      </c>
      <c r="E6351" s="2" t="s">
        <v>199</v>
      </c>
    </row>
    <row r="6352" spans="1:5" x14ac:dyDescent="0.2">
      <c r="A6352">
        <v>6291</v>
      </c>
      <c r="B6352" s="138">
        <f>'Revenues 9-14'!J109</f>
        <v>860291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8834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84150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23873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116857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37439</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37439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37439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410908</v>
      </c>
      <c r="D6981" s="2" t="str">
        <f t="shared" si="108"/>
        <v>Error?</v>
      </c>
    </row>
    <row r="6982" spans="1:4" x14ac:dyDescent="0.2">
      <c r="A6982">
        <v>6921</v>
      </c>
      <c r="B6982" s="138">
        <f>'Expenditures 15-22'!K85</f>
        <v>410908</v>
      </c>
      <c r="D6982" s="2" t="str">
        <f t="shared" si="108"/>
        <v>Error?</v>
      </c>
    </row>
    <row r="6983" spans="1:4" x14ac:dyDescent="0.2">
      <c r="A6983">
        <v>6922</v>
      </c>
      <c r="B6983" s="138">
        <f>'Expenditures 15-22'!H86</f>
        <v>4365947</v>
      </c>
      <c r="D6983" s="2" t="str">
        <f t="shared" si="108"/>
        <v>Error?</v>
      </c>
    </row>
    <row r="6984" spans="1:4" x14ac:dyDescent="0.2">
      <c r="A6984">
        <v>6923</v>
      </c>
      <c r="B6984" s="138">
        <f>'Expenditures 15-22'!K86</f>
        <v>4365947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4776855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154296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707970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860291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49025</v>
      </c>
      <c r="D7067" s="2" t="str">
        <f t="shared" si="109"/>
        <v>Error?</v>
      </c>
    </row>
    <row r="7068" spans="1:4" x14ac:dyDescent="0.2">
      <c r="A7068">
        <v>7007</v>
      </c>
      <c r="B7068" s="138">
        <f>'Expenditures 15-22'!K205</f>
        <v>49025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457661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457661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241309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241309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707970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707970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707970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707970</v>
      </c>
      <c r="D7224" s="2" t="str">
        <f t="shared" si="111"/>
        <v>Error?</v>
      </c>
    </row>
    <row r="7225" spans="1:4" x14ac:dyDescent="0.2">
      <c r="A7225">
        <v>7164</v>
      </c>
      <c r="B7225" s="138">
        <f>'Expenditures 15-22'!K343</f>
        <v>152321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154296</v>
      </c>
      <c r="D7624" s="2" t="str">
        <f t="shared" si="124"/>
        <v>Error?</v>
      </c>
      <c r="E7624" s="2" t="s">
        <v>19</v>
      </c>
    </row>
    <row r="7625" spans="1:5" x14ac:dyDescent="0.2">
      <c r="A7625">
        <f t="shared" si="123"/>
        <v>7564</v>
      </c>
      <c r="B7625" s="138">
        <f>'Cap Outlay Deprec 26'!I17</f>
        <v>15429.6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3559198.6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750000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4198494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95572</v>
      </c>
      <c r="D7779" s="2" t="str">
        <f t="shared" si="127"/>
        <v>Error?</v>
      </c>
      <c r="E7779" s="4" t="s">
        <v>1963</v>
      </c>
    </row>
    <row r="7780" spans="1:5" x14ac:dyDescent="0.2">
      <c r="A7780">
        <v>7719</v>
      </c>
      <c r="B7780" s="138">
        <f>'Expenditures 15-22'!K158</f>
        <v>95572</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1463738</v>
      </c>
      <c r="D7797" s="2" t="str">
        <f t="shared" si="127"/>
        <v>Error?</v>
      </c>
      <c r="E7797" s="4" t="s">
        <v>2016</v>
      </c>
    </row>
    <row r="7798" spans="1:5" x14ac:dyDescent="0.2">
      <c r="A7798">
        <v>7737</v>
      </c>
      <c r="B7798" s="138">
        <f>'Contracts Paid in CY 29'!F141</f>
        <v>50000</v>
      </c>
      <c r="D7798" s="2" t="str">
        <f t="shared" si="127"/>
        <v>Error?</v>
      </c>
      <c r="E7798" s="4" t="s">
        <v>2016</v>
      </c>
    </row>
    <row r="7799" spans="1:5" x14ac:dyDescent="0.2">
      <c r="A7799">
        <v>7738</v>
      </c>
      <c r="B7799" s="138">
        <f>'Contracts Paid in CY 29'!G141</f>
        <v>1413738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D40" sqref="D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Wauconda CUSD 118</v>
      </c>
      <c r="B7" s="2422"/>
      <c r="C7" s="2422"/>
      <c r="D7" s="2423"/>
      <c r="E7" s="2424">
        <f>COVER!A13</f>
        <v>34049118026</v>
      </c>
      <c r="F7" s="2425"/>
      <c r="G7" s="2431" t="str">
        <f>COVER!T23</f>
        <v>060-003973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Evans, Marshall and Pease, P.C.</v>
      </c>
      <c r="H9" s="2437"/>
      <c r="I9" s="2437"/>
      <c r="J9" s="2437"/>
      <c r="K9" s="2437"/>
      <c r="L9" s="2438"/>
    </row>
    <row r="10" spans="1:29" ht="13.5" customHeight="1" x14ac:dyDescent="0.2">
      <c r="A10" s="2411">
        <f>COVER!A38</f>
        <v>0</v>
      </c>
      <c r="B10" s="2412"/>
      <c r="C10" s="2412"/>
      <c r="D10" s="2412"/>
      <c r="E10" s="2412"/>
      <c r="F10" s="2413"/>
      <c r="G10" s="2405" t="str">
        <f>COVER!T17</f>
        <v>1875 Hicks Road</v>
      </c>
      <c r="H10" s="2406"/>
      <c r="I10" s="2406"/>
      <c r="J10" s="2406"/>
      <c r="K10" s="2406"/>
      <c r="L10" s="2407"/>
    </row>
    <row r="11" spans="1:29" ht="13.5" customHeight="1" x14ac:dyDescent="0.2">
      <c r="A11" s="1185" t="s">
        <v>1599</v>
      </c>
      <c r="B11" s="1186"/>
      <c r="C11" s="1187"/>
      <c r="D11" s="1192"/>
      <c r="E11" s="1187"/>
      <c r="F11" s="1191"/>
      <c r="G11" s="2405" t="str">
        <f>COVER!T19</f>
        <v>Rolling Meadows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jeff@empcpa.com</v>
      </c>
      <c r="J13" s="2418"/>
      <c r="K13" s="2418"/>
      <c r="L13" s="2419"/>
    </row>
    <row r="14" spans="1:29" ht="13.5" customHeight="1" x14ac:dyDescent="0.2">
      <c r="A14" s="2405" t="str">
        <f>COVER!A19</f>
        <v>555 Main St.</v>
      </c>
      <c r="B14" s="2406"/>
      <c r="C14" s="2406"/>
      <c r="D14" s="2406"/>
      <c r="E14" s="2406"/>
      <c r="F14" s="2407"/>
      <c r="G14" s="1196" t="s">
        <v>1247</v>
      </c>
      <c r="H14" s="1194"/>
      <c r="I14" s="1194"/>
      <c r="J14" s="1194"/>
      <c r="K14" s="1194"/>
      <c r="L14" s="1195"/>
    </row>
    <row r="15" spans="1:29" ht="13.5" customHeight="1" x14ac:dyDescent="0.2">
      <c r="A15" s="2405" t="str">
        <f>COVER!A21</f>
        <v>Wauconda</v>
      </c>
      <c r="B15" s="2406"/>
      <c r="C15" s="2406"/>
      <c r="D15" s="2406"/>
      <c r="E15" s="2406"/>
      <c r="F15" s="2407"/>
      <c r="G15" s="2402" t="str">
        <f>COVER!T15</f>
        <v>Jeffery M. Rollefson, CPA</v>
      </c>
      <c r="H15" s="2403"/>
      <c r="I15" s="2403"/>
      <c r="J15" s="2403"/>
      <c r="K15" s="2403"/>
      <c r="L15" s="2404"/>
    </row>
    <row r="16" spans="1:29" ht="12.2" customHeight="1" x14ac:dyDescent="0.2">
      <c r="A16" s="2427">
        <f>COVER!A25</f>
        <v>60084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847-221-5700</v>
      </c>
      <c r="H18" s="2422"/>
      <c r="I18" s="2422"/>
      <c r="J18" s="2422"/>
      <c r="K18" s="2421" t="str">
        <f>COVER!X21</f>
        <v>847-221-5701</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Wauconda CUSD 118</v>
      </c>
      <c r="B1" s="2420"/>
      <c r="C1" s="2420"/>
      <c r="D1" s="2420"/>
    </row>
    <row r="2" spans="1:11" s="1215" customFormat="1" ht="12.75" x14ac:dyDescent="0.2">
      <c r="A2" s="2444">
        <f>'Single Audit Cover'!E7</f>
        <v>34049118026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Wauconda CUSD 118</v>
      </c>
      <c r="B1" s="2447"/>
      <c r="C1" s="2447"/>
      <c r="D1" s="2447"/>
      <c r="E1" s="2447"/>
    </row>
    <row r="2" spans="1:5" x14ac:dyDescent="0.2">
      <c r="A2" s="2448">
        <f>'Single Audit Cover'!E7</f>
        <v>34049118026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2234233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106783</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-179328</v>
      </c>
    </row>
    <row r="19" spans="1:4" ht="13.5" thickBot="1" x14ac:dyDescent="0.25">
      <c r="A19" s="1265" t="s">
        <v>1297</v>
      </c>
      <c r="D19" s="1266">
        <f>SUM(D10:D17)</f>
        <v>2161688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2161688</v>
      </c>
    </row>
    <row r="33" spans="1:4" x14ac:dyDescent="0.2">
      <c r="D33" s="1269"/>
    </row>
    <row r="34" spans="1:4" x14ac:dyDescent="0.2">
      <c r="A34" s="317" t="s">
        <v>1294</v>
      </c>
    </row>
    <row r="35" spans="1:4" x14ac:dyDescent="0.2">
      <c r="A35" s="317" t="s">
        <v>1293</v>
      </c>
      <c r="B35" s="1258" t="s">
        <v>1292</v>
      </c>
      <c r="D35" s="1270">
        <v>2161688</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2161688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22" sqref="E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Wauconda CUSD 118</v>
      </c>
      <c r="C1" s="2451"/>
      <c r="D1" s="2451"/>
      <c r="E1" s="2451"/>
      <c r="F1" s="2451"/>
      <c r="G1" s="2451"/>
      <c r="H1" s="2451"/>
      <c r="I1" s="2451"/>
      <c r="J1" s="2451"/>
      <c r="K1" s="2451"/>
      <c r="L1" s="2451"/>
      <c r="M1" s="2451"/>
    </row>
    <row r="2" spans="2:14" ht="15" x14ac:dyDescent="0.2">
      <c r="B2" s="2452">
        <f>'Single Audit Cover'!E7</f>
        <v>34049118026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2099</v>
      </c>
      <c r="C11" s="1338"/>
      <c r="D11" s="1339"/>
      <c r="E11" s="1340"/>
      <c r="F11" s="1340"/>
      <c r="G11" s="1340"/>
      <c r="H11" s="1340"/>
      <c r="I11" s="1340"/>
      <c r="J11" s="1340"/>
      <c r="K11" s="1340"/>
      <c r="L11" s="1340"/>
      <c r="M11" s="1340"/>
    </row>
    <row r="12" spans="2:14" ht="20.100000000000001" customHeight="1" x14ac:dyDescent="0.2">
      <c r="B12" s="1337" t="s">
        <v>2100</v>
      </c>
      <c r="C12" s="1341"/>
      <c r="D12" s="1342"/>
      <c r="E12" s="1343"/>
      <c r="F12" s="1343"/>
      <c r="G12" s="1343"/>
      <c r="H12" s="1343"/>
      <c r="I12" s="1343"/>
      <c r="J12" s="1343"/>
      <c r="K12" s="1343"/>
      <c r="L12" s="1340"/>
      <c r="M12" s="1343"/>
    </row>
    <row r="13" spans="2:14" ht="20.100000000000001" customHeight="1" x14ac:dyDescent="0.2">
      <c r="B13" s="1337" t="s">
        <v>2101</v>
      </c>
      <c r="C13" s="1341" t="s">
        <v>2106</v>
      </c>
      <c r="D13" s="1342" t="s">
        <v>2109</v>
      </c>
      <c r="E13" s="1343">
        <v>133213</v>
      </c>
      <c r="F13" s="1343">
        <v>118163</v>
      </c>
      <c r="G13" s="1343">
        <v>251376</v>
      </c>
      <c r="H13" s="1343"/>
      <c r="I13" s="1343"/>
      <c r="J13" s="1343"/>
      <c r="K13" s="1343"/>
      <c r="L13" s="1340">
        <f t="shared" ref="L13:L24" si="0">+G13+I13+K13</f>
        <v>251376</v>
      </c>
      <c r="M13" s="1343">
        <v>542149</v>
      </c>
    </row>
    <row r="14" spans="2:14" ht="20.100000000000001" customHeight="1" x14ac:dyDescent="0.2">
      <c r="B14" s="1337" t="s">
        <v>2101</v>
      </c>
      <c r="C14" s="1341" t="s">
        <v>2106</v>
      </c>
      <c r="D14" s="1342" t="s">
        <v>2126</v>
      </c>
      <c r="E14" s="1343"/>
      <c r="F14" s="1343">
        <v>436791</v>
      </c>
      <c r="G14" s="1343"/>
      <c r="H14" s="1343"/>
      <c r="I14" s="1343">
        <v>592103</v>
      </c>
      <c r="J14" s="1343"/>
      <c r="K14" s="1343"/>
      <c r="L14" s="1340">
        <f t="shared" si="0"/>
        <v>592103</v>
      </c>
      <c r="M14" s="1343">
        <v>758414</v>
      </c>
    </row>
    <row r="15" spans="2:14" ht="20.100000000000001" customHeight="1" x14ac:dyDescent="0.2">
      <c r="B15" s="1337" t="s">
        <v>2102</v>
      </c>
      <c r="C15" s="1341" t="s">
        <v>2107</v>
      </c>
      <c r="D15" s="1342" t="s">
        <v>2110</v>
      </c>
      <c r="E15" s="1343">
        <v>43454</v>
      </c>
      <c r="F15" s="1343">
        <v>3716</v>
      </c>
      <c r="G15" s="1343">
        <v>47170</v>
      </c>
      <c r="H15" s="1343"/>
      <c r="I15" s="1343"/>
      <c r="J15" s="1343"/>
      <c r="K15" s="1343"/>
      <c r="L15" s="1340">
        <f t="shared" si="0"/>
        <v>47170</v>
      </c>
      <c r="M15" s="1343">
        <v>84199</v>
      </c>
    </row>
    <row r="16" spans="2:14" ht="20.100000000000001" customHeight="1" x14ac:dyDescent="0.2">
      <c r="B16" s="1337" t="s">
        <v>2103</v>
      </c>
      <c r="C16" s="1341" t="s">
        <v>2107</v>
      </c>
      <c r="D16" s="1342" t="s">
        <v>2127</v>
      </c>
      <c r="E16" s="1343"/>
      <c r="F16" s="1343">
        <v>106997</v>
      </c>
      <c r="G16" s="1343"/>
      <c r="H16" s="1343"/>
      <c r="I16" s="1343">
        <v>136530</v>
      </c>
      <c r="J16" s="1343"/>
      <c r="K16" s="1343"/>
      <c r="L16" s="1340">
        <f t="shared" si="0"/>
        <v>136530</v>
      </c>
      <c r="M16" s="1343">
        <v>84199</v>
      </c>
    </row>
    <row r="17" spans="2:14" ht="20.100000000000001" customHeight="1" x14ac:dyDescent="0.2">
      <c r="B17" s="1337" t="s">
        <v>2104</v>
      </c>
      <c r="C17" s="1341" t="s">
        <v>2108</v>
      </c>
      <c r="D17" s="1342" t="s">
        <v>2111</v>
      </c>
      <c r="E17" s="1343">
        <v>40670</v>
      </c>
      <c r="F17" s="1343">
        <v>11597</v>
      </c>
      <c r="G17" s="1343">
        <v>41111</v>
      </c>
      <c r="H17" s="1343"/>
      <c r="I17" s="1343">
        <v>11156</v>
      </c>
      <c r="J17" s="1343"/>
      <c r="K17" s="1343"/>
      <c r="L17" s="1340">
        <f t="shared" si="0"/>
        <v>52267</v>
      </c>
      <c r="M17" s="1343">
        <v>68724</v>
      </c>
    </row>
    <row r="18" spans="2:14" ht="20.100000000000001" customHeight="1" x14ac:dyDescent="0.2">
      <c r="B18" s="1337" t="s">
        <v>2104</v>
      </c>
      <c r="C18" s="1341" t="s">
        <v>2108</v>
      </c>
      <c r="D18" s="1342" t="s">
        <v>2128</v>
      </c>
      <c r="E18" s="1343"/>
      <c r="F18" s="1343">
        <v>40009</v>
      </c>
      <c r="G18" s="1343"/>
      <c r="H18" s="1343"/>
      <c r="I18" s="1343">
        <v>43467</v>
      </c>
      <c r="J18" s="1343"/>
      <c r="K18" s="1343"/>
      <c r="L18" s="1340" t="s">
        <v>2157</v>
      </c>
      <c r="M18" s="1343">
        <v>78467</v>
      </c>
    </row>
    <row r="19" spans="2:14" ht="20.100000000000001" customHeight="1" x14ac:dyDescent="0.2">
      <c r="B19" s="1337" t="s">
        <v>2105</v>
      </c>
      <c r="C19" s="1341" t="s">
        <v>2108</v>
      </c>
      <c r="D19" s="1342" t="s">
        <v>2112</v>
      </c>
      <c r="E19" s="1343">
        <v>2438</v>
      </c>
      <c r="F19" s="1343">
        <v>3414</v>
      </c>
      <c r="G19" s="1343">
        <v>5396</v>
      </c>
      <c r="H19" s="1343"/>
      <c r="I19" s="1343">
        <v>456</v>
      </c>
      <c r="J19" s="1343"/>
      <c r="K19" s="1343"/>
      <c r="L19" s="1340">
        <f t="shared" si="0"/>
        <v>5852</v>
      </c>
      <c r="M19" s="1343">
        <v>6047</v>
      </c>
    </row>
    <row r="20" spans="2:14" ht="20.100000000000001" customHeight="1" x14ac:dyDescent="0.2">
      <c r="B20" s="1337" t="s">
        <v>2105</v>
      </c>
      <c r="C20" s="1341" t="s">
        <v>2108</v>
      </c>
      <c r="D20" s="1342" t="s">
        <v>2129</v>
      </c>
      <c r="E20" s="1343"/>
      <c r="F20" s="1343">
        <v>2869</v>
      </c>
      <c r="G20" s="1343"/>
      <c r="H20" s="1343"/>
      <c r="I20" s="1343">
        <v>3098</v>
      </c>
      <c r="J20" s="1343"/>
      <c r="K20" s="1343"/>
      <c r="L20" s="1340" t="s">
        <v>2157</v>
      </c>
      <c r="M20" s="1343">
        <v>5071</v>
      </c>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2113</v>
      </c>
      <c r="C22" s="1341"/>
      <c r="D22" s="1342"/>
      <c r="E22" s="1343"/>
      <c r="F22" s="1343"/>
      <c r="G22" s="1343"/>
      <c r="H22" s="1343"/>
      <c r="I22" s="1343"/>
      <c r="J22" s="1343"/>
      <c r="K22" s="1343"/>
      <c r="L22" s="1340"/>
      <c r="M22" s="1343"/>
    </row>
    <row r="23" spans="2:14" ht="20.100000000000001" customHeight="1" x14ac:dyDescent="0.2">
      <c r="B23" s="1337" t="s">
        <v>2114</v>
      </c>
      <c r="C23" s="1341" t="s">
        <v>2115</v>
      </c>
      <c r="D23" s="1342" t="s">
        <v>2116</v>
      </c>
      <c r="E23" s="1343">
        <v>23720</v>
      </c>
      <c r="F23" s="1343"/>
      <c r="G23" s="1343">
        <v>23720</v>
      </c>
      <c r="H23" s="1343"/>
      <c r="I23" s="1343"/>
      <c r="J23" s="1343"/>
      <c r="K23" s="1343"/>
      <c r="L23" s="1340">
        <f t="shared" si="0"/>
        <v>23720</v>
      </c>
      <c r="M23" s="1343" t="s">
        <v>2117</v>
      </c>
    </row>
    <row r="24" spans="2:14" ht="20.100000000000001" customHeight="1" x14ac:dyDescent="0.2">
      <c r="B24" s="1337" t="s">
        <v>2114</v>
      </c>
      <c r="C24" s="1341" t="s">
        <v>2115</v>
      </c>
      <c r="D24" s="1342" t="s">
        <v>2130</v>
      </c>
      <c r="E24" s="1343"/>
      <c r="F24" s="1343">
        <v>23844</v>
      </c>
      <c r="G24" s="1343"/>
      <c r="H24" s="1343"/>
      <c r="I24" s="1343">
        <v>23844</v>
      </c>
      <c r="J24" s="1343"/>
      <c r="K24" s="1343"/>
      <c r="L24" s="1340">
        <f t="shared" si="0"/>
        <v>23844</v>
      </c>
      <c r="M24" s="1343" t="s">
        <v>2117</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5" sqref="D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Wauconda CUSD 118</v>
      </c>
      <c r="C1" s="2451"/>
      <c r="D1" s="2451"/>
      <c r="E1" s="2451"/>
      <c r="F1" s="2451"/>
      <c r="G1" s="2451"/>
      <c r="H1" s="2451"/>
      <c r="I1" s="2451"/>
      <c r="J1" s="2451"/>
      <c r="K1" s="2451"/>
      <c r="L1" s="2451"/>
      <c r="M1" s="2451"/>
    </row>
    <row r="2" spans="2:14" ht="15" x14ac:dyDescent="0.2">
      <c r="B2" s="2452">
        <f>'Single Audit Cover'!E7</f>
        <v>34049118026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2118</v>
      </c>
      <c r="C11" s="1338"/>
      <c r="D11" s="1339"/>
      <c r="E11" s="1340"/>
      <c r="F11" s="1340"/>
      <c r="G11" s="1340"/>
      <c r="H11" s="1340"/>
      <c r="I11" s="1340"/>
      <c r="J11" s="1340"/>
      <c r="K11" s="1340"/>
      <c r="L11" s="1340"/>
      <c r="M11" s="1340"/>
    </row>
    <row r="12" spans="2:14" ht="20.100000000000001" customHeight="1" x14ac:dyDescent="0.2">
      <c r="B12" s="1337" t="s">
        <v>2119</v>
      </c>
      <c r="C12" s="1341" t="s">
        <v>2122</v>
      </c>
      <c r="D12" s="1342" t="s">
        <v>2123</v>
      </c>
      <c r="E12" s="1343">
        <v>32813</v>
      </c>
      <c r="F12" s="1343"/>
      <c r="G12" s="1343">
        <v>32813</v>
      </c>
      <c r="H12" s="1343"/>
      <c r="I12" s="1343"/>
      <c r="J12" s="1343"/>
      <c r="K12" s="1343"/>
      <c r="L12" s="1340">
        <f t="shared" ref="L12:L25" si="0">+G12+I12+K12</f>
        <v>32813</v>
      </c>
      <c r="M12" s="1343" t="s">
        <v>2117</v>
      </c>
    </row>
    <row r="13" spans="2:14" ht="20.100000000000001" customHeight="1" x14ac:dyDescent="0.2">
      <c r="B13" s="1337" t="s">
        <v>2119</v>
      </c>
      <c r="C13" s="1341" t="s">
        <v>2122</v>
      </c>
      <c r="D13" s="1342" t="s">
        <v>2131</v>
      </c>
      <c r="E13" s="1343"/>
      <c r="F13" s="1343">
        <v>19102</v>
      </c>
      <c r="G13" s="1343"/>
      <c r="H13" s="1343"/>
      <c r="I13" s="1343">
        <v>19102</v>
      </c>
      <c r="J13" s="1343"/>
      <c r="K13" s="1343"/>
      <c r="L13" s="1340">
        <f t="shared" si="0"/>
        <v>19102</v>
      </c>
      <c r="M13" s="1343" t="s">
        <v>2117</v>
      </c>
    </row>
    <row r="14" spans="2:14" ht="20.100000000000001" customHeight="1" x14ac:dyDescent="0.2">
      <c r="B14" s="1337" t="s">
        <v>2120</v>
      </c>
      <c r="C14" s="1341" t="s">
        <v>2124</v>
      </c>
      <c r="D14" s="1342" t="s">
        <v>2125</v>
      </c>
      <c r="E14" s="1343">
        <v>554052</v>
      </c>
      <c r="F14" s="1343"/>
      <c r="G14" s="1343">
        <v>554052</v>
      </c>
      <c r="H14" s="1343"/>
      <c r="I14" s="1343"/>
      <c r="J14" s="1343"/>
      <c r="K14" s="1343"/>
      <c r="L14" s="1340">
        <f t="shared" si="0"/>
        <v>554052</v>
      </c>
      <c r="M14" s="1343" t="s">
        <v>2117</v>
      </c>
    </row>
    <row r="15" spans="2:14" ht="20.100000000000001" customHeight="1" x14ac:dyDescent="0.2">
      <c r="B15" s="1337" t="s">
        <v>2120</v>
      </c>
      <c r="C15" s="1341" t="s">
        <v>2124</v>
      </c>
      <c r="D15" s="1342" t="s">
        <v>2132</v>
      </c>
      <c r="E15" s="1343"/>
      <c r="F15" s="1343">
        <v>513037</v>
      </c>
      <c r="G15" s="1343"/>
      <c r="H15" s="1343"/>
      <c r="I15" s="1343">
        <v>513037</v>
      </c>
      <c r="J15" s="1343"/>
      <c r="K15" s="1343"/>
      <c r="L15" s="1340">
        <f t="shared" si="0"/>
        <v>513037</v>
      </c>
      <c r="M15" s="1343" t="s">
        <v>2117</v>
      </c>
    </row>
    <row r="16" spans="2:14" ht="20.100000000000001" customHeight="1" x14ac:dyDescent="0.2">
      <c r="B16" s="1337" t="s">
        <v>2121</v>
      </c>
      <c r="C16" s="1341">
        <v>84.027000000000001</v>
      </c>
      <c r="D16" s="1342" t="s">
        <v>2133</v>
      </c>
      <c r="E16" s="1343"/>
      <c r="F16" s="1343">
        <v>993</v>
      </c>
      <c r="G16" s="1343"/>
      <c r="H16" s="1343"/>
      <c r="I16" s="1343">
        <v>993</v>
      </c>
      <c r="J16" s="1343"/>
      <c r="K16" s="1343"/>
      <c r="L16" s="1340">
        <f t="shared" si="0"/>
        <v>993</v>
      </c>
      <c r="M16" s="1343" t="s">
        <v>2117</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2134</v>
      </c>
      <c r="C18" s="1341"/>
      <c r="D18" s="1342"/>
      <c r="E18" s="1343"/>
      <c r="F18" s="1343">
        <f>SUM(' SEFA'!F13:F26)+SUM(' SEFA (2)'!F12:F16)</f>
        <v>1280532</v>
      </c>
      <c r="G18" s="1343"/>
      <c r="H18" s="1343"/>
      <c r="I18" s="1343">
        <f>SUM(' SEFA'!I13:I26)+SUM(' SEFA (2)'!I12:I16)</f>
        <v>1343786</v>
      </c>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2135</v>
      </c>
      <c r="C20" s="1341"/>
      <c r="D20" s="1342"/>
      <c r="E20" s="1343"/>
      <c r="F20" s="1343"/>
      <c r="G20" s="1343"/>
      <c r="H20" s="1343"/>
      <c r="I20" s="1343"/>
      <c r="J20" s="1343"/>
      <c r="K20" s="1343"/>
      <c r="L20" s="1340"/>
      <c r="M20" s="1343"/>
    </row>
    <row r="21" spans="2:14" ht="20.100000000000001" customHeight="1" x14ac:dyDescent="0.2">
      <c r="B21" s="1337" t="s">
        <v>2100</v>
      </c>
      <c r="C21" s="1341"/>
      <c r="D21" s="1342"/>
      <c r="E21" s="1343"/>
      <c r="F21" s="1343"/>
      <c r="G21" s="1343"/>
      <c r="H21" s="1343"/>
      <c r="I21" s="1343"/>
      <c r="J21" s="1343"/>
      <c r="K21" s="1343"/>
      <c r="L21" s="1340"/>
      <c r="M21" s="1343"/>
    </row>
    <row r="22" spans="2:14" ht="20.100000000000001" customHeight="1" x14ac:dyDescent="0.2">
      <c r="B22" s="1337" t="s">
        <v>2136</v>
      </c>
      <c r="C22" s="1341">
        <v>10.555</v>
      </c>
      <c r="D22" s="1342" t="s">
        <v>2139</v>
      </c>
      <c r="E22" s="1343">
        <v>501254</v>
      </c>
      <c r="F22" s="1343">
        <v>109684</v>
      </c>
      <c r="G22" s="1343">
        <v>501254</v>
      </c>
      <c r="H22" s="1343"/>
      <c r="I22" s="1343">
        <v>109684</v>
      </c>
      <c r="J22" s="1343"/>
      <c r="K22" s="1343"/>
      <c r="L22" s="1340">
        <f t="shared" si="0"/>
        <v>610938</v>
      </c>
      <c r="M22" s="1343" t="s">
        <v>2117</v>
      </c>
    </row>
    <row r="23" spans="2:14" ht="20.100000000000001" customHeight="1" x14ac:dyDescent="0.2">
      <c r="B23" s="1337" t="s">
        <v>2136</v>
      </c>
      <c r="C23" s="1341">
        <v>10.555</v>
      </c>
      <c r="D23" s="1342" t="s">
        <v>2140</v>
      </c>
      <c r="E23" s="1343"/>
      <c r="F23" s="1343">
        <v>465973</v>
      </c>
      <c r="G23" s="1343"/>
      <c r="H23" s="1343"/>
      <c r="I23" s="1343">
        <v>465973</v>
      </c>
      <c r="J23" s="1343"/>
      <c r="K23" s="1343"/>
      <c r="L23" s="1340" t="s">
        <v>2158</v>
      </c>
      <c r="M23" s="1343" t="s">
        <v>2117</v>
      </c>
    </row>
    <row r="24" spans="2:14" ht="20.100000000000001" customHeight="1" x14ac:dyDescent="0.2">
      <c r="B24" s="1337" t="s">
        <v>2137</v>
      </c>
      <c r="C24" s="1341">
        <v>10.555</v>
      </c>
      <c r="D24" s="1342" t="s">
        <v>2141</v>
      </c>
      <c r="E24" s="1343"/>
      <c r="F24" s="1343">
        <v>106783</v>
      </c>
      <c r="G24" s="1343"/>
      <c r="H24" s="1343"/>
      <c r="I24" s="1343">
        <v>106783</v>
      </c>
      <c r="J24" s="1343"/>
      <c r="K24" s="1343"/>
      <c r="L24" s="1340">
        <f t="shared" si="0"/>
        <v>106783</v>
      </c>
      <c r="M24" s="1343" t="s">
        <v>2117</v>
      </c>
    </row>
    <row r="25" spans="2:14" ht="20.100000000000001" customHeight="1" x14ac:dyDescent="0.2">
      <c r="B25" s="1337" t="s">
        <v>2138</v>
      </c>
      <c r="C25" s="1341">
        <v>10.553000000000001</v>
      </c>
      <c r="D25" s="1342" t="s">
        <v>2142</v>
      </c>
      <c r="E25" s="1343">
        <v>95315</v>
      </c>
      <c r="F25" s="1343">
        <v>20546</v>
      </c>
      <c r="G25" s="1343">
        <v>95315</v>
      </c>
      <c r="H25" s="1343"/>
      <c r="I25" s="1343">
        <v>20546</v>
      </c>
      <c r="J25" s="1343"/>
      <c r="K25" s="1343"/>
      <c r="L25" s="1340">
        <f t="shared" si="0"/>
        <v>115861</v>
      </c>
      <c r="M25" s="1343" t="s">
        <v>2117</v>
      </c>
    </row>
    <row r="26" spans="2:14" ht="20.100000000000001" customHeight="1" x14ac:dyDescent="0.2">
      <c r="B26" s="1337" t="s">
        <v>2138</v>
      </c>
      <c r="C26" s="1341">
        <v>10.553000000000001</v>
      </c>
      <c r="D26" s="1342" t="s">
        <v>2143</v>
      </c>
      <c r="E26" s="1343"/>
      <c r="F26" s="1343">
        <v>95309</v>
      </c>
      <c r="G26" s="1343"/>
      <c r="H26" s="1343"/>
      <c r="I26" s="1343">
        <v>95309</v>
      </c>
      <c r="J26" s="1343"/>
      <c r="K26" s="1343"/>
      <c r="L26" s="1340" t="s">
        <v>2158</v>
      </c>
      <c r="M26" s="1343" t="s">
        <v>2117</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17" sqref="C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Wauconda CUSD 118</v>
      </c>
      <c r="C1" s="2451"/>
      <c r="D1" s="2451"/>
      <c r="E1" s="2451"/>
      <c r="F1" s="2451"/>
      <c r="G1" s="2451"/>
      <c r="H1" s="2451"/>
      <c r="I1" s="2451"/>
      <c r="J1" s="2451"/>
      <c r="K1" s="2451"/>
      <c r="L1" s="2451"/>
      <c r="M1" s="2451"/>
    </row>
    <row r="2" spans="2:14" ht="15" x14ac:dyDescent="0.2">
      <c r="B2" s="2452">
        <f>'Single Audit Cover'!E7</f>
        <v>34049118026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2144</v>
      </c>
      <c r="C11" s="1338"/>
      <c r="D11" s="1339"/>
      <c r="E11" s="1340"/>
      <c r="F11" s="1340">
        <f>SUM(' SEFA (2)'!F22:F26)</f>
        <v>798295</v>
      </c>
      <c r="G11" s="1340"/>
      <c r="H11" s="1340"/>
      <c r="I11" s="1340">
        <f>SUM(' SEFA (2)'!I22:I26)</f>
        <v>798295</v>
      </c>
      <c r="J11" s="1340"/>
      <c r="K11" s="1340"/>
      <c r="L11" s="1340">
        <f>+G11+I11+K11</f>
        <v>798295</v>
      </c>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2145</v>
      </c>
      <c r="C13" s="1341"/>
      <c r="D13" s="1342"/>
      <c r="E13" s="1343"/>
      <c r="F13" s="1343"/>
      <c r="G13" s="1343"/>
      <c r="H13" s="1343"/>
      <c r="I13" s="1343"/>
      <c r="J13" s="1343"/>
      <c r="K13" s="1343"/>
      <c r="L13" s="1340"/>
      <c r="M13" s="1343"/>
    </row>
    <row r="14" spans="2:14" ht="20.100000000000001" customHeight="1" x14ac:dyDescent="0.2">
      <c r="B14" s="1337" t="s">
        <v>2146</v>
      </c>
      <c r="C14" s="1341"/>
      <c r="D14" s="1342"/>
      <c r="E14" s="1343"/>
      <c r="F14" s="1343"/>
      <c r="G14" s="1343"/>
      <c r="H14" s="1343"/>
      <c r="I14" s="1343"/>
      <c r="J14" s="1343"/>
      <c r="K14" s="1343"/>
      <c r="L14" s="1340"/>
      <c r="M14" s="1343"/>
    </row>
    <row r="15" spans="2:14" ht="20.100000000000001" customHeight="1" x14ac:dyDescent="0.2">
      <c r="B15" s="1337" t="s">
        <v>2147</v>
      </c>
      <c r="C15" s="1341">
        <v>93.778000000000006</v>
      </c>
      <c r="D15" s="1342" t="s">
        <v>2150</v>
      </c>
      <c r="E15" s="1343">
        <v>88168</v>
      </c>
      <c r="F15" s="1343"/>
      <c r="G15" s="1343">
        <v>88168</v>
      </c>
      <c r="H15" s="1343"/>
      <c r="I15" s="1343"/>
      <c r="J15" s="1343"/>
      <c r="K15" s="1343"/>
      <c r="L15" s="1340">
        <f t="shared" ref="L15:L20" si="0">+G15+I15+K15</f>
        <v>88168</v>
      </c>
      <c r="M15" s="1343" t="s">
        <v>2117</v>
      </c>
    </row>
    <row r="16" spans="2:14" ht="20.100000000000001" customHeight="1" x14ac:dyDescent="0.2">
      <c r="B16" s="1337" t="s">
        <v>2147</v>
      </c>
      <c r="C16" s="1341">
        <v>93.778000000000006</v>
      </c>
      <c r="D16" s="1342" t="s">
        <v>2151</v>
      </c>
      <c r="E16" s="1343"/>
      <c r="F16" s="1343">
        <v>82861</v>
      </c>
      <c r="G16" s="1343"/>
      <c r="H16" s="1343"/>
      <c r="I16" s="1343">
        <v>82861</v>
      </c>
      <c r="J16" s="1343"/>
      <c r="K16" s="1343"/>
      <c r="L16" s="1340">
        <f t="shared" si="0"/>
        <v>82861</v>
      </c>
      <c r="M16" s="1343" t="s">
        <v>2117</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2148</v>
      </c>
      <c r="C18" s="1341"/>
      <c r="D18" s="1342"/>
      <c r="E18" s="1343"/>
      <c r="F18" s="1343">
        <f>+F16</f>
        <v>82861</v>
      </c>
      <c r="G18" s="1343"/>
      <c r="H18" s="1343"/>
      <c r="I18" s="1343">
        <f>+I16</f>
        <v>82861</v>
      </c>
      <c r="J18" s="1343"/>
      <c r="K18" s="1343"/>
      <c r="L18" s="1340">
        <f t="shared" si="0"/>
        <v>82861</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2149</v>
      </c>
      <c r="C20" s="1341"/>
      <c r="D20" s="1342"/>
      <c r="E20" s="1343"/>
      <c r="F20" s="1343">
        <f>+' SEFA (2)'!F18+' SEFA (3)'!F11+' SEFA (3)'!F18</f>
        <v>2161688</v>
      </c>
      <c r="G20" s="1343"/>
      <c r="H20" s="1343"/>
      <c r="I20" s="1343">
        <f>+' SEFA (2)'!I18+' SEFA (3)'!I11+' SEFA (3)'!I18</f>
        <v>2224942</v>
      </c>
      <c r="J20" s="1343"/>
      <c r="K20" s="1343"/>
      <c r="L20" s="1340">
        <f t="shared" si="0"/>
        <v>2224942</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B36" sqref="B3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Wauconda CUSD 118</v>
      </c>
      <c r="B1" s="2464"/>
      <c r="C1" s="2464"/>
      <c r="D1" s="2464"/>
      <c r="E1" s="2464"/>
      <c r="F1" s="2464"/>
    </row>
    <row r="2" spans="1:7" ht="13.5" customHeight="1" x14ac:dyDescent="0.2">
      <c r="A2" s="2452">
        <f>'Single Audit Cover'!E7</f>
        <v>34049118026</v>
      </c>
      <c r="B2" s="2452"/>
      <c r="C2" s="2452"/>
      <c r="D2" s="2452"/>
      <c r="E2" s="2452"/>
      <c r="F2" s="2452"/>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3" t="s">
        <v>2167</v>
      </c>
      <c r="B7" s="2463"/>
      <c r="C7" s="2463"/>
      <c r="D7" s="2463"/>
      <c r="E7" s="2463"/>
      <c r="F7" s="246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6" customHeight="1" x14ac:dyDescent="0.2">
      <c r="A13" s="2463" t="s">
        <v>2166</v>
      </c>
      <c r="B13" s="2463"/>
      <c r="C13" s="2463"/>
      <c r="D13" s="2463"/>
      <c r="E13" s="2463"/>
      <c r="F13" s="2463"/>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t="s">
        <v>2098</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2168</v>
      </c>
      <c r="B32" s="2457"/>
      <c r="C32" s="2457"/>
      <c r="D32" s="2457"/>
      <c r="E32" s="2457"/>
      <c r="F32" s="2457"/>
    </row>
    <row r="33" spans="1:6" ht="13.5" customHeight="1" x14ac:dyDescent="0.2">
      <c r="A33" s="328" t="s">
        <v>1509</v>
      </c>
      <c r="B33" s="328"/>
      <c r="C33" s="1288">
        <v>106783</v>
      </c>
      <c r="D33" s="1928"/>
      <c r="E33" s="1286"/>
    </row>
    <row r="34" spans="1:6" ht="13.5" customHeight="1" x14ac:dyDescent="0.2">
      <c r="A34" s="328" t="s">
        <v>1945</v>
      </c>
      <c r="B34" s="328"/>
      <c r="C34" s="1289">
        <v>0</v>
      </c>
      <c r="D34" s="1928" t="s">
        <v>1671</v>
      </c>
      <c r="E34" s="2458">
        <f>+C33+C34</f>
        <v>106783</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Wauconda CUSD 118</v>
      </c>
      <c r="C1" s="2479"/>
      <c r="D1" s="2479"/>
      <c r="E1" s="2479"/>
      <c r="F1" s="2479"/>
      <c r="G1" s="2479"/>
      <c r="H1" s="2479"/>
      <c r="I1" s="2479"/>
      <c r="J1" s="1422"/>
    </row>
    <row r="2" spans="2:10" s="317" customFormat="1" ht="12.75" customHeight="1" x14ac:dyDescent="0.2">
      <c r="B2" s="2480">
        <f>'Single Audit Cover'!E7</f>
        <v>34049118026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2152</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2153</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v>10.555</v>
      </c>
      <c r="C38" s="2474" t="s">
        <v>2154</v>
      </c>
      <c r="D38" s="2475"/>
      <c r="E38" s="2475"/>
      <c r="F38" s="2476"/>
      <c r="G38" s="2489">
        <v>575657</v>
      </c>
      <c r="H38" s="2490"/>
      <c r="I38" s="2491"/>
    </row>
    <row r="39" spans="2:9" ht="16.5" customHeight="1" x14ac:dyDescent="0.2">
      <c r="B39" s="1444">
        <v>10.555</v>
      </c>
      <c r="C39" s="2474" t="s">
        <v>2155</v>
      </c>
      <c r="D39" s="2475"/>
      <c r="E39" s="2475"/>
      <c r="F39" s="2476"/>
      <c r="G39" s="2477">
        <v>106783</v>
      </c>
      <c r="H39" s="2477"/>
      <c r="I39" s="2477"/>
    </row>
    <row r="40" spans="2:9" ht="16.5" customHeight="1" x14ac:dyDescent="0.2">
      <c r="B40" s="1444">
        <v>10.553000000000001</v>
      </c>
      <c r="C40" s="2474" t="s">
        <v>2156</v>
      </c>
      <c r="D40" s="2475"/>
      <c r="E40" s="2475"/>
      <c r="F40" s="2476"/>
      <c r="G40" s="2477">
        <v>115855</v>
      </c>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798295</v>
      </c>
      <c r="H43" s="2470"/>
      <c r="I43" s="2470"/>
    </row>
    <row r="44" spans="2:9" ht="12.75" customHeight="1" x14ac:dyDescent="0.2"/>
    <row r="45" spans="2:9" ht="12.75" customHeight="1" x14ac:dyDescent="0.2">
      <c r="B45" s="1435" t="s">
        <v>1948</v>
      </c>
      <c r="D45" s="2471">
        <v>2224942</v>
      </c>
      <c r="E45" s="2472"/>
    </row>
    <row r="46" spans="2:9" ht="5.25" customHeight="1" x14ac:dyDescent="0.2">
      <c r="B46" s="1445"/>
      <c r="D46" s="1446"/>
      <c r="E46" s="1447"/>
    </row>
    <row r="47" spans="2:9" ht="12.75" customHeight="1" x14ac:dyDescent="0.2">
      <c r="B47" s="1300" t="s">
        <v>1676</v>
      </c>
      <c r="C47" s="1300"/>
      <c r="D47" s="1448">
        <f>+G43/D45</f>
        <v>0.35879362248544006</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Wauconda CUSD 118</v>
      </c>
      <c r="C1" s="2478"/>
      <c r="D1" s="2478"/>
      <c r="E1" s="2478"/>
      <c r="F1" s="2478"/>
      <c r="G1" s="2478"/>
      <c r="H1" s="2478"/>
      <c r="I1" s="2478"/>
      <c r="J1" s="2478"/>
      <c r="K1" s="2478"/>
      <c r="L1" s="1374"/>
      <c r="M1" s="1374"/>
    </row>
    <row r="2" spans="1:13" ht="12" customHeight="1" x14ac:dyDescent="0.2">
      <c r="B2" s="2480">
        <f>'Single Audit Cover'!E7</f>
        <v>34049118026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2098</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R27" sqref="R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Wauconda CUSD 118</v>
      </c>
      <c r="C1" s="2501"/>
      <c r="D1" s="2501"/>
      <c r="E1" s="2501"/>
      <c r="F1" s="2501"/>
      <c r="G1" s="2501"/>
      <c r="H1" s="2501"/>
      <c r="I1" s="2501"/>
      <c r="J1" s="2501"/>
      <c r="K1" s="2501"/>
      <c r="L1" s="1465"/>
    </row>
    <row r="2" spans="1:12" ht="12.75" customHeight="1" x14ac:dyDescent="0.2">
      <c r="B2" s="2502">
        <f>'Single Audit Cover'!E7</f>
        <v>34049118026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2098</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Wauconda CUSD 118</v>
      </c>
      <c r="C1" s="2478"/>
      <c r="D1" s="2478"/>
      <c r="E1" s="1491"/>
    </row>
    <row r="2" spans="2:5" s="1282" customFormat="1" ht="12.75" customHeight="1" x14ac:dyDescent="0.2">
      <c r="B2" s="2480">
        <f>'Single Audit Cover'!E7</f>
        <v>34049118026</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2098</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754853162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3.6909999999999998E-2</v>
      </c>
      <c r="E10" s="356" t="s">
        <v>1062</v>
      </c>
      <c r="F10" s="355">
        <v>6.0899999999999999E-3</v>
      </c>
      <c r="G10" s="356" t="s">
        <v>1062</v>
      </c>
      <c r="H10" s="355">
        <v>2.1800000000000001E-3</v>
      </c>
      <c r="I10" s="356" t="s">
        <v>1063</v>
      </c>
      <c r="J10" s="1754">
        <f>ROUND(D10+F10+H10,5)</f>
        <v>4.5179999999999998E-2</v>
      </c>
      <c r="K10" s="222"/>
      <c r="L10" s="355">
        <v>1.0000000000000001E-5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59788129</v>
      </c>
      <c r="E16" s="356"/>
      <c r="F16" s="1755">
        <f>SUM('Acct Summary 7-8'!C17,'Acct Summary 7-8'!D17,'Acct Summary 7-8'!F17)</f>
        <v>56364989</v>
      </c>
      <c r="G16" s="356"/>
      <c r="H16" s="1755">
        <f>SUM(D16-F16)</f>
        <v>3423140</v>
      </c>
      <c r="I16" s="222"/>
      <c r="J16" s="1755">
        <f>SUM('Acct Summary 7-8'!C81,'Acct Summary 7-8'!D81,'Acct Summary 7-8'!F81,'Acct Summary 7-8'!I81)</f>
        <v>31072461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104169736.35600001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63313468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Wauconda CUSD 118</v>
      </c>
      <c r="E7" s="391"/>
      <c r="G7" s="252"/>
      <c r="H7" s="387"/>
      <c r="I7" s="387"/>
      <c r="J7" s="387"/>
      <c r="K7" s="387"/>
      <c r="L7" s="329"/>
      <c r="M7" s="329"/>
      <c r="N7" s="329"/>
      <c r="O7" s="329"/>
      <c r="P7" s="329"/>
    </row>
    <row r="8" spans="1:18" ht="12.75" x14ac:dyDescent="0.2">
      <c r="A8" s="329"/>
      <c r="B8" s="329"/>
      <c r="C8" s="389" t="s">
        <v>1187</v>
      </c>
      <c r="D8" s="392">
        <f>COVER!A13</f>
        <v>34049118026</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31072461</v>
      </c>
      <c r="I12" s="404"/>
      <c r="J12" s="404"/>
      <c r="K12" s="405">
        <f>TRUNC((H12/H13*100000),5)/100000</f>
        <v>0.52631175009999998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59038129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-750000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56364989</v>
      </c>
      <c r="I17" s="404"/>
      <c r="J17" s="416"/>
      <c r="K17" s="405">
        <f>TRUNC((H17/H18*100000),5)/100000</f>
        <v>0.95472180349999991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59038129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-750000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31762121</v>
      </c>
      <c r="I24" s="422"/>
      <c r="J24" s="422"/>
      <c r="K24" s="423">
        <f>TRUNC(((H24/H25*100000)/100000),2)</f>
        <v>202.86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156569.41389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28988625.980289999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63313468</v>
      </c>
      <c r="I32" s="420"/>
      <c r="J32" s="420"/>
      <c r="K32" s="423">
        <f>TRUNC(100-((((H32/H33*100))*100)/100),2)</f>
        <v>39.22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104169736.35600001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H12" sqref="H12"/>
      <selection pane="bottomLeft" activeCell="H12" sqref="H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13358078</v>
      </c>
      <c r="D4" s="466">
        <v>375564</v>
      </c>
      <c r="E4" s="466">
        <v>5737917</v>
      </c>
      <c r="F4" s="466">
        <v>1451508</v>
      </c>
      <c r="G4" s="466"/>
      <c r="H4" s="466">
        <v>1122300</v>
      </c>
      <c r="I4" s="466">
        <v>16576971</v>
      </c>
      <c r="J4" s="467"/>
      <c r="K4" s="466"/>
      <c r="L4" s="466">
        <v>391093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213554</v>
      </c>
      <c r="E7" s="467">
        <v>579238</v>
      </c>
      <c r="F7" s="467">
        <v>303275</v>
      </c>
      <c r="G7" s="467">
        <v>31939</v>
      </c>
      <c r="H7" s="467">
        <v>43537</v>
      </c>
      <c r="I7" s="467">
        <v>3513</v>
      </c>
      <c r="J7" s="467">
        <v>34625</v>
      </c>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13358078</v>
      </c>
      <c r="D13" s="1759">
        <f t="shared" ref="D13:L13" si="0">SUM(D4:D12)</f>
        <v>589118</v>
      </c>
      <c r="E13" s="1759">
        <f t="shared" si="0"/>
        <v>6317155</v>
      </c>
      <c r="F13" s="1759">
        <f t="shared" si="0"/>
        <v>1754783</v>
      </c>
      <c r="G13" s="1759">
        <f t="shared" si="0"/>
        <v>31939</v>
      </c>
      <c r="H13" s="1759">
        <f t="shared" si="0"/>
        <v>1165837</v>
      </c>
      <c r="I13" s="1759">
        <f t="shared" si="0"/>
        <v>16580484</v>
      </c>
      <c r="J13" s="1759">
        <f t="shared" si="0"/>
        <v>34625</v>
      </c>
      <c r="K13" s="1759">
        <f t="shared" si="0"/>
        <v>0</v>
      </c>
      <c r="L13" s="1759">
        <f t="shared" si="0"/>
        <v>391093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4894309</v>
      </c>
      <c r="N16" s="484"/>
    </row>
    <row r="17" spans="1:14" s="485" customFormat="1" ht="12.75" customHeight="1" x14ac:dyDescent="0.2">
      <c r="A17" s="482" t="s">
        <v>1470</v>
      </c>
      <c r="B17" s="483">
        <v>230</v>
      </c>
      <c r="C17" s="477"/>
      <c r="D17" s="477"/>
      <c r="E17" s="477"/>
      <c r="F17" s="477"/>
      <c r="G17" s="477"/>
      <c r="H17" s="477"/>
      <c r="I17" s="477"/>
      <c r="J17" s="477"/>
      <c r="K17" s="477"/>
      <c r="L17" s="477"/>
      <c r="M17" s="467">
        <v>102093417</v>
      </c>
      <c r="N17" s="484"/>
    </row>
    <row r="18" spans="1:14" s="485" customFormat="1" ht="12.75" customHeight="1" x14ac:dyDescent="0.2">
      <c r="A18" s="482" t="s">
        <v>1471</v>
      </c>
      <c r="B18" s="483">
        <v>240</v>
      </c>
      <c r="C18" s="477"/>
      <c r="D18" s="477"/>
      <c r="E18" s="477"/>
      <c r="F18" s="477"/>
      <c r="G18" s="477"/>
      <c r="H18" s="477"/>
      <c r="I18" s="477"/>
      <c r="J18" s="477"/>
      <c r="K18" s="477"/>
      <c r="L18" s="477"/>
      <c r="M18" s="467">
        <v>3617697</v>
      </c>
      <c r="N18" s="484"/>
    </row>
    <row r="19" spans="1:14" s="485" customFormat="1" ht="12.75" customHeight="1" x14ac:dyDescent="0.2">
      <c r="A19" s="482" t="s">
        <v>1472</v>
      </c>
      <c r="B19" s="483">
        <v>250</v>
      </c>
      <c r="C19" s="477"/>
      <c r="D19" s="477"/>
      <c r="E19" s="477"/>
      <c r="F19" s="477"/>
      <c r="G19" s="477"/>
      <c r="H19" s="477"/>
      <c r="I19" s="477"/>
      <c r="J19" s="477"/>
      <c r="K19" s="477"/>
      <c r="L19" s="477"/>
      <c r="M19" s="467">
        <v>15259556</v>
      </c>
      <c r="N19" s="484"/>
    </row>
    <row r="20" spans="1:14" s="485" customFormat="1" ht="12.75" customHeight="1" x14ac:dyDescent="0.2">
      <c r="A20" s="482" t="s">
        <v>1473</v>
      </c>
      <c r="B20" s="483">
        <v>260</v>
      </c>
      <c r="C20" s="477"/>
      <c r="D20" s="477"/>
      <c r="E20" s="477"/>
      <c r="F20" s="477"/>
      <c r="G20" s="477"/>
      <c r="H20" s="477"/>
      <c r="I20" s="477"/>
      <c r="J20" s="477"/>
      <c r="K20" s="477"/>
      <c r="L20" s="477"/>
      <c r="M20" s="467">
        <v>110462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6317155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56996313</v>
      </c>
    </row>
    <row r="23" spans="1:14" ht="13.5" customHeight="1" thickBot="1" x14ac:dyDescent="0.25">
      <c r="A23" s="1758" t="s">
        <v>664</v>
      </c>
      <c r="B23" s="1763"/>
      <c r="C23" s="468"/>
      <c r="D23" s="468"/>
      <c r="E23" s="468"/>
      <c r="F23" s="468"/>
      <c r="G23" s="468"/>
      <c r="H23" s="468"/>
      <c r="I23" s="468"/>
      <c r="J23" s="468"/>
      <c r="K23" s="468"/>
      <c r="L23" s="468"/>
      <c r="M23" s="1710">
        <f>SUM(M15:M22)</f>
        <v>125975441</v>
      </c>
      <c r="N23" s="1710">
        <f>SUM(N21:N22)</f>
        <v>63313468</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1209681</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321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391093</v>
      </c>
      <c r="M33" s="468"/>
      <c r="N33" s="469"/>
    </row>
    <row r="34" spans="1:14" ht="13.5" customHeight="1" thickBot="1" x14ac:dyDescent="0.25">
      <c r="A34" s="1760" t="s">
        <v>675</v>
      </c>
      <c r="B34" s="1761"/>
      <c r="C34" s="1762">
        <f>SUM(C25:C33)</f>
        <v>1210002</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391093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63313468</v>
      </c>
    </row>
    <row r="37" spans="1:14" ht="13.5" thickBot="1" x14ac:dyDescent="0.25">
      <c r="A37" s="1758" t="s">
        <v>674</v>
      </c>
      <c r="B37" s="1763"/>
      <c r="C37" s="477"/>
      <c r="D37" s="477"/>
      <c r="E37" s="477"/>
      <c r="F37" s="477"/>
      <c r="G37" s="477"/>
      <c r="H37" s="477"/>
      <c r="I37" s="477"/>
      <c r="J37" s="477"/>
      <c r="K37" s="477"/>
      <c r="L37" s="480"/>
      <c r="M37" s="468"/>
      <c r="N37" s="1710">
        <f>SUM(N36:N36)</f>
        <v>63313468</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12148076</v>
      </c>
      <c r="D39" s="466">
        <v>589118</v>
      </c>
      <c r="E39" s="466">
        <v>6317155</v>
      </c>
      <c r="F39" s="466">
        <v>1754783</v>
      </c>
      <c r="G39" s="466">
        <v>31939</v>
      </c>
      <c r="H39" s="466">
        <v>1165837</v>
      </c>
      <c r="I39" s="466">
        <v>16580484</v>
      </c>
      <c r="J39" s="467">
        <v>34625</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125975441</v>
      </c>
      <c r="N40" s="497"/>
    </row>
    <row r="41" spans="1:14" ht="13.5" customHeight="1" thickBot="1" x14ac:dyDescent="0.25">
      <c r="A41" s="1758" t="s">
        <v>676</v>
      </c>
      <c r="B41" s="1728"/>
      <c r="C41" s="1710">
        <f>(SUM(C34,C37,C38,C39))</f>
        <v>13358078</v>
      </c>
      <c r="D41" s="1710">
        <f t="shared" ref="D41:L41" si="2">SUM(D34,D37,D38:D39)</f>
        <v>589118</v>
      </c>
      <c r="E41" s="1710">
        <f t="shared" si="2"/>
        <v>6317155</v>
      </c>
      <c r="F41" s="1710">
        <f t="shared" si="2"/>
        <v>1754783</v>
      </c>
      <c r="G41" s="1710">
        <f t="shared" si="2"/>
        <v>31939</v>
      </c>
      <c r="H41" s="1710">
        <f t="shared" si="2"/>
        <v>1165837</v>
      </c>
      <c r="I41" s="1710">
        <f t="shared" si="2"/>
        <v>16580484</v>
      </c>
      <c r="J41" s="1710">
        <f t="shared" si="2"/>
        <v>34625</v>
      </c>
      <c r="K41" s="1710">
        <f t="shared" si="2"/>
        <v>0</v>
      </c>
      <c r="L41" s="1710">
        <f t="shared" si="2"/>
        <v>391093</v>
      </c>
      <c r="M41" s="1710">
        <f>SUM(M40)</f>
        <v>125975441</v>
      </c>
      <c r="N41" s="1710">
        <f>SUM(N37)</f>
        <v>63313468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Split"/>
      <selection activeCell="H12" sqref="H12"/>
      <selection pane="bottomLeft" activeCell="H12" sqref="H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34073338</v>
      </c>
      <c r="D4" s="1764">
        <f>'Revenues 9-14'!D109</f>
        <v>4525626</v>
      </c>
      <c r="E4" s="1764">
        <f>'Revenues 9-14'!E109</f>
        <v>11403988</v>
      </c>
      <c r="F4" s="1764">
        <f>'Revenues 9-14'!F109</f>
        <v>1729695</v>
      </c>
      <c r="G4" s="1764">
        <f>'Revenues 9-14'!G109</f>
        <v>2191857</v>
      </c>
      <c r="H4" s="1764">
        <f>'Revenues 9-14'!H109</f>
        <v>56831</v>
      </c>
      <c r="I4" s="1764">
        <f>'Revenues 9-14'!I109</f>
        <v>220610</v>
      </c>
      <c r="J4" s="1764">
        <f>'Revenues 9-14'!J109</f>
        <v>860291</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12818205</v>
      </c>
      <c r="D6" s="1765">
        <f>'Revenues 9-14'!D173</f>
        <v>0</v>
      </c>
      <c r="E6" s="1765">
        <f>'Revenues 9-14'!E173</f>
        <v>0</v>
      </c>
      <c r="F6" s="1765">
        <f>'Revenues 9-14'!F173</f>
        <v>4186422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2234233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49125776</v>
      </c>
      <c r="D8" s="1710">
        <f t="shared" ref="D8:K8" si="0">SUM(D4:D7)</f>
        <v>4525626</v>
      </c>
      <c r="E8" s="1710">
        <f t="shared" si="0"/>
        <v>11403988</v>
      </c>
      <c r="F8" s="1710">
        <f t="shared" si="0"/>
        <v>5916117</v>
      </c>
      <c r="G8" s="1710">
        <f t="shared" si="0"/>
        <v>2191857</v>
      </c>
      <c r="H8" s="1710">
        <f t="shared" si="0"/>
        <v>56831</v>
      </c>
      <c r="I8" s="1710">
        <f t="shared" si="0"/>
        <v>220610</v>
      </c>
      <c r="J8" s="1710">
        <f t="shared" si="0"/>
        <v>860291</v>
      </c>
      <c r="K8" s="1710">
        <f t="shared" si="0"/>
        <v>0</v>
      </c>
      <c r="L8" s="347"/>
    </row>
    <row r="9" spans="1:13" ht="15.75" thickTop="1" x14ac:dyDescent="0.2">
      <c r="A9" s="514" t="s">
        <v>1752</v>
      </c>
      <c r="B9" s="515">
        <v>3998</v>
      </c>
      <c r="C9" s="481">
        <v>17702493</v>
      </c>
      <c r="D9" s="516"/>
      <c r="E9" s="481"/>
      <c r="F9" s="481"/>
      <c r="G9" s="517"/>
      <c r="H9" s="481"/>
      <c r="I9" s="509" t="s">
        <v>1231</v>
      </c>
      <c r="J9" s="478"/>
      <c r="K9" s="481"/>
      <c r="L9" s="347"/>
    </row>
    <row r="10" spans="1:13" s="519" customFormat="1" ht="13.5" thickBot="1" x14ac:dyDescent="0.25">
      <c r="A10" s="1758" t="s">
        <v>1235</v>
      </c>
      <c r="B10" s="1731"/>
      <c r="C10" s="1710">
        <f>SUM(C8:C9)</f>
        <v>66828269</v>
      </c>
      <c r="D10" s="1710">
        <f t="shared" ref="D10:K10" si="1">SUM(D8:D9)</f>
        <v>4525626</v>
      </c>
      <c r="E10" s="1710">
        <f t="shared" si="1"/>
        <v>11403988</v>
      </c>
      <c r="F10" s="1710">
        <f t="shared" si="1"/>
        <v>5916117</v>
      </c>
      <c r="G10" s="1710">
        <f t="shared" si="1"/>
        <v>2191857</v>
      </c>
      <c r="H10" s="1710">
        <f t="shared" si="1"/>
        <v>56831</v>
      </c>
      <c r="I10" s="1710">
        <f t="shared" si="1"/>
        <v>220610</v>
      </c>
      <c r="J10" s="1710">
        <f t="shared" si="1"/>
        <v>860291</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28096477</v>
      </c>
      <c r="D12" s="520" t="s">
        <v>1231</v>
      </c>
      <c r="E12" s="468" t="s">
        <v>1231</v>
      </c>
      <c r="F12" s="468" t="s">
        <v>1231</v>
      </c>
      <c r="G12" s="1764">
        <f>'Expenditures 15-22'!K229</f>
        <v>669552</v>
      </c>
      <c r="H12" s="521"/>
      <c r="I12" s="468" t="s">
        <v>1231</v>
      </c>
      <c r="J12" s="468" t="s">
        <v>1231</v>
      </c>
      <c r="K12" s="521" t="s">
        <v>1231</v>
      </c>
      <c r="L12" s="347"/>
    </row>
    <row r="13" spans="1:13" ht="15.75" customHeight="1" x14ac:dyDescent="0.2">
      <c r="A13" s="1598" t="s">
        <v>477</v>
      </c>
      <c r="B13" s="1600">
        <v>2000</v>
      </c>
      <c r="C13" s="1765">
        <f>'Expenditures 15-22'!K74</f>
        <v>13582847</v>
      </c>
      <c r="D13" s="1765">
        <f>'Expenditures 15-22'!K129</f>
        <v>4433199</v>
      </c>
      <c r="E13" s="469" t="s">
        <v>1231</v>
      </c>
      <c r="F13" s="1765">
        <f>'Expenditures 15-22'!K184</f>
        <v>4757248</v>
      </c>
      <c r="G13" s="1765">
        <f>'Expenditures 15-22'!K279</f>
        <v>1533534</v>
      </c>
      <c r="H13" s="1765">
        <f>'Expenditures 15-22'!K303</f>
        <v>1404791</v>
      </c>
      <c r="I13" s="468" t="s">
        <v>1231</v>
      </c>
      <c r="J13" s="1765">
        <f>'Expenditures 15-22'!K330</f>
        <v>707970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4776855</v>
      </c>
      <c r="D15" s="1765">
        <f>'Expenditures 15-22'!K139</f>
        <v>0</v>
      </c>
      <c r="E15" s="1765">
        <f>'Expenditures 15-22'!K160</f>
        <v>95572</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10665460</v>
      </c>
      <c r="F16" s="1765">
        <f>'Expenditures 15-22'!K208</f>
        <v>718363</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46456179</v>
      </c>
      <c r="D17" s="1710">
        <f t="shared" si="2"/>
        <v>4433199</v>
      </c>
      <c r="E17" s="1710">
        <f t="shared" si="2"/>
        <v>10761032</v>
      </c>
      <c r="F17" s="1710">
        <f t="shared" si="2"/>
        <v>5475611</v>
      </c>
      <c r="G17" s="1710">
        <f t="shared" si="2"/>
        <v>2203086</v>
      </c>
      <c r="H17" s="1710">
        <f t="shared" si="2"/>
        <v>1404791</v>
      </c>
      <c r="I17" s="468"/>
      <c r="J17" s="1710">
        <f>SUM(J12:J16)</f>
        <v>707970</v>
      </c>
      <c r="K17" s="1710">
        <f>SUM(K12:K16)</f>
        <v>0</v>
      </c>
      <c r="L17" s="347"/>
    </row>
    <row r="18" spans="1:12" ht="15" customHeight="1" thickTop="1" x14ac:dyDescent="0.2">
      <c r="A18" s="1766" t="s">
        <v>1753</v>
      </c>
      <c r="B18" s="1767">
        <v>4180</v>
      </c>
      <c r="C18" s="1764">
        <f t="shared" ref="C18:H18" si="3">C9</f>
        <v>17702493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64158672</v>
      </c>
      <c r="D19" s="1710">
        <f t="shared" si="4"/>
        <v>4433199</v>
      </c>
      <c r="E19" s="1710">
        <f t="shared" si="4"/>
        <v>10761032</v>
      </c>
      <c r="F19" s="1710">
        <f t="shared" si="4"/>
        <v>5475611</v>
      </c>
      <c r="G19" s="1710">
        <f t="shared" si="4"/>
        <v>2203086</v>
      </c>
      <c r="H19" s="1710">
        <f t="shared" si="4"/>
        <v>1404791</v>
      </c>
      <c r="I19" s="468"/>
      <c r="J19" s="1710">
        <f>SUM(J17:J18)</f>
        <v>707970</v>
      </c>
      <c r="K19" s="1710">
        <f>SUM(K17:K18)</f>
        <v>0</v>
      </c>
      <c r="L19" s="347"/>
    </row>
    <row r="20" spans="1:12" ht="16.5" thickTop="1" thickBot="1" x14ac:dyDescent="0.25">
      <c r="A20" s="2144" t="s">
        <v>1754</v>
      </c>
      <c r="B20" s="2145"/>
      <c r="C20" s="1768">
        <f>C8-C17</f>
        <v>2669597</v>
      </c>
      <c r="D20" s="1768">
        <f t="shared" ref="D20:K20" si="5">D8-D17</f>
        <v>92427</v>
      </c>
      <c r="E20" s="1768">
        <f t="shared" si="5"/>
        <v>642956</v>
      </c>
      <c r="F20" s="1768">
        <f t="shared" si="5"/>
        <v>440506</v>
      </c>
      <c r="G20" s="1768">
        <f t="shared" si="5"/>
        <v>-11229</v>
      </c>
      <c r="H20" s="1768">
        <f t="shared" si="5"/>
        <v>-1347960</v>
      </c>
      <c r="I20" s="1768">
        <f t="shared" si="5"/>
        <v>220610</v>
      </c>
      <c r="J20" s="1768">
        <f t="shared" si="5"/>
        <v>152321</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213218</v>
      </c>
      <c r="D26" s="467"/>
      <c r="E26" s="467"/>
      <c r="F26" s="467"/>
      <c r="G26" s="467"/>
      <c r="H26" s="467"/>
      <c r="I26" s="477"/>
      <c r="J26" s="467"/>
      <c r="K26" s="467"/>
      <c r="L26" s="524"/>
    </row>
    <row r="27" spans="1:12" s="485" customFormat="1" ht="13.5" customHeight="1" x14ac:dyDescent="0.2">
      <c r="A27" s="1511" t="s">
        <v>194</v>
      </c>
      <c r="B27" s="483">
        <v>7130</v>
      </c>
      <c r="C27" s="467"/>
      <c r="D27" s="467">
        <v>750000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21500</v>
      </c>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750000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v>651200</v>
      </c>
      <c r="G43" s="467"/>
      <c r="H43" s="467"/>
      <c r="I43" s="467"/>
      <c r="J43" s="467"/>
      <c r="K43" s="467"/>
      <c r="L43" s="524"/>
    </row>
    <row r="44" spans="1:12" s="485" customFormat="1" ht="13.5" customHeight="1" thickBot="1" x14ac:dyDescent="0.25">
      <c r="A44" s="2158" t="s">
        <v>392</v>
      </c>
      <c r="B44" s="2159"/>
      <c r="C44" s="1725">
        <f>SUM(C24:C43)</f>
        <v>213218</v>
      </c>
      <c r="D44" s="1725">
        <f t="shared" ref="D44:K44" si="6">SUM(D24:D43)</f>
        <v>750000</v>
      </c>
      <c r="E44" s="1725">
        <f t="shared" si="6"/>
        <v>0</v>
      </c>
      <c r="F44" s="1725">
        <f t="shared" si="6"/>
        <v>672700</v>
      </c>
      <c r="G44" s="1725">
        <f t="shared" si="6"/>
        <v>0</v>
      </c>
      <c r="H44" s="1725">
        <f t="shared" si="6"/>
        <v>750000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213218</v>
      </c>
      <c r="J48" s="477"/>
      <c r="K48" s="477"/>
      <c r="L48" s="529"/>
    </row>
    <row r="49" spans="1:12" s="485" customFormat="1" x14ac:dyDescent="0.2">
      <c r="A49" s="1512" t="s">
        <v>194</v>
      </c>
      <c r="B49" s="483">
        <v>8130</v>
      </c>
      <c r="C49" s="467">
        <v>750000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v>750000</v>
      </c>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750000</v>
      </c>
      <c r="D76" s="1725">
        <f t="shared" si="7"/>
        <v>750000</v>
      </c>
      <c r="E76" s="1725">
        <f t="shared" si="7"/>
        <v>0</v>
      </c>
      <c r="F76" s="1725">
        <f t="shared" si="7"/>
        <v>0</v>
      </c>
      <c r="G76" s="1725">
        <f t="shared" si="7"/>
        <v>0</v>
      </c>
      <c r="H76" s="1725">
        <f t="shared" si="7"/>
        <v>0</v>
      </c>
      <c r="I76" s="1725">
        <f t="shared" si="7"/>
        <v>213218</v>
      </c>
      <c r="J76" s="1725">
        <f t="shared" si="7"/>
        <v>0</v>
      </c>
      <c r="K76" s="1725">
        <f t="shared" si="7"/>
        <v>0</v>
      </c>
      <c r="L76" s="524"/>
    </row>
    <row r="77" spans="1:12" ht="14.25" thickTop="1" thickBot="1" x14ac:dyDescent="0.25">
      <c r="A77" s="2136" t="s">
        <v>1239</v>
      </c>
      <c r="B77" s="2137"/>
      <c r="C77" s="1725">
        <f t="shared" ref="C77:K77" si="8">C44-C76</f>
        <v>-536782</v>
      </c>
      <c r="D77" s="1725">
        <f t="shared" si="8"/>
        <v>0</v>
      </c>
      <c r="E77" s="1725">
        <f t="shared" si="8"/>
        <v>0</v>
      </c>
      <c r="F77" s="1725">
        <f t="shared" si="8"/>
        <v>672700</v>
      </c>
      <c r="G77" s="1725">
        <f t="shared" si="8"/>
        <v>0</v>
      </c>
      <c r="H77" s="1725">
        <f t="shared" si="8"/>
        <v>750000</v>
      </c>
      <c r="I77" s="1725">
        <f t="shared" si="8"/>
        <v>-213218</v>
      </c>
      <c r="J77" s="1725">
        <f t="shared" si="8"/>
        <v>0</v>
      </c>
      <c r="K77" s="1725">
        <f t="shared" si="8"/>
        <v>0</v>
      </c>
      <c r="L77" s="347"/>
    </row>
    <row r="78" spans="1:12" ht="21.75" customHeight="1" thickTop="1" thickBot="1" x14ac:dyDescent="0.25">
      <c r="A78" s="2140" t="s">
        <v>618</v>
      </c>
      <c r="B78" s="2141"/>
      <c r="C78" s="1724">
        <f t="shared" ref="C78:K78" si="9">C20+C77</f>
        <v>2132815</v>
      </c>
      <c r="D78" s="1724">
        <f t="shared" si="9"/>
        <v>92427</v>
      </c>
      <c r="E78" s="1724">
        <f t="shared" si="9"/>
        <v>642956</v>
      </c>
      <c r="F78" s="1724">
        <f t="shared" si="9"/>
        <v>1113206</v>
      </c>
      <c r="G78" s="1724">
        <f t="shared" si="9"/>
        <v>-11229</v>
      </c>
      <c r="H78" s="1724">
        <f t="shared" si="9"/>
        <v>-597960</v>
      </c>
      <c r="I78" s="1724">
        <f t="shared" si="9"/>
        <v>7392</v>
      </c>
      <c r="J78" s="1724">
        <f t="shared" si="9"/>
        <v>152321</v>
      </c>
      <c r="K78" s="1724">
        <f t="shared" si="9"/>
        <v>0</v>
      </c>
      <c r="L78" s="533"/>
    </row>
    <row r="79" spans="1:12" ht="13.5" thickTop="1" x14ac:dyDescent="0.2">
      <c r="A79" s="1516" t="s">
        <v>2068</v>
      </c>
      <c r="B79" s="534"/>
      <c r="C79" s="478">
        <v>10015261</v>
      </c>
      <c r="D79" s="535">
        <v>496691</v>
      </c>
      <c r="E79" s="535">
        <v>5674199</v>
      </c>
      <c r="F79" s="535">
        <v>641577</v>
      </c>
      <c r="G79" s="535">
        <v>43168</v>
      </c>
      <c r="H79" s="535">
        <v>1763797</v>
      </c>
      <c r="I79" s="535">
        <v>16573092</v>
      </c>
      <c r="J79" s="535">
        <v>-117696</v>
      </c>
      <c r="K79" s="535"/>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2069</v>
      </c>
      <c r="B81" s="2139"/>
      <c r="C81" s="1710">
        <f>(SUM(C78:C80))</f>
        <v>12148076</v>
      </c>
      <c r="D81" s="1710">
        <f>SUM(D78:D80)</f>
        <v>589118</v>
      </c>
      <c r="E81" s="1710">
        <f t="shared" ref="E81:K81" si="10">SUM(E78:E80)</f>
        <v>6317155</v>
      </c>
      <c r="F81" s="1710">
        <f t="shared" si="10"/>
        <v>1754783</v>
      </c>
      <c r="G81" s="1710">
        <f t="shared" si="10"/>
        <v>31939</v>
      </c>
      <c r="H81" s="1710">
        <f t="shared" si="10"/>
        <v>1165837</v>
      </c>
      <c r="I81" s="1710">
        <f t="shared" si="10"/>
        <v>16580484</v>
      </c>
      <c r="J81" s="1710">
        <f t="shared" si="10"/>
        <v>34625</v>
      </c>
      <c r="K81" s="1710">
        <f t="shared" si="10"/>
        <v>0</v>
      </c>
      <c r="L81" s="347"/>
    </row>
    <row r="82" spans="1:12" ht="0.75" customHeight="1" thickTop="1" thickBot="1" x14ac:dyDescent="0.25">
      <c r="A82" s="536" t="s">
        <v>361</v>
      </c>
      <c r="B82" s="537"/>
      <c r="C82" s="538">
        <f>(C81-C79)</f>
        <v>2132815</v>
      </c>
      <c r="D82" s="538">
        <f t="shared" ref="D82:K82" si="11">(D81-D79)</f>
        <v>92427</v>
      </c>
      <c r="E82" s="538">
        <f t="shared" si="11"/>
        <v>642956</v>
      </c>
      <c r="F82" s="538">
        <f t="shared" si="11"/>
        <v>1113206</v>
      </c>
      <c r="G82" s="538">
        <f t="shared" si="11"/>
        <v>-11229</v>
      </c>
      <c r="H82" s="538">
        <f t="shared" si="11"/>
        <v>-597960</v>
      </c>
      <c r="I82" s="538">
        <f t="shared" si="11"/>
        <v>7392</v>
      </c>
      <c r="J82" s="538">
        <f t="shared" si="11"/>
        <v>152321</v>
      </c>
      <c r="K82" s="538">
        <f t="shared" si="11"/>
        <v>0</v>
      </c>
    </row>
    <row r="83" spans="1:12" ht="14.25" hidden="1" thickTop="1" thickBot="1" x14ac:dyDescent="0.25">
      <c r="A83" s="539" t="s">
        <v>362</v>
      </c>
      <c r="B83" s="464"/>
      <c r="C83" s="540">
        <f>C82/C81</f>
        <v>0.17556813111804701</v>
      </c>
      <c r="D83" s="540">
        <f t="shared" ref="D83:K83" si="12">D82/D81</f>
        <v>0.15689047016047719</v>
      </c>
      <c r="E83" s="540">
        <f t="shared" si="12"/>
        <v>0.10177936112063105</v>
      </c>
      <c r="F83" s="540">
        <f t="shared" si="12"/>
        <v>0.63438385259032026</v>
      </c>
      <c r="G83" s="540">
        <f t="shared" si="12"/>
        <v>-0.35157644259369425</v>
      </c>
      <c r="H83" s="540">
        <f t="shared" si="12"/>
        <v>-0.51290188937218495</v>
      </c>
      <c r="I83" s="540">
        <f t="shared" si="12"/>
        <v>4.4582534502611625E-4</v>
      </c>
      <c r="J83" s="540">
        <f t="shared" si="12"/>
        <v>4.3991624548736459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12" sqref="H12"/>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27422552</v>
      </c>
      <c r="D5" s="481">
        <v>4505819</v>
      </c>
      <c r="E5" s="466">
        <v>11370312</v>
      </c>
      <c r="F5" s="548">
        <v>1693710</v>
      </c>
      <c r="G5" s="466">
        <v>1085918</v>
      </c>
      <c r="H5" s="466"/>
      <c r="I5" s="466">
        <v>7392</v>
      </c>
      <c r="J5" s="467">
        <v>820314</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4198494</v>
      </c>
      <c r="D7" s="466"/>
      <c r="E7" s="468"/>
      <c r="F7" s="467"/>
      <c r="G7" s="467"/>
      <c r="H7" s="467"/>
      <c r="I7" s="468"/>
      <c r="J7" s="468"/>
      <c r="K7" s="468"/>
    </row>
    <row r="8" spans="1:12" x14ac:dyDescent="0.2">
      <c r="A8" s="463" t="s">
        <v>433</v>
      </c>
      <c r="B8" s="470">
        <v>1150</v>
      </c>
      <c r="C8" s="475"/>
      <c r="D8" s="475"/>
      <c r="E8" s="477"/>
      <c r="F8" s="477"/>
      <c r="G8" s="481">
        <v>1085359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31621046</v>
      </c>
      <c r="D12" s="1729">
        <f t="shared" si="0"/>
        <v>4505819</v>
      </c>
      <c r="E12" s="1729">
        <f t="shared" si="0"/>
        <v>11370312</v>
      </c>
      <c r="F12" s="1729">
        <f t="shared" si="0"/>
        <v>1693710</v>
      </c>
      <c r="G12" s="1729">
        <f t="shared" si="0"/>
        <v>2171277</v>
      </c>
      <c r="H12" s="1729">
        <f t="shared" si="0"/>
        <v>0</v>
      </c>
      <c r="I12" s="1729">
        <f t="shared" si="0"/>
        <v>7392</v>
      </c>
      <c r="J12" s="1729">
        <f t="shared" si="0"/>
        <v>820314</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173937</v>
      </c>
      <c r="D16" s="466"/>
      <c r="E16" s="466"/>
      <c r="F16" s="466"/>
      <c r="G16" s="466">
        <v>20000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173937</v>
      </c>
      <c r="D18" s="1732">
        <f t="shared" ref="D18:K18" si="1">SUM(D14:D17)</f>
        <v>0</v>
      </c>
      <c r="E18" s="1732">
        <f t="shared" si="1"/>
        <v>0</v>
      </c>
      <c r="F18" s="1732">
        <f t="shared" si="1"/>
        <v>0</v>
      </c>
      <c r="G18" s="1732">
        <f t="shared" si="1"/>
        <v>20000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52085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52085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14782</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15892</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30674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105418</v>
      </c>
      <c r="D65" s="466">
        <v>3815</v>
      </c>
      <c r="E65" s="466">
        <v>33676</v>
      </c>
      <c r="F65" s="467">
        <v>4110</v>
      </c>
      <c r="G65" s="466">
        <v>580</v>
      </c>
      <c r="H65" s="466">
        <v>8555</v>
      </c>
      <c r="I65" s="466">
        <v>213218</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105418</v>
      </c>
      <c r="D67" s="1710">
        <f t="shared" ref="D67:K67" si="2">SUM(D65:D66)</f>
        <v>3815</v>
      </c>
      <c r="E67" s="1710">
        <f t="shared" si="2"/>
        <v>33676</v>
      </c>
      <c r="F67" s="1710">
        <f t="shared" si="2"/>
        <v>4110</v>
      </c>
      <c r="G67" s="1710">
        <f t="shared" si="2"/>
        <v>580</v>
      </c>
      <c r="H67" s="1710">
        <f t="shared" si="2"/>
        <v>8555</v>
      </c>
      <c r="I67" s="1710">
        <f t="shared" si="2"/>
        <v>213218</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490756-250</f>
        <v>490506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490506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36787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269657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306444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483343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483343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15830</v>
      </c>
      <c r="E95" s="521"/>
      <c r="F95" s="521"/>
      <c r="G95" s="521"/>
      <c r="H95" s="521"/>
      <c r="I95" s="521"/>
      <c r="J95" s="521"/>
      <c r="K95" s="521"/>
    </row>
    <row r="96" spans="1:11" ht="12.75" customHeight="1" x14ac:dyDescent="0.2">
      <c r="A96" s="463" t="s">
        <v>409</v>
      </c>
      <c r="B96" s="470">
        <v>1920</v>
      </c>
      <c r="C96" s="551"/>
      <c r="D96" s="551"/>
      <c r="E96" s="479"/>
      <c r="F96" s="478"/>
      <c r="G96" s="478"/>
      <c r="H96" s="478">
        <v>48276</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39977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840559</v>
      </c>
      <c r="D107" s="466">
        <v>162</v>
      </c>
      <c r="E107" s="466"/>
      <c r="F107" s="466">
        <v>1201</v>
      </c>
      <c r="G107" s="466"/>
      <c r="H107" s="466"/>
      <c r="I107" s="466"/>
      <c r="J107" s="467"/>
      <c r="K107" s="466"/>
    </row>
    <row r="108" spans="1:12" ht="12.75" customHeight="1" thickBot="1" x14ac:dyDescent="0.25">
      <c r="A108" s="1730" t="s">
        <v>508</v>
      </c>
      <c r="B108" s="1734"/>
      <c r="C108" s="1729">
        <f>SUM(C95:C107)</f>
        <v>840559</v>
      </c>
      <c r="D108" s="1729">
        <f t="shared" ref="D108:K108" si="3">SUM(D95:D107)</f>
        <v>15992</v>
      </c>
      <c r="E108" s="1729">
        <f t="shared" si="3"/>
        <v>0</v>
      </c>
      <c r="F108" s="1729">
        <f t="shared" si="3"/>
        <v>1201</v>
      </c>
      <c r="G108" s="1729">
        <f t="shared" si="3"/>
        <v>0</v>
      </c>
      <c r="H108" s="1729">
        <f t="shared" si="3"/>
        <v>48276</v>
      </c>
      <c r="I108" s="1729">
        <f t="shared" si="3"/>
        <v>0</v>
      </c>
      <c r="J108" s="1729">
        <f t="shared" si="3"/>
        <v>39977</v>
      </c>
      <c r="K108" s="1710">
        <f t="shared" si="3"/>
        <v>0</v>
      </c>
    </row>
    <row r="109" spans="1:12" ht="14.25" thickTop="1" thickBot="1" x14ac:dyDescent="0.25">
      <c r="A109" s="1735" t="s">
        <v>266</v>
      </c>
      <c r="B109" s="1736" t="s">
        <v>591</v>
      </c>
      <c r="C109" s="1737">
        <f t="shared" ref="C109:K109" si="4">SUM(C12,C18,C40,C63,C67,C75,C82,C93,C108,)</f>
        <v>34073338</v>
      </c>
      <c r="D109" s="1737">
        <f t="shared" si="4"/>
        <v>4525626</v>
      </c>
      <c r="E109" s="1737">
        <f t="shared" si="4"/>
        <v>11403988</v>
      </c>
      <c r="F109" s="1737">
        <f t="shared" si="4"/>
        <v>1729695</v>
      </c>
      <c r="G109" s="1737">
        <f t="shared" si="4"/>
        <v>2191857</v>
      </c>
      <c r="H109" s="1737">
        <f t="shared" si="4"/>
        <v>56831</v>
      </c>
      <c r="I109" s="1737">
        <f t="shared" si="4"/>
        <v>220610</v>
      </c>
      <c r="J109" s="1737">
        <f t="shared" si="4"/>
        <v>860291</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10471051</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10471051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899204</v>
      </c>
      <c r="D124" s="561"/>
      <c r="E124" s="468"/>
      <c r="F124" s="548"/>
      <c r="G124" s="468"/>
      <c r="H124" s="468"/>
      <c r="I124" s="468"/>
      <c r="J124" s="468"/>
      <c r="K124" s="468"/>
    </row>
    <row r="125" spans="1:11" ht="12.75" customHeight="1" x14ac:dyDescent="0.2">
      <c r="A125" s="463" t="s">
        <v>1521</v>
      </c>
      <c r="B125" s="562">
        <v>3105</v>
      </c>
      <c r="C125" s="466">
        <v>306192</v>
      </c>
      <c r="D125" s="561"/>
      <c r="E125" s="468"/>
      <c r="F125" s="466"/>
      <c r="G125" s="468"/>
      <c r="H125" s="468"/>
      <c r="I125" s="468"/>
      <c r="J125" s="468"/>
      <c r="K125" s="468"/>
    </row>
    <row r="126" spans="1:11" ht="12.75" customHeight="1" x14ac:dyDescent="0.2">
      <c r="A126" s="463" t="s">
        <v>922</v>
      </c>
      <c r="B126" s="562">
        <v>3110</v>
      </c>
      <c r="C126" s="551">
        <v>412306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11754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1629456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49525</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49525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234867</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234867</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10162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31870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1686371</v>
      </c>
      <c r="G151" s="467"/>
      <c r="H151" s="468"/>
      <c r="I151" s="468"/>
      <c r="J151" s="468"/>
      <c r="K151" s="468"/>
    </row>
    <row r="152" spans="1:11" ht="12.75" customHeight="1" x14ac:dyDescent="0.2">
      <c r="A152" s="463" t="s">
        <v>1117</v>
      </c>
      <c r="B152" s="562">
        <v>3510</v>
      </c>
      <c r="C152" s="551"/>
      <c r="D152" s="466"/>
      <c r="E152" s="561"/>
      <c r="F152" s="466">
        <v>2500051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4186422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384877</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6397</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2347154</v>
      </c>
      <c r="D172" s="1744">
        <f t="shared" si="6"/>
        <v>0</v>
      </c>
      <c r="E172" s="1744">
        <f t="shared" si="6"/>
        <v>0</v>
      </c>
      <c r="F172" s="1744">
        <f t="shared" si="6"/>
        <v>4186422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12818205</v>
      </c>
      <c r="D173" s="1737">
        <f>SUM(D121,D172)</f>
        <v>0</v>
      </c>
      <c r="E173" s="1737">
        <f>SUM(E121,E172)</f>
        <v>0</v>
      </c>
      <c r="F173" s="1737">
        <f t="shared" ref="F173:K173" si="7">SUM(F121,F172)</f>
        <v>4186422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575657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115855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691512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554954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554954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19102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19102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513037</v>
      </c>
      <c r="D220" s="466"/>
      <c r="E220" s="468"/>
      <c r="F220" s="466"/>
      <c r="G220" s="466"/>
      <c r="H220" s="468"/>
      <c r="I220" s="468"/>
      <c r="J220" s="468"/>
      <c r="K220" s="468"/>
    </row>
    <row r="221" spans="1:11" ht="12.75" customHeight="1" x14ac:dyDescent="0.2">
      <c r="A221" s="463" t="s">
        <v>1114</v>
      </c>
      <c r="B221" s="470">
        <v>4625</v>
      </c>
      <c r="C221" s="551">
        <v>993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514030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23844</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23844</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6283</v>
      </c>
      <c r="D263" s="468"/>
      <c r="E263" s="468"/>
      <c r="F263" s="578"/>
      <c r="G263" s="573"/>
      <c r="H263" s="468"/>
      <c r="I263" s="468"/>
      <c r="J263" s="468"/>
      <c r="K263" s="468"/>
    </row>
    <row r="264" spans="1:11" ht="12.75" customHeight="1" thickTop="1" thickBot="1" x14ac:dyDescent="0.25">
      <c r="A264" s="463" t="s">
        <v>1532</v>
      </c>
      <c r="B264" s="470">
        <v>4909</v>
      </c>
      <c r="C264" s="576">
        <v>51606</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110713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82861</v>
      </c>
      <c r="D270" s="576"/>
      <c r="E270" s="468"/>
      <c r="F270" s="576"/>
      <c r="G270" s="576"/>
      <c r="H270" s="468"/>
      <c r="I270" s="468"/>
      <c r="J270" s="468"/>
      <c r="K270" s="468"/>
    </row>
    <row r="271" spans="1:11" ht="12.75" customHeight="1" thickTop="1" thickBot="1" x14ac:dyDescent="0.25">
      <c r="A271" s="463" t="s">
        <v>395</v>
      </c>
      <c r="B271" s="470">
        <v>4992</v>
      </c>
      <c r="C271" s="575">
        <v>179328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2234233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2234233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49125776</v>
      </c>
      <c r="D275" s="1737">
        <f t="shared" si="12"/>
        <v>4525626</v>
      </c>
      <c r="E275" s="1737">
        <f t="shared" si="12"/>
        <v>11403988</v>
      </c>
      <c r="F275" s="1737">
        <f t="shared" si="12"/>
        <v>5916117</v>
      </c>
      <c r="G275" s="1737">
        <f t="shared" si="12"/>
        <v>2191857</v>
      </c>
      <c r="H275" s="1737">
        <f t="shared" si="12"/>
        <v>56831</v>
      </c>
      <c r="I275" s="1737">
        <f t="shared" si="12"/>
        <v>220610</v>
      </c>
      <c r="J275" s="1737">
        <f t="shared" si="12"/>
        <v>860291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5" activePane="bottomLeft" state="frozen"/>
      <selection activeCell="H12" sqref="H12"/>
      <selection pane="bottomLeft" activeCell="E92" sqref="E9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14290924</v>
      </c>
      <c r="D5" s="466">
        <v>1830302</v>
      </c>
      <c r="E5" s="466">
        <v>110221</v>
      </c>
      <c r="F5" s="466">
        <v>298193</v>
      </c>
      <c r="G5" s="466"/>
      <c r="H5" s="466">
        <v>9000</v>
      </c>
      <c r="I5" s="467"/>
      <c r="J5" s="467"/>
      <c r="K5" s="1693">
        <f>SUM(C5:J5)</f>
        <v>16538640</v>
      </c>
      <c r="L5" s="466">
        <v>16988944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4573765</v>
      </c>
      <c r="D8" s="466">
        <v>863246</v>
      </c>
      <c r="E8" s="466">
        <v>434697</v>
      </c>
      <c r="F8" s="466">
        <v>644396</v>
      </c>
      <c r="G8" s="466">
        <v>233483</v>
      </c>
      <c r="H8" s="466">
        <v>6980</v>
      </c>
      <c r="I8" s="467">
        <v>8834</v>
      </c>
      <c r="J8" s="467"/>
      <c r="K8" s="1693">
        <f t="shared" si="0"/>
        <v>6765401</v>
      </c>
      <c r="L8" s="466">
        <v>6424190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749217</v>
      </c>
      <c r="D10" s="466">
        <v>74313</v>
      </c>
      <c r="E10" s="466">
        <v>83388</v>
      </c>
      <c r="F10" s="466">
        <v>176799</v>
      </c>
      <c r="G10" s="466"/>
      <c r="H10" s="466"/>
      <c r="I10" s="467">
        <v>84150</v>
      </c>
      <c r="J10" s="467"/>
      <c r="K10" s="1693">
        <f t="shared" si="0"/>
        <v>1167867</v>
      </c>
      <c r="L10" s="466">
        <v>1266541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8614</v>
      </c>
      <c r="F13" s="466">
        <v>9186</v>
      </c>
      <c r="G13" s="466">
        <v>1238</v>
      </c>
      <c r="H13" s="466"/>
      <c r="I13" s="467">
        <v>23873</v>
      </c>
      <c r="J13" s="467"/>
      <c r="K13" s="1693">
        <f t="shared" si="0"/>
        <v>42911</v>
      </c>
      <c r="L13" s="466">
        <v>49362</v>
      </c>
    </row>
    <row r="14" spans="1:14" x14ac:dyDescent="0.2">
      <c r="A14" s="1526" t="s">
        <v>1020</v>
      </c>
      <c r="B14" s="615">
        <v>1500</v>
      </c>
      <c r="C14" s="466">
        <v>1026956</v>
      </c>
      <c r="D14" s="466">
        <v>77470</v>
      </c>
      <c r="E14" s="466">
        <v>80843</v>
      </c>
      <c r="F14" s="466"/>
      <c r="G14" s="466"/>
      <c r="H14" s="466">
        <v>28522</v>
      </c>
      <c r="I14" s="467"/>
      <c r="J14" s="467"/>
      <c r="K14" s="1693">
        <f t="shared" si="0"/>
        <v>1213791</v>
      </c>
      <c r="L14" s="466">
        <v>1232028</v>
      </c>
    </row>
    <row r="15" spans="1:14" x14ac:dyDescent="0.2">
      <c r="A15" s="1526" t="s">
        <v>1021</v>
      </c>
      <c r="B15" s="615">
        <v>1600</v>
      </c>
      <c r="C15" s="466">
        <v>128778</v>
      </c>
      <c r="D15" s="466"/>
      <c r="E15" s="466">
        <v>3975</v>
      </c>
      <c r="F15" s="466"/>
      <c r="G15" s="466"/>
      <c r="H15" s="466"/>
      <c r="I15" s="467"/>
      <c r="J15" s="467"/>
      <c r="K15" s="1693">
        <f t="shared" si="0"/>
        <v>132753</v>
      </c>
      <c r="L15" s="466">
        <v>152466</v>
      </c>
    </row>
    <row r="16" spans="1:14" x14ac:dyDescent="0.2">
      <c r="A16" s="1526" t="s">
        <v>1044</v>
      </c>
      <c r="B16" s="615" t="s">
        <v>444</v>
      </c>
      <c r="C16" s="466">
        <v>282821</v>
      </c>
      <c r="D16" s="466">
        <v>25465</v>
      </c>
      <c r="E16" s="466"/>
      <c r="F16" s="466"/>
      <c r="G16" s="466"/>
      <c r="H16" s="466"/>
      <c r="I16" s="467"/>
      <c r="J16" s="467"/>
      <c r="K16" s="1693">
        <f t="shared" si="0"/>
        <v>308286</v>
      </c>
      <c r="L16" s="466">
        <v>303266</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1554686</v>
      </c>
      <c r="D18" s="466">
        <v>277410</v>
      </c>
      <c r="E18" s="466">
        <v>57327</v>
      </c>
      <c r="F18" s="466">
        <v>37405</v>
      </c>
      <c r="G18" s="466"/>
      <c r="H18" s="466"/>
      <c r="I18" s="467"/>
      <c r="J18" s="467"/>
      <c r="K18" s="1693">
        <f t="shared" si="0"/>
        <v>1926828</v>
      </c>
      <c r="L18" s="466">
        <v>1910217</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22607147</v>
      </c>
      <c r="D33" s="1692">
        <f t="shared" ref="D33:L33" si="1">SUM(D5:D32)</f>
        <v>3148206</v>
      </c>
      <c r="E33" s="1692">
        <f t="shared" si="1"/>
        <v>779065</v>
      </c>
      <c r="F33" s="1692">
        <f t="shared" si="1"/>
        <v>1165979</v>
      </c>
      <c r="G33" s="1692">
        <f t="shared" si="1"/>
        <v>234721</v>
      </c>
      <c r="H33" s="1692">
        <f t="shared" si="1"/>
        <v>44502</v>
      </c>
      <c r="I33" s="1692">
        <f t="shared" si="1"/>
        <v>116857</v>
      </c>
      <c r="J33" s="1692">
        <f t="shared" si="1"/>
        <v>0</v>
      </c>
      <c r="K33" s="1692">
        <f t="shared" si="1"/>
        <v>28096477</v>
      </c>
      <c r="L33" s="1692">
        <f t="shared" si="1"/>
        <v>28327014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596575</v>
      </c>
      <c r="D36" s="481">
        <v>67905</v>
      </c>
      <c r="E36" s="481"/>
      <c r="F36" s="481">
        <v>1319</v>
      </c>
      <c r="G36" s="481"/>
      <c r="H36" s="481"/>
      <c r="I36" s="467"/>
      <c r="J36" s="467"/>
      <c r="K36" s="1693">
        <f t="shared" ref="K36:K41" si="2">SUM(C36:J36)</f>
        <v>665799</v>
      </c>
      <c r="L36" s="466">
        <v>670544</v>
      </c>
    </row>
    <row r="37" spans="1:14" x14ac:dyDescent="0.2">
      <c r="A37" s="1526" t="s">
        <v>1151</v>
      </c>
      <c r="B37" s="615">
        <v>2120</v>
      </c>
      <c r="C37" s="466">
        <v>559871</v>
      </c>
      <c r="D37" s="466">
        <v>58912</v>
      </c>
      <c r="E37" s="466"/>
      <c r="F37" s="466">
        <v>3437</v>
      </c>
      <c r="G37" s="466"/>
      <c r="H37" s="466"/>
      <c r="I37" s="467"/>
      <c r="J37" s="467"/>
      <c r="K37" s="1693">
        <f t="shared" si="2"/>
        <v>622220</v>
      </c>
      <c r="L37" s="466">
        <v>631630</v>
      </c>
    </row>
    <row r="38" spans="1:14" x14ac:dyDescent="0.2">
      <c r="A38" s="1526" t="s">
        <v>207</v>
      </c>
      <c r="B38" s="615">
        <v>2130</v>
      </c>
      <c r="C38" s="466">
        <v>247660</v>
      </c>
      <c r="D38" s="466">
        <v>48883</v>
      </c>
      <c r="E38" s="466"/>
      <c r="F38" s="466">
        <v>5254</v>
      </c>
      <c r="G38" s="466"/>
      <c r="H38" s="466"/>
      <c r="I38" s="467"/>
      <c r="J38" s="467"/>
      <c r="K38" s="1693">
        <f t="shared" si="2"/>
        <v>301797</v>
      </c>
      <c r="L38" s="466">
        <v>316231</v>
      </c>
    </row>
    <row r="39" spans="1:14" x14ac:dyDescent="0.2">
      <c r="A39" s="1526" t="s">
        <v>208</v>
      </c>
      <c r="B39" s="615">
        <v>2140</v>
      </c>
      <c r="C39" s="466">
        <v>494589</v>
      </c>
      <c r="D39" s="466">
        <v>57961</v>
      </c>
      <c r="E39" s="466"/>
      <c r="F39" s="466">
        <v>6442</v>
      </c>
      <c r="G39" s="466"/>
      <c r="H39" s="466"/>
      <c r="I39" s="467"/>
      <c r="J39" s="467"/>
      <c r="K39" s="1693">
        <f t="shared" si="2"/>
        <v>558992</v>
      </c>
      <c r="L39" s="466">
        <v>565246</v>
      </c>
    </row>
    <row r="40" spans="1:14" x14ac:dyDescent="0.2">
      <c r="A40" s="1526" t="s">
        <v>209</v>
      </c>
      <c r="B40" s="615">
        <v>2150</v>
      </c>
      <c r="C40" s="466">
        <v>534806</v>
      </c>
      <c r="D40" s="466">
        <v>61354</v>
      </c>
      <c r="E40" s="466"/>
      <c r="F40" s="466">
        <v>3546</v>
      </c>
      <c r="G40" s="466"/>
      <c r="H40" s="466"/>
      <c r="I40" s="467"/>
      <c r="J40" s="467"/>
      <c r="K40" s="1693">
        <f t="shared" si="2"/>
        <v>599706</v>
      </c>
      <c r="L40" s="466">
        <v>631520</v>
      </c>
    </row>
    <row r="41" spans="1:14" x14ac:dyDescent="0.2">
      <c r="A41" s="1526" t="s">
        <v>1768</v>
      </c>
      <c r="B41" s="615">
        <v>2190</v>
      </c>
      <c r="C41" s="466">
        <v>773660</v>
      </c>
      <c r="D41" s="466">
        <v>31782</v>
      </c>
      <c r="E41" s="466">
        <v>572756</v>
      </c>
      <c r="F41" s="466">
        <v>610108</v>
      </c>
      <c r="G41" s="466">
        <v>52324</v>
      </c>
      <c r="H41" s="466">
        <v>12665</v>
      </c>
      <c r="I41" s="467">
        <v>37439</v>
      </c>
      <c r="J41" s="467"/>
      <c r="K41" s="1693">
        <f t="shared" si="2"/>
        <v>2090734</v>
      </c>
      <c r="L41" s="466">
        <v>2185674</v>
      </c>
    </row>
    <row r="42" spans="1:14" ht="12.75" customHeight="1" thickBot="1" x14ac:dyDescent="0.25">
      <c r="A42" s="1690" t="s">
        <v>581</v>
      </c>
      <c r="B42" s="1691" t="s">
        <v>740</v>
      </c>
      <c r="C42" s="1692">
        <f>SUM(C36:C41)</f>
        <v>3207161</v>
      </c>
      <c r="D42" s="1692">
        <f t="shared" ref="D42:L42" si="3">SUM(D36:D41)</f>
        <v>326797</v>
      </c>
      <c r="E42" s="1692">
        <f t="shared" si="3"/>
        <v>572756</v>
      </c>
      <c r="F42" s="1692">
        <f t="shared" si="3"/>
        <v>630106</v>
      </c>
      <c r="G42" s="1692">
        <f t="shared" si="3"/>
        <v>52324</v>
      </c>
      <c r="H42" s="1692">
        <f t="shared" si="3"/>
        <v>12665</v>
      </c>
      <c r="I42" s="1692">
        <f t="shared" si="3"/>
        <v>37439</v>
      </c>
      <c r="J42" s="1692">
        <f t="shared" si="3"/>
        <v>0</v>
      </c>
      <c r="K42" s="1692">
        <f t="shared" si="3"/>
        <v>4839248</v>
      </c>
      <c r="L42" s="1692">
        <f t="shared" si="3"/>
        <v>5000845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1188218</v>
      </c>
      <c r="D44" s="481">
        <v>664827</v>
      </c>
      <c r="E44" s="481">
        <v>122042</v>
      </c>
      <c r="F44" s="481">
        <v>581635</v>
      </c>
      <c r="G44" s="481">
        <v>2249</v>
      </c>
      <c r="H44" s="481">
        <v>5001</v>
      </c>
      <c r="I44" s="467"/>
      <c r="J44" s="467"/>
      <c r="K44" s="1694">
        <f>SUM(C44:J44)</f>
        <v>2563972</v>
      </c>
      <c r="L44" s="481">
        <v>2760165</v>
      </c>
    </row>
    <row r="45" spans="1:14" x14ac:dyDescent="0.2">
      <c r="A45" s="1526" t="s">
        <v>869</v>
      </c>
      <c r="B45" s="615">
        <v>2220</v>
      </c>
      <c r="C45" s="466">
        <v>674059</v>
      </c>
      <c r="D45" s="466">
        <v>148531</v>
      </c>
      <c r="E45" s="466">
        <v>3106</v>
      </c>
      <c r="F45" s="466">
        <v>39301</v>
      </c>
      <c r="G45" s="466"/>
      <c r="H45" s="466"/>
      <c r="I45" s="467"/>
      <c r="J45" s="467"/>
      <c r="K45" s="1694">
        <f>SUM(C45:J45)</f>
        <v>864997</v>
      </c>
      <c r="L45" s="466">
        <v>875210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1862277</v>
      </c>
      <c r="D47" s="1692">
        <f t="shared" ref="D47:K47" si="4">SUM(D44:D46)</f>
        <v>813358</v>
      </c>
      <c r="E47" s="1692">
        <f t="shared" si="4"/>
        <v>125148</v>
      </c>
      <c r="F47" s="1692">
        <f t="shared" si="4"/>
        <v>620936</v>
      </c>
      <c r="G47" s="1692">
        <f t="shared" si="4"/>
        <v>2249</v>
      </c>
      <c r="H47" s="1692">
        <f t="shared" si="4"/>
        <v>5001</v>
      </c>
      <c r="I47" s="1692">
        <f t="shared" si="4"/>
        <v>0</v>
      </c>
      <c r="J47" s="1692">
        <f t="shared" si="4"/>
        <v>0</v>
      </c>
      <c r="K47" s="1692">
        <f t="shared" si="4"/>
        <v>3428969</v>
      </c>
      <c r="L47" s="1692">
        <f>SUM(L44:L46)</f>
        <v>3635375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631461</v>
      </c>
      <c r="F49" s="481">
        <v>11491</v>
      </c>
      <c r="G49" s="481"/>
      <c r="H49" s="481"/>
      <c r="I49" s="467"/>
      <c r="J49" s="467"/>
      <c r="K49" s="1694">
        <f>SUM(C49:J49)</f>
        <v>642952</v>
      </c>
      <c r="L49" s="481">
        <v>310455</v>
      </c>
    </row>
    <row r="50" spans="1:14" x14ac:dyDescent="0.2">
      <c r="A50" s="1526" t="s">
        <v>872</v>
      </c>
      <c r="B50" s="615">
        <v>2320</v>
      </c>
      <c r="C50" s="466">
        <v>385261</v>
      </c>
      <c r="D50" s="466">
        <v>34841</v>
      </c>
      <c r="E50" s="466">
        <v>2610</v>
      </c>
      <c r="F50" s="466"/>
      <c r="G50" s="466"/>
      <c r="H50" s="466">
        <v>2274</v>
      </c>
      <c r="I50" s="467"/>
      <c r="J50" s="467"/>
      <c r="K50" s="1694">
        <f>SUM(C50:J50)</f>
        <v>424986</v>
      </c>
      <c r="L50" s="466">
        <v>429527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385261</v>
      </c>
      <c r="D53" s="1692">
        <f t="shared" ref="D53:L53" si="5">SUM(D49:D52)</f>
        <v>34841</v>
      </c>
      <c r="E53" s="1692">
        <f t="shared" si="5"/>
        <v>634071</v>
      </c>
      <c r="F53" s="1692">
        <f t="shared" si="5"/>
        <v>11491</v>
      </c>
      <c r="G53" s="1692">
        <f t="shared" si="5"/>
        <v>0</v>
      </c>
      <c r="H53" s="1692">
        <f t="shared" si="5"/>
        <v>2274</v>
      </c>
      <c r="I53" s="1692">
        <f t="shared" si="5"/>
        <v>0</v>
      </c>
      <c r="J53" s="1692">
        <f t="shared" si="5"/>
        <v>0</v>
      </c>
      <c r="K53" s="1692">
        <f t="shared" si="5"/>
        <v>1067938</v>
      </c>
      <c r="L53" s="1692">
        <f t="shared" si="5"/>
        <v>739982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2263420</v>
      </c>
      <c r="D55" s="481">
        <v>350515</v>
      </c>
      <c r="E55" s="481">
        <v>9845</v>
      </c>
      <c r="F55" s="481">
        <v>51850</v>
      </c>
      <c r="G55" s="481"/>
      <c r="H55" s="481">
        <v>23945</v>
      </c>
      <c r="I55" s="467"/>
      <c r="J55" s="467"/>
      <c r="K55" s="1694">
        <f>SUM(C55:J55)</f>
        <v>2699575</v>
      </c>
      <c r="L55" s="481">
        <v>2715389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2263420</v>
      </c>
      <c r="D57" s="1696">
        <f t="shared" ref="D57:K57" si="6">SUM(D55:D56)</f>
        <v>350515</v>
      </c>
      <c r="E57" s="1696">
        <f t="shared" si="6"/>
        <v>9845</v>
      </c>
      <c r="F57" s="1696">
        <f t="shared" si="6"/>
        <v>51850</v>
      </c>
      <c r="G57" s="1696">
        <f t="shared" si="6"/>
        <v>0</v>
      </c>
      <c r="H57" s="1696">
        <f t="shared" si="6"/>
        <v>23945</v>
      </c>
      <c r="I57" s="1696">
        <f t="shared" si="6"/>
        <v>0</v>
      </c>
      <c r="J57" s="1696">
        <f t="shared" si="6"/>
        <v>0</v>
      </c>
      <c r="K57" s="1696">
        <f t="shared" si="6"/>
        <v>2699575</v>
      </c>
      <c r="L57" s="1692">
        <f>SUM(L55:L56)</f>
        <v>2715389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445301</v>
      </c>
      <c r="D59" s="481">
        <v>43195</v>
      </c>
      <c r="E59" s="481">
        <v>5800</v>
      </c>
      <c r="F59" s="481"/>
      <c r="G59" s="481"/>
      <c r="H59" s="481">
        <v>1309</v>
      </c>
      <c r="I59" s="467"/>
      <c r="J59" s="467"/>
      <c r="K59" s="1694">
        <f t="shared" ref="K59:K64" si="7">SUM(C59:J59)</f>
        <v>495605</v>
      </c>
      <c r="L59" s="481">
        <v>481828</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878820</v>
      </c>
      <c r="F63" s="466">
        <v>6833</v>
      </c>
      <c r="G63" s="466">
        <v>7408</v>
      </c>
      <c r="H63" s="466">
        <v>1752</v>
      </c>
      <c r="I63" s="467"/>
      <c r="J63" s="467"/>
      <c r="K63" s="1694">
        <f t="shared" si="7"/>
        <v>894813</v>
      </c>
      <c r="L63" s="466">
        <v>1054825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445301</v>
      </c>
      <c r="D65" s="1692">
        <f t="shared" ref="D65:L65" si="8">SUM(D59:D64)</f>
        <v>43195</v>
      </c>
      <c r="E65" s="1692">
        <f t="shared" si="8"/>
        <v>884620</v>
      </c>
      <c r="F65" s="1692">
        <f t="shared" si="8"/>
        <v>6833</v>
      </c>
      <c r="G65" s="1692">
        <f t="shared" si="8"/>
        <v>7408</v>
      </c>
      <c r="H65" s="1692">
        <f t="shared" si="8"/>
        <v>3061</v>
      </c>
      <c r="I65" s="1692">
        <f t="shared" si="8"/>
        <v>0</v>
      </c>
      <c r="J65" s="1692">
        <f t="shared" si="8"/>
        <v>0</v>
      </c>
      <c r="K65" s="1692">
        <f t="shared" si="8"/>
        <v>1390418</v>
      </c>
      <c r="L65" s="1692">
        <f t="shared" si="8"/>
        <v>1536653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143591</v>
      </c>
      <c r="D70" s="466">
        <v>9323</v>
      </c>
      <c r="E70" s="466">
        <v>2188</v>
      </c>
      <c r="F70" s="466"/>
      <c r="G70" s="466"/>
      <c r="H70" s="466">
        <v>1597</v>
      </c>
      <c r="I70" s="467"/>
      <c r="J70" s="467"/>
      <c r="K70" s="1694">
        <f>SUM(C70:J70)</f>
        <v>156699</v>
      </c>
      <c r="L70" s="466">
        <v>160554</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143591</v>
      </c>
      <c r="D72" s="1692">
        <f t="shared" ref="D72:K72" si="9">SUM(D67:D71)</f>
        <v>9323</v>
      </c>
      <c r="E72" s="1692">
        <f t="shared" si="9"/>
        <v>2188</v>
      </c>
      <c r="F72" s="1692">
        <f t="shared" si="9"/>
        <v>0</v>
      </c>
      <c r="G72" s="1692">
        <f t="shared" si="9"/>
        <v>0</v>
      </c>
      <c r="H72" s="1692">
        <f t="shared" si="9"/>
        <v>1597</v>
      </c>
      <c r="I72" s="1692">
        <f t="shared" si="9"/>
        <v>0</v>
      </c>
      <c r="J72" s="1692">
        <f t="shared" si="9"/>
        <v>0</v>
      </c>
      <c r="K72" s="1692">
        <f t="shared" si="9"/>
        <v>156699</v>
      </c>
      <c r="L72" s="1692">
        <f>SUM(L67:L71)</f>
        <v>160554</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8307011</v>
      </c>
      <c r="D74" s="1699">
        <f t="shared" ref="D74:K74" si="10">SUM(D42,D47,D53,D57,D65,D72,D73)</f>
        <v>1578029</v>
      </c>
      <c r="E74" s="1699">
        <f t="shared" si="10"/>
        <v>2228628</v>
      </c>
      <c r="F74" s="1699">
        <f t="shared" si="10"/>
        <v>1321216</v>
      </c>
      <c r="G74" s="1699">
        <f t="shared" si="10"/>
        <v>61981</v>
      </c>
      <c r="H74" s="1699">
        <f t="shared" si="10"/>
        <v>48543</v>
      </c>
      <c r="I74" s="1699">
        <f t="shared" si="10"/>
        <v>37439</v>
      </c>
      <c r="J74" s="1699">
        <f t="shared" si="10"/>
        <v>0</v>
      </c>
      <c r="K74" s="1699">
        <f t="shared" si="10"/>
        <v>13582847</v>
      </c>
      <c r="L74" s="1699">
        <f>SUM(L42,L47,L53,L57,L65,L72,L73)</f>
        <v>13788798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410908</v>
      </c>
      <c r="I85" s="477"/>
      <c r="J85" s="477"/>
      <c r="K85" s="1699">
        <f>H85</f>
        <v>410908</v>
      </c>
      <c r="L85" s="530">
        <v>382128</v>
      </c>
    </row>
    <row r="86" spans="1:12" ht="12.75" customHeight="1" thickTop="1" thickBot="1" x14ac:dyDescent="0.25">
      <c r="A86" s="1534" t="s">
        <v>723</v>
      </c>
      <c r="B86" s="638">
        <v>4220</v>
      </c>
      <c r="C86" s="617"/>
      <c r="D86" s="617"/>
      <c r="E86" s="639"/>
      <c r="F86" s="617"/>
      <c r="G86" s="617"/>
      <c r="H86" s="467">
        <v>4365947</v>
      </c>
      <c r="I86" s="477"/>
      <c r="J86" s="477"/>
      <c r="K86" s="1699">
        <f t="shared" ref="K86:K98" si="12">H86</f>
        <v>4365947</v>
      </c>
      <c r="L86" s="530">
        <v>4503584</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4776855</v>
      </c>
      <c r="I92" s="477"/>
      <c r="J92" s="477"/>
      <c r="K92" s="1699">
        <f t="shared" si="12"/>
        <v>4776855</v>
      </c>
      <c r="L92" s="1692">
        <f>SUM(L85:L91)</f>
        <v>4885712</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4776855</v>
      </c>
      <c r="I102" s="477"/>
      <c r="J102" s="477"/>
      <c r="K102" s="1699">
        <f>SUM(K84,K92,K100,K101)</f>
        <v>4776855</v>
      </c>
      <c r="L102" s="1699">
        <f>SUM(L84,L92,L100,L101)</f>
        <v>4885712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30914158</v>
      </c>
      <c r="D114" s="1692">
        <f t="shared" ref="D114:K114" si="13">SUM(D33,D74,D75,D102,D112,D113)</f>
        <v>4726235</v>
      </c>
      <c r="E114" s="1692">
        <f t="shared" si="13"/>
        <v>3007693</v>
      </c>
      <c r="F114" s="1692">
        <f t="shared" si="13"/>
        <v>2487195</v>
      </c>
      <c r="G114" s="1692">
        <f t="shared" si="13"/>
        <v>296702</v>
      </c>
      <c r="H114" s="1692">
        <f>SUM(H33,H74,H75,H102,H112,H113)</f>
        <v>4869900</v>
      </c>
      <c r="I114" s="1692">
        <f t="shared" si="13"/>
        <v>154296</v>
      </c>
      <c r="J114" s="1692">
        <f t="shared" si="13"/>
        <v>0</v>
      </c>
      <c r="K114" s="1692">
        <f t="shared" si="13"/>
        <v>46456179</v>
      </c>
      <c r="L114" s="1692">
        <f>SUM(L33,L74,L75,L102,L112,L113)</f>
        <v>47001524</v>
      </c>
    </row>
    <row r="115" spans="1:14" ht="13.5" thickTop="1" x14ac:dyDescent="0.2">
      <c r="A115" s="2199" t="s">
        <v>1053</v>
      </c>
      <c r="B115" s="2200"/>
      <c r="C115" s="619"/>
      <c r="D115" s="619"/>
      <c r="E115" s="619"/>
      <c r="F115" s="619"/>
      <c r="G115" s="619"/>
      <c r="H115" s="619"/>
      <c r="I115" s="619"/>
      <c r="J115" s="619"/>
      <c r="K115" s="1706">
        <f>'Revenues 9-14'!C275-'Expenditures 15-22'!K114</f>
        <v>2669597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2039056</v>
      </c>
      <c r="D124" s="466">
        <v>355342</v>
      </c>
      <c r="E124" s="466">
        <v>1546061</v>
      </c>
      <c r="F124" s="466">
        <v>393532</v>
      </c>
      <c r="G124" s="466">
        <v>18551</v>
      </c>
      <c r="H124" s="466">
        <v>80657</v>
      </c>
      <c r="I124" s="467"/>
      <c r="J124" s="467"/>
      <c r="K124" s="1692">
        <f>SUM(C124:J124)</f>
        <v>4433199</v>
      </c>
      <c r="L124" s="466">
        <v>4584944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2039056</v>
      </c>
      <c r="D127" s="1692">
        <f t="shared" ref="D127:L127" si="14">SUM(D122:D126)</f>
        <v>355342</v>
      </c>
      <c r="E127" s="1692">
        <f t="shared" si="14"/>
        <v>1546061</v>
      </c>
      <c r="F127" s="1692">
        <f t="shared" si="14"/>
        <v>393532</v>
      </c>
      <c r="G127" s="1692">
        <f t="shared" si="14"/>
        <v>18551</v>
      </c>
      <c r="H127" s="1692">
        <f t="shared" si="14"/>
        <v>80657</v>
      </c>
      <c r="I127" s="1692">
        <f t="shared" si="14"/>
        <v>0</v>
      </c>
      <c r="J127" s="1692">
        <f t="shared" si="14"/>
        <v>0</v>
      </c>
      <c r="K127" s="1692">
        <f t="shared" si="14"/>
        <v>4433199</v>
      </c>
      <c r="L127" s="1692">
        <f t="shared" si="14"/>
        <v>4584944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2039056</v>
      </c>
      <c r="D129" s="1699">
        <f t="shared" ref="D129:L129" si="15">SUM(D120,D127,D128)</f>
        <v>355342</v>
      </c>
      <c r="E129" s="1699">
        <f t="shared" si="15"/>
        <v>1546061</v>
      </c>
      <c r="F129" s="1699">
        <f t="shared" si="15"/>
        <v>393532</v>
      </c>
      <c r="G129" s="1699">
        <f t="shared" si="15"/>
        <v>18551</v>
      </c>
      <c r="H129" s="1699">
        <f t="shared" si="15"/>
        <v>80657</v>
      </c>
      <c r="I129" s="1699">
        <f t="shared" si="15"/>
        <v>0</v>
      </c>
      <c r="J129" s="1699">
        <f t="shared" si="15"/>
        <v>0</v>
      </c>
      <c r="K129" s="1699">
        <f t="shared" si="15"/>
        <v>4433199</v>
      </c>
      <c r="L129" s="1699">
        <f t="shared" si="15"/>
        <v>4584944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2039056</v>
      </c>
      <c r="D151" s="1692">
        <f t="shared" ref="D151:K151" si="16">SUM(D129,D130,D139,D149,D150)</f>
        <v>355342</v>
      </c>
      <c r="E151" s="1692">
        <f t="shared" si="16"/>
        <v>1546061</v>
      </c>
      <c r="F151" s="1692">
        <f t="shared" si="16"/>
        <v>393532</v>
      </c>
      <c r="G151" s="1692">
        <f t="shared" si="16"/>
        <v>18551</v>
      </c>
      <c r="H151" s="1692">
        <f t="shared" si="16"/>
        <v>80657</v>
      </c>
      <c r="I151" s="1692">
        <f t="shared" si="16"/>
        <v>0</v>
      </c>
      <c r="J151" s="1692">
        <f t="shared" si="16"/>
        <v>0</v>
      </c>
      <c r="K151" s="1692">
        <f t="shared" si="16"/>
        <v>4433199</v>
      </c>
      <c r="L151" s="1692">
        <f>SUM(L129,L130,L139,L149,L150)</f>
        <v>4584944</v>
      </c>
    </row>
    <row r="152" spans="1:14" ht="12.75" customHeight="1" thickTop="1" x14ac:dyDescent="0.2">
      <c r="A152" s="2192" t="s">
        <v>1240</v>
      </c>
      <c r="B152" s="2193"/>
      <c r="C152" s="619"/>
      <c r="D152" s="619"/>
      <c r="E152" s="619"/>
      <c r="F152" s="619"/>
      <c r="G152" s="619"/>
      <c r="H152" s="619"/>
      <c r="I152" s="619"/>
      <c r="J152" s="617"/>
      <c r="K152" s="1706">
        <f>'Revenues 9-14'!D275-'Expenditures 15-22'!K151</f>
        <v>92427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v>95572</v>
      </c>
      <c r="I158" s="617"/>
      <c r="J158" s="617"/>
      <c r="K158" s="1693">
        <f>H158</f>
        <v>95572</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95572</v>
      </c>
      <c r="I160" s="617"/>
      <c r="J160" s="617"/>
      <c r="K160" s="1692">
        <f>SUM(K157:K159)</f>
        <v>95572</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3318125</v>
      </c>
      <c r="I169" s="617"/>
      <c r="J169" s="617"/>
      <c r="K169" s="1693">
        <f>SUM(C169:H169)</f>
        <v>3318125</v>
      </c>
      <c r="L169" s="657">
        <v>3358173</v>
      </c>
    </row>
    <row r="170" spans="1:14" ht="33.75" customHeight="1" x14ac:dyDescent="0.2">
      <c r="A170" s="670" t="s">
        <v>1769</v>
      </c>
      <c r="B170" s="672" t="s">
        <v>31</v>
      </c>
      <c r="C170" s="617"/>
      <c r="D170" s="617"/>
      <c r="E170" s="617"/>
      <c r="F170" s="617"/>
      <c r="G170" s="617"/>
      <c r="H170" s="569">
        <v>7345000</v>
      </c>
      <c r="I170" s="617"/>
      <c r="J170" s="617"/>
      <c r="K170" s="1693">
        <f>SUM(C170:J170)</f>
        <v>7345000</v>
      </c>
      <c r="L170" s="569">
        <v>7401951</v>
      </c>
    </row>
    <row r="171" spans="1:14" ht="15.75" customHeight="1" x14ac:dyDescent="0.2">
      <c r="A171" s="622" t="s">
        <v>790</v>
      </c>
      <c r="B171" s="673" t="s">
        <v>86</v>
      </c>
      <c r="C171" s="617"/>
      <c r="D171" s="617"/>
      <c r="E171" s="466"/>
      <c r="F171" s="617"/>
      <c r="G171" s="617"/>
      <c r="H171" s="569">
        <v>2335</v>
      </c>
      <c r="I171" s="477"/>
      <c r="J171" s="617"/>
      <c r="K171" s="1693">
        <f>SUM(C171:J171)</f>
        <v>2335</v>
      </c>
      <c r="L171" s="569">
        <v>3000</v>
      </c>
    </row>
    <row r="172" spans="1:14" ht="12.75" customHeight="1" thickBot="1" x14ac:dyDescent="0.25">
      <c r="A172" s="1690" t="s">
        <v>659</v>
      </c>
      <c r="B172" s="1691" t="s">
        <v>513</v>
      </c>
      <c r="C172" s="617"/>
      <c r="D172" s="617"/>
      <c r="E172" s="1699">
        <f>SUM(E168,E169,E170,E171)</f>
        <v>0</v>
      </c>
      <c r="F172" s="617"/>
      <c r="G172" s="617"/>
      <c r="H172" s="1699">
        <f>SUM(H168,H169,H170,H171)</f>
        <v>10665460</v>
      </c>
      <c r="I172" s="639"/>
      <c r="J172" s="617"/>
      <c r="K172" s="1699">
        <f>SUM(K168,K169,K170,K171)</f>
        <v>10665460</v>
      </c>
      <c r="L172" s="1699">
        <f>SUM(L168,L169,L170,L171)</f>
        <v>10763124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10761032</v>
      </c>
      <c r="I174" s="639"/>
      <c r="J174" s="617"/>
      <c r="K174" s="1699">
        <f>SUM(K160,K172,K173)</f>
        <v>10761032</v>
      </c>
      <c r="L174" s="1699">
        <f>SUM(L160,L172,L173)</f>
        <v>10763124</v>
      </c>
    </row>
    <row r="175" spans="1:14" ht="13.5" thickTop="1" x14ac:dyDescent="0.2">
      <c r="A175" s="2199" t="s">
        <v>1053</v>
      </c>
      <c r="B175" s="2200"/>
      <c r="C175" s="617"/>
      <c r="D175" s="617"/>
      <c r="E175" s="617"/>
      <c r="F175" s="617"/>
      <c r="G175" s="617"/>
      <c r="H175" s="619"/>
      <c r="I175" s="617"/>
      <c r="J175" s="617"/>
      <c r="K175" s="1706">
        <f>'Revenues 9-14'!E275-'Expenditures 15-22'!K174</f>
        <v>642956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2403539</v>
      </c>
      <c r="D182" s="466">
        <v>484945</v>
      </c>
      <c r="E182" s="466">
        <v>772367</v>
      </c>
      <c r="F182" s="466">
        <v>441590</v>
      </c>
      <c r="G182" s="466">
        <v>651200</v>
      </c>
      <c r="H182" s="466">
        <v>3607</v>
      </c>
      <c r="I182" s="467"/>
      <c r="J182" s="467"/>
      <c r="K182" s="1693">
        <f>SUM(C182:J182)</f>
        <v>4757248</v>
      </c>
      <c r="L182" s="466">
        <v>4741282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2403539</v>
      </c>
      <c r="D184" s="1699">
        <f t="shared" ref="D184:J184" si="17">SUM(D180,D182,D183)</f>
        <v>484945</v>
      </c>
      <c r="E184" s="1699">
        <f t="shared" si="17"/>
        <v>772367</v>
      </c>
      <c r="F184" s="1699">
        <f t="shared" si="17"/>
        <v>441590</v>
      </c>
      <c r="G184" s="1699">
        <f t="shared" si="17"/>
        <v>651200</v>
      </c>
      <c r="H184" s="1699">
        <f t="shared" si="17"/>
        <v>3607</v>
      </c>
      <c r="I184" s="1699">
        <f t="shared" si="17"/>
        <v>0</v>
      </c>
      <c r="J184" s="1699">
        <f t="shared" si="17"/>
        <v>0</v>
      </c>
      <c r="K184" s="1699">
        <f>SUM(K180,K182,K183)</f>
        <v>4757248</v>
      </c>
      <c r="L184" s="1699">
        <f>SUM(L180, L182:L183)</f>
        <v>4741282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49025</v>
      </c>
      <c r="I205" s="617"/>
      <c r="J205" s="617"/>
      <c r="K205" s="1707">
        <f>SUM(H205)</f>
        <v>49025</v>
      </c>
      <c r="L205" s="535"/>
    </row>
    <row r="206" spans="1:14" ht="30" customHeight="1" x14ac:dyDescent="0.2">
      <c r="A206" s="682" t="s">
        <v>1770</v>
      </c>
      <c r="B206" s="673" t="s">
        <v>31</v>
      </c>
      <c r="C206" s="617"/>
      <c r="D206" s="617"/>
      <c r="E206" s="617"/>
      <c r="F206" s="617"/>
      <c r="G206" s="617"/>
      <c r="H206" s="466">
        <v>669338</v>
      </c>
      <c r="I206" s="617"/>
      <c r="J206" s="617"/>
      <c r="K206" s="1693">
        <f>SUM(H206)</f>
        <v>669338</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718363</v>
      </c>
      <c r="I208" s="617"/>
      <c r="J208" s="617"/>
      <c r="K208" s="1699">
        <f>SUM(K204,K205,K206,K207)</f>
        <v>718363</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2403539</v>
      </c>
      <c r="D210" s="1692">
        <f>SUM(D184,D185)</f>
        <v>484945</v>
      </c>
      <c r="E210" s="1692">
        <f>SUM(E184,E185,E196)</f>
        <v>772367</v>
      </c>
      <c r="F210" s="1692">
        <f>SUM(F184,F185)</f>
        <v>441590</v>
      </c>
      <c r="G210" s="1692">
        <f>SUM(G184,G185)</f>
        <v>651200</v>
      </c>
      <c r="H210" s="1692">
        <f>SUM(H184,H185,H196,H208,H209)</f>
        <v>721970</v>
      </c>
      <c r="I210" s="1692">
        <f>SUM(I184,I185)</f>
        <v>0</v>
      </c>
      <c r="J210" s="1692">
        <f>SUM(J184,J185)</f>
        <v>0</v>
      </c>
      <c r="K210" s="1693">
        <f>SUM(K184,K185,K196,K208,K209)</f>
        <v>5475611</v>
      </c>
      <c r="L210" s="1692">
        <f>SUM(L184,L185,L196,L208,L209)</f>
        <v>4741282</v>
      </c>
    </row>
    <row r="211" spans="1:14" ht="13.5" thickTop="1" x14ac:dyDescent="0.2">
      <c r="A211" s="2199" t="s">
        <v>1053</v>
      </c>
      <c r="B211" s="2200"/>
      <c r="C211" s="619"/>
      <c r="D211" s="619"/>
      <c r="E211" s="619"/>
      <c r="F211" s="619"/>
      <c r="G211" s="619"/>
      <c r="H211" s="619"/>
      <c r="I211" s="617"/>
      <c r="J211" s="617"/>
      <c r="K211" s="1706">
        <f>'Revenues 9-14'!F275-'Expenditures 15-22'!K210</f>
        <v>440506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227747</v>
      </c>
      <c r="E215" s="617"/>
      <c r="F215" s="617"/>
      <c r="G215" s="617"/>
      <c r="H215" s="617"/>
      <c r="I215" s="617"/>
      <c r="J215" s="617"/>
      <c r="K215" s="1693">
        <f>D215</f>
        <v>227747</v>
      </c>
      <c r="L215" s="466">
        <v>222000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306018</v>
      </c>
      <c r="E217" s="617"/>
      <c r="F217" s="617"/>
      <c r="G217" s="617"/>
      <c r="H217" s="617"/>
      <c r="I217" s="617"/>
      <c r="J217" s="617"/>
      <c r="K217" s="1693">
        <f t="shared" si="19"/>
        <v>306018</v>
      </c>
      <c r="L217" s="466">
        <v>292100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9839</v>
      </c>
      <c r="E219" s="617"/>
      <c r="F219" s="617"/>
      <c r="G219" s="617"/>
      <c r="H219" s="617"/>
      <c r="I219" s="617"/>
      <c r="J219" s="617"/>
      <c r="K219" s="1693">
        <f t="shared" si="19"/>
        <v>9839</v>
      </c>
      <c r="L219" s="466">
        <v>9000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39945</v>
      </c>
      <c r="E223" s="617"/>
      <c r="F223" s="617"/>
      <c r="G223" s="617"/>
      <c r="H223" s="617"/>
      <c r="I223" s="617"/>
      <c r="J223" s="617"/>
      <c r="K223" s="1693">
        <f t="shared" si="19"/>
        <v>39945</v>
      </c>
      <c r="L223" s="466">
        <v>41000</v>
      </c>
    </row>
    <row r="224" spans="1:14" x14ac:dyDescent="0.2">
      <c r="A224" s="1526" t="s">
        <v>1021</v>
      </c>
      <c r="B224" s="615">
        <v>1600</v>
      </c>
      <c r="C224" s="617"/>
      <c r="D224" s="466">
        <v>5905</v>
      </c>
      <c r="E224" s="617"/>
      <c r="F224" s="617"/>
      <c r="G224" s="617"/>
      <c r="H224" s="617"/>
      <c r="I224" s="617"/>
      <c r="J224" s="617"/>
      <c r="K224" s="1693">
        <f t="shared" si="19"/>
        <v>5905</v>
      </c>
      <c r="L224" s="466">
        <v>6800</v>
      </c>
    </row>
    <row r="225" spans="1:12" x14ac:dyDescent="0.2">
      <c r="A225" s="1526" t="s">
        <v>1044</v>
      </c>
      <c r="B225" s="615">
        <v>1650</v>
      </c>
      <c r="C225" s="617"/>
      <c r="D225" s="466">
        <v>4384</v>
      </c>
      <c r="E225" s="617"/>
      <c r="F225" s="617"/>
      <c r="G225" s="617"/>
      <c r="H225" s="617"/>
      <c r="I225" s="617"/>
      <c r="J225" s="617"/>
      <c r="K225" s="1693">
        <f t="shared" si="19"/>
        <v>4384</v>
      </c>
      <c r="L225" s="466">
        <v>4300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75714</v>
      </c>
      <c r="E227" s="617"/>
      <c r="F227" s="617"/>
      <c r="G227" s="617"/>
      <c r="H227" s="617"/>
      <c r="I227" s="617"/>
      <c r="J227" s="617"/>
      <c r="K227" s="1693">
        <f t="shared" si="19"/>
        <v>75714</v>
      </c>
      <c r="L227" s="466">
        <v>71000</v>
      </c>
    </row>
    <row r="228" spans="1:12" x14ac:dyDescent="0.2">
      <c r="A228" s="1526" t="s">
        <v>1149</v>
      </c>
      <c r="B228" s="615">
        <v>1900</v>
      </c>
      <c r="C228" s="617"/>
      <c r="D228" s="466"/>
      <c r="E228" s="617"/>
      <c r="F228" s="617"/>
      <c r="G228" s="617"/>
      <c r="H228" s="617"/>
      <c r="I228" s="617"/>
      <c r="J228" s="617"/>
      <c r="K228" s="1693">
        <f t="shared" si="19"/>
        <v>0</v>
      </c>
      <c r="L228" s="466">
        <v>1000</v>
      </c>
    </row>
    <row r="229" spans="1:12" ht="12.75" customHeight="1" thickBot="1" x14ac:dyDescent="0.25">
      <c r="A229" s="1690" t="s">
        <v>739</v>
      </c>
      <c r="B229" s="1697" t="s">
        <v>591</v>
      </c>
      <c r="C229" s="617"/>
      <c r="D229" s="1692">
        <f>SUM(D215:D228)</f>
        <v>669552</v>
      </c>
      <c r="E229" s="617"/>
      <c r="F229" s="617"/>
      <c r="G229" s="617"/>
      <c r="H229" s="617"/>
      <c r="I229" s="617"/>
      <c r="J229" s="617"/>
      <c r="K229" s="1692">
        <f>SUM(K215:K228)</f>
        <v>669552</v>
      </c>
      <c r="L229" s="1692">
        <f>SUM(L215:L228)</f>
        <v>647200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8963</v>
      </c>
      <c r="E232" s="617"/>
      <c r="F232" s="617"/>
      <c r="G232" s="617"/>
      <c r="H232" s="617"/>
      <c r="I232" s="617"/>
      <c r="J232" s="617"/>
      <c r="K232" s="1693">
        <f t="shared" ref="K232:K237" si="20">D232</f>
        <v>8963</v>
      </c>
      <c r="L232" s="466">
        <v>10000</v>
      </c>
    </row>
    <row r="233" spans="1:12" x14ac:dyDescent="0.2">
      <c r="A233" s="1526" t="s">
        <v>1151</v>
      </c>
      <c r="B233" s="615">
        <v>2120</v>
      </c>
      <c r="C233" s="617"/>
      <c r="D233" s="466">
        <v>15358</v>
      </c>
      <c r="E233" s="617"/>
      <c r="F233" s="617"/>
      <c r="G233" s="617"/>
      <c r="H233" s="617"/>
      <c r="I233" s="617"/>
      <c r="J233" s="617"/>
      <c r="K233" s="1693">
        <f t="shared" si="20"/>
        <v>15358</v>
      </c>
      <c r="L233" s="466">
        <v>15500</v>
      </c>
    </row>
    <row r="234" spans="1:12" x14ac:dyDescent="0.2">
      <c r="A234" s="1526" t="s">
        <v>207</v>
      </c>
      <c r="B234" s="615">
        <v>2130</v>
      </c>
      <c r="C234" s="617"/>
      <c r="D234" s="466">
        <v>53228</v>
      </c>
      <c r="E234" s="617"/>
      <c r="F234" s="617"/>
      <c r="G234" s="617"/>
      <c r="H234" s="617"/>
      <c r="I234" s="617"/>
      <c r="J234" s="617"/>
      <c r="K234" s="1693">
        <f t="shared" si="20"/>
        <v>53228</v>
      </c>
      <c r="L234" s="466">
        <v>56900</v>
      </c>
    </row>
    <row r="235" spans="1:12" x14ac:dyDescent="0.2">
      <c r="A235" s="1526" t="s">
        <v>208</v>
      </c>
      <c r="B235" s="615">
        <v>2140</v>
      </c>
      <c r="C235" s="617"/>
      <c r="D235" s="466">
        <v>7879</v>
      </c>
      <c r="E235" s="617"/>
      <c r="F235" s="617"/>
      <c r="G235" s="617"/>
      <c r="H235" s="617"/>
      <c r="I235" s="617"/>
      <c r="J235" s="617"/>
      <c r="K235" s="1693">
        <f t="shared" si="20"/>
        <v>7879</v>
      </c>
      <c r="L235" s="466">
        <v>9500</v>
      </c>
    </row>
    <row r="236" spans="1:12" x14ac:dyDescent="0.2">
      <c r="A236" s="1526" t="s">
        <v>209</v>
      </c>
      <c r="B236" s="615">
        <v>2150</v>
      </c>
      <c r="C236" s="617"/>
      <c r="D236" s="466">
        <v>8503</v>
      </c>
      <c r="E236" s="617"/>
      <c r="F236" s="617"/>
      <c r="G236" s="617"/>
      <c r="H236" s="617"/>
      <c r="I236" s="617"/>
      <c r="J236" s="617"/>
      <c r="K236" s="1693">
        <f t="shared" si="20"/>
        <v>8503</v>
      </c>
      <c r="L236" s="466">
        <v>8500</v>
      </c>
    </row>
    <row r="237" spans="1:12" x14ac:dyDescent="0.2">
      <c r="A237" s="1526" t="s">
        <v>167</v>
      </c>
      <c r="B237" s="615">
        <v>2190</v>
      </c>
      <c r="C237" s="617"/>
      <c r="D237" s="466">
        <v>69217</v>
      </c>
      <c r="E237" s="617"/>
      <c r="F237" s="617"/>
      <c r="G237" s="617"/>
      <c r="H237" s="617"/>
      <c r="I237" s="617"/>
      <c r="J237" s="617"/>
      <c r="K237" s="1693">
        <f t="shared" si="20"/>
        <v>69217</v>
      </c>
      <c r="L237" s="466">
        <v>80000</v>
      </c>
    </row>
    <row r="238" spans="1:12" ht="12.75" customHeight="1" thickBot="1" x14ac:dyDescent="0.25">
      <c r="A238" s="1690" t="s">
        <v>581</v>
      </c>
      <c r="B238" s="1697" t="s">
        <v>740</v>
      </c>
      <c r="C238" s="617"/>
      <c r="D238" s="1692">
        <f>SUM(D232:D237)</f>
        <v>163148</v>
      </c>
      <c r="E238" s="617"/>
      <c r="F238" s="617"/>
      <c r="G238" s="617"/>
      <c r="H238" s="617"/>
      <c r="I238" s="617"/>
      <c r="J238" s="617"/>
      <c r="K238" s="1692">
        <f>SUM(K232:K237)</f>
        <v>163148</v>
      </c>
      <c r="L238" s="1692">
        <f>SUM(L232:L237)</f>
        <v>180400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38051</v>
      </c>
      <c r="E240" s="617"/>
      <c r="F240" s="617"/>
      <c r="G240" s="617"/>
      <c r="H240" s="617"/>
      <c r="I240" s="617"/>
      <c r="J240" s="617"/>
      <c r="K240" s="1694">
        <f>D240</f>
        <v>38051</v>
      </c>
      <c r="L240" s="481">
        <v>38000</v>
      </c>
    </row>
    <row r="241" spans="1:12" x14ac:dyDescent="0.2">
      <c r="A241" s="1526" t="s">
        <v>869</v>
      </c>
      <c r="B241" s="615">
        <v>2220</v>
      </c>
      <c r="C241" s="617"/>
      <c r="D241" s="466">
        <v>70173</v>
      </c>
      <c r="E241" s="617"/>
      <c r="F241" s="617"/>
      <c r="G241" s="617"/>
      <c r="H241" s="617"/>
      <c r="I241" s="617"/>
      <c r="J241" s="617"/>
      <c r="K241" s="1694">
        <f>D241</f>
        <v>70173</v>
      </c>
      <c r="L241" s="466">
        <v>72000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108224</v>
      </c>
      <c r="E243" s="617"/>
      <c r="F243" s="617"/>
      <c r="G243" s="617"/>
      <c r="H243" s="617"/>
      <c r="I243" s="617"/>
      <c r="J243" s="617"/>
      <c r="K243" s="1692">
        <f>SUM(K240:K242)</f>
        <v>108224</v>
      </c>
      <c r="L243" s="1692">
        <f>SUM(L240:L242)</f>
        <v>110000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36830</v>
      </c>
      <c r="E246" s="617"/>
      <c r="F246" s="617"/>
      <c r="G246" s="617"/>
      <c r="H246" s="617"/>
      <c r="I246" s="617"/>
      <c r="J246" s="617"/>
      <c r="K246" s="1694">
        <f t="shared" ref="K246:K256" si="21">D246</f>
        <v>36830</v>
      </c>
      <c r="L246" s="466">
        <v>37500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36830</v>
      </c>
      <c r="E257" s="617"/>
      <c r="F257" s="617"/>
      <c r="G257" s="617"/>
      <c r="H257" s="617"/>
      <c r="I257" s="617"/>
      <c r="J257" s="617"/>
      <c r="K257" s="1692">
        <f>SUM(K245:K256)</f>
        <v>36830</v>
      </c>
      <c r="L257" s="1692">
        <f>SUM(L245:L256)</f>
        <v>37500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194121</v>
      </c>
      <c r="E259" s="617"/>
      <c r="F259" s="617"/>
      <c r="G259" s="617"/>
      <c r="H259" s="617"/>
      <c r="I259" s="617"/>
      <c r="J259" s="617"/>
      <c r="K259" s="1694">
        <f>D259</f>
        <v>194121</v>
      </c>
      <c r="L259" s="481">
        <v>188500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194121</v>
      </c>
      <c r="E261" s="617"/>
      <c r="F261" s="617"/>
      <c r="G261" s="617"/>
      <c r="H261" s="617"/>
      <c r="I261" s="617"/>
      <c r="J261" s="617"/>
      <c r="K261" s="1692">
        <f>SUM(K259:K260)</f>
        <v>194121</v>
      </c>
      <c r="L261" s="1692">
        <f>SUM(L259:L260)</f>
        <v>188500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51371</v>
      </c>
      <c r="E263" s="617"/>
      <c r="F263" s="617"/>
      <c r="G263" s="617"/>
      <c r="H263" s="617"/>
      <c r="I263" s="617"/>
      <c r="J263" s="617"/>
      <c r="K263" s="1694">
        <f>D263</f>
        <v>51371</v>
      </c>
      <c r="L263" s="481">
        <v>50000</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432655</v>
      </c>
      <c r="E266" s="617"/>
      <c r="F266" s="617"/>
      <c r="G266" s="617"/>
      <c r="H266" s="617"/>
      <c r="I266" s="617"/>
      <c r="J266" s="617"/>
      <c r="K266" s="1694">
        <f t="shared" si="22"/>
        <v>432655</v>
      </c>
      <c r="L266" s="466">
        <v>432500</v>
      </c>
    </row>
    <row r="267" spans="1:14" x14ac:dyDescent="0.2">
      <c r="A267" s="1526" t="s">
        <v>1010</v>
      </c>
      <c r="B267" s="615">
        <v>2550</v>
      </c>
      <c r="C267" s="617"/>
      <c r="D267" s="466">
        <v>545221</v>
      </c>
      <c r="E267" s="617"/>
      <c r="F267" s="617"/>
      <c r="G267" s="617"/>
      <c r="H267" s="617"/>
      <c r="I267" s="617"/>
      <c r="J267" s="617"/>
      <c r="K267" s="1694">
        <f t="shared" si="22"/>
        <v>545221</v>
      </c>
      <c r="L267" s="466">
        <v>531173</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1029247</v>
      </c>
      <c r="E270" s="617"/>
      <c r="F270" s="617"/>
      <c r="G270" s="617"/>
      <c r="H270" s="617"/>
      <c r="I270" s="617"/>
      <c r="J270" s="617"/>
      <c r="K270" s="1692">
        <f>SUM(K263:K269)</f>
        <v>1029247</v>
      </c>
      <c r="L270" s="1692">
        <f>SUM(L263:L269)</f>
        <v>1013673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v>1964</v>
      </c>
      <c r="E275" s="617"/>
      <c r="F275" s="617"/>
      <c r="G275" s="617"/>
      <c r="H275" s="617"/>
      <c r="I275" s="617"/>
      <c r="J275" s="617"/>
      <c r="K275" s="1694">
        <f>D275</f>
        <v>1964</v>
      </c>
      <c r="L275" s="466">
        <v>1950</v>
      </c>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1964</v>
      </c>
      <c r="E277" s="617"/>
      <c r="F277" s="617"/>
      <c r="G277" s="617"/>
      <c r="H277" s="617"/>
      <c r="I277" s="617"/>
      <c r="J277" s="617"/>
      <c r="K277" s="1692">
        <f>SUM(K272:K276)</f>
        <v>1964</v>
      </c>
      <c r="L277" s="1692">
        <f>SUM(L272:L276)</f>
        <v>1950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1533534</v>
      </c>
      <c r="E279" s="617"/>
      <c r="F279" s="617"/>
      <c r="G279" s="617"/>
      <c r="H279" s="617"/>
      <c r="I279" s="617"/>
      <c r="J279" s="617"/>
      <c r="K279" s="1699">
        <f>SUM(K238,K243,K257,K261,K270,K277,K278)</f>
        <v>1533534</v>
      </c>
      <c r="L279" s="1699">
        <f>SUM(L238,L243,L257,L261,L270,L277,L278)</f>
        <v>1532023</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2203086</v>
      </c>
      <c r="E295" s="617"/>
      <c r="F295" s="617"/>
      <c r="G295" s="617"/>
      <c r="H295" s="1692">
        <f>H293</f>
        <v>0</v>
      </c>
      <c r="I295" s="617"/>
      <c r="J295" s="617"/>
      <c r="K295" s="1692">
        <f>SUM(K229,K279,K280,K285,K293,K294)</f>
        <v>2203086</v>
      </c>
      <c r="L295" s="1692">
        <f>SUM(L229,L279,L280,L285,L293,L294)</f>
        <v>2179223</v>
      </c>
    </row>
    <row r="296" spans="1:14" ht="13.5" thickTop="1" x14ac:dyDescent="0.2">
      <c r="A296" s="2199" t="s">
        <v>1053</v>
      </c>
      <c r="B296" s="2200"/>
      <c r="C296" s="617"/>
      <c r="D296" s="619"/>
      <c r="E296" s="617"/>
      <c r="F296" s="617"/>
      <c r="G296" s="617"/>
      <c r="H296" s="688"/>
      <c r="I296" s="617"/>
      <c r="J296" s="617"/>
      <c r="K296" s="1706">
        <f>'Revenues 9-14'!G275-'Expenditures 15-22'!K295</f>
        <v>-11229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27203</v>
      </c>
      <c r="F301" s="466">
        <v>6336</v>
      </c>
      <c r="G301" s="466">
        <v>1371252</v>
      </c>
      <c r="H301" s="466"/>
      <c r="I301" s="467"/>
      <c r="J301" s="467"/>
      <c r="K301" s="1693">
        <f>SUM(C301:J301)</f>
        <v>1404791</v>
      </c>
      <c r="L301" s="467">
        <v>1513808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27203</v>
      </c>
      <c r="F303" s="1699">
        <f t="shared" si="23"/>
        <v>6336</v>
      </c>
      <c r="G303" s="1699">
        <f t="shared" si="23"/>
        <v>1371252</v>
      </c>
      <c r="H303" s="1699">
        <f t="shared" si="23"/>
        <v>0</v>
      </c>
      <c r="I303" s="1699">
        <f t="shared" si="23"/>
        <v>0</v>
      </c>
      <c r="J303" s="1699">
        <f t="shared" si="23"/>
        <v>0</v>
      </c>
      <c r="K303" s="1699">
        <f t="shared" si="23"/>
        <v>1404791</v>
      </c>
      <c r="L303" s="1699">
        <f t="shared" si="23"/>
        <v>1513808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27203</v>
      </c>
      <c r="F312" s="1692">
        <f>SUM(F303)</f>
        <v>6336</v>
      </c>
      <c r="G312" s="1692">
        <f>SUM(G303)</f>
        <v>1371252</v>
      </c>
      <c r="H312" s="1692">
        <f>SUM(H303,H310)</f>
        <v>0</v>
      </c>
      <c r="I312" s="1692">
        <f>SUM(I303)</f>
        <v>0</v>
      </c>
      <c r="J312" s="1692">
        <f>SUM(J303)</f>
        <v>0</v>
      </c>
      <c r="K312" s="1692">
        <f>SUM(K303,K310,K311)</f>
        <v>1404791</v>
      </c>
      <c r="L312" s="1692">
        <f>SUM(L303,L310,L311)</f>
        <v>1513808</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-1347960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457661</v>
      </c>
      <c r="F320" s="467"/>
      <c r="G320" s="467"/>
      <c r="H320" s="467"/>
      <c r="I320" s="467"/>
      <c r="J320" s="467"/>
      <c r="K320" s="1693">
        <f t="shared" ref="K320:K327" si="24">SUM(C320:J320)</f>
        <v>457661</v>
      </c>
      <c r="L320" s="467">
        <v>457661</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30000</v>
      </c>
      <c r="M321" s="666"/>
      <c r="N321" s="666"/>
    </row>
    <row r="322" spans="1:14" s="675" customFormat="1" x14ac:dyDescent="0.2">
      <c r="A322" s="1541" t="s">
        <v>256</v>
      </c>
      <c r="B322" s="698" t="s">
        <v>302</v>
      </c>
      <c r="C322" s="467"/>
      <c r="D322" s="467"/>
      <c r="E322" s="467">
        <f>242877-1568</f>
        <v>241309</v>
      </c>
      <c r="F322" s="467"/>
      <c r="G322" s="467"/>
      <c r="H322" s="467"/>
      <c r="I322" s="467"/>
      <c r="J322" s="467"/>
      <c r="K322" s="1693">
        <f t="shared" si="24"/>
        <v>241309</v>
      </c>
      <c r="L322" s="467">
        <v>255698</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9000</v>
      </c>
      <c r="F327" s="467"/>
      <c r="G327" s="467"/>
      <c r="H327" s="467"/>
      <c r="I327" s="467"/>
      <c r="J327" s="467"/>
      <c r="K327" s="1693">
        <f t="shared" si="24"/>
        <v>9000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707970</v>
      </c>
      <c r="F330" s="1692">
        <f t="shared" si="25"/>
        <v>0</v>
      </c>
      <c r="G330" s="1692">
        <f t="shared" si="25"/>
        <v>0</v>
      </c>
      <c r="H330" s="1692">
        <f t="shared" si="25"/>
        <v>0</v>
      </c>
      <c r="I330" s="1692">
        <f t="shared" si="25"/>
        <v>0</v>
      </c>
      <c r="J330" s="1692">
        <f t="shared" si="25"/>
        <v>0</v>
      </c>
      <c r="K330" s="1692">
        <f>SUM(K319:K329)</f>
        <v>707970</v>
      </c>
      <c r="L330" s="1692">
        <f>SUM(L319:L329)</f>
        <v>743359</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707970</v>
      </c>
      <c r="F342" s="1692">
        <f>SUM(F330)</f>
        <v>0</v>
      </c>
      <c r="G342" s="1692">
        <f>SUM(G330)</f>
        <v>0</v>
      </c>
      <c r="H342" s="1692">
        <f>SUM(H330,H334,H340)</f>
        <v>0</v>
      </c>
      <c r="I342" s="1692">
        <f>SUM(I330)</f>
        <v>0</v>
      </c>
      <c r="J342" s="1692">
        <f>SUM(J330)</f>
        <v>0</v>
      </c>
      <c r="K342" s="1692">
        <f>SUM(K330,K334,K340)</f>
        <v>707970</v>
      </c>
      <c r="L342" s="1699">
        <f>SUM(L330,L340,L341)</f>
        <v>743359</v>
      </c>
    </row>
    <row r="343" spans="1:14" ht="12.75" customHeight="1" thickTop="1" x14ac:dyDescent="0.2">
      <c r="A343" s="2185" t="s">
        <v>1053</v>
      </c>
      <c r="B343" s="2186"/>
      <c r="C343" s="617"/>
      <c r="D343" s="617"/>
      <c r="E343" s="617"/>
      <c r="F343" s="617"/>
      <c r="G343" s="617"/>
      <c r="H343" s="617"/>
      <c r="I343" s="617"/>
      <c r="J343" s="617"/>
      <c r="K343" s="1706">
        <f>'Revenues 9-14'!J275-'Expenditures 15-22'!K342</f>
        <v>152321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elements/1.1/"/>
    <ds:schemaRef ds:uri="d21dc803-237d-4c68-8692-8d731fd29118"/>
    <ds:schemaRef ds:uri="http://schemas.microsoft.com/sharepoint/v3"/>
    <ds:schemaRef ds:uri="6ce3111e-7420-4802-b50a-75d4e9a0b980"/>
    <ds:schemaRef ds:uri="http://schemas.openxmlformats.org/package/2006/metadata/core-properties"/>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2018-10-10T15:00:20Z</cp:lastPrinted>
  <dcterms:created xsi:type="dcterms:W3CDTF">2003-10-29T19:06:34Z</dcterms:created>
  <dcterms:modified xsi:type="dcterms:W3CDTF">2018-12-07T14:51:59Z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vt:lpwstr>
  </property>
  <property fmtid="{D5CDD505-2E9C-101B-9397-08002B2CF9AE}" pid="7" name="tabIndex">
    <vt:lpwstr>150</vt:lpwstr>
  </property>
  <property fmtid="{D5CDD505-2E9C-101B-9397-08002B2CF9AE}" pid="8" name="workpaperIndex">
    <vt:lpwstr>
    </vt:lpwstr>
  </property>
</Properties>
</file>