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E14" i="7" l="1"/>
  <c r="C14" i="7"/>
  <c r="C114" i="2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E22" i="181"/>
  <c r="F22" i="181" s="1"/>
  <c r="G22" i="181" s="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D12" i="171" l="1"/>
  <c r="D285" i="29"/>
  <c r="L285" i="29"/>
  <c r="L357" i="29"/>
  <c r="H357" i="29"/>
  <c r="K356" i="29"/>
  <c r="K357" i="29" s="1"/>
  <c r="K15" i="4" s="1"/>
  <c r="E137" i="29"/>
  <c r="E139" i="29" s="1"/>
  <c r="H137" i="29"/>
  <c r="D17" i="171"/>
  <c r="L137" i="29"/>
  <c r="H5" i="12"/>
  <c r="B7773" i="106"/>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G33" i="108" l="1"/>
  <c r="D36" i="108"/>
  <c r="B7047" i="106"/>
  <c r="D7047" i="106" s="1"/>
  <c r="E35" i="108"/>
  <c r="F26" i="108"/>
  <c r="D26" i="108"/>
  <c r="B1126" i="106"/>
  <c r="D1126" i="106" s="1"/>
  <c r="B2836" i="106"/>
  <c r="D2836" i="106" s="1"/>
  <c r="F49" i="34"/>
  <c r="F27" i="108"/>
  <c r="B6995" i="106"/>
  <c r="D6995" i="106" s="1"/>
  <c r="B7727" i="106"/>
  <c r="D7727" i="106" s="1"/>
  <c r="G30" i="108"/>
  <c r="B7076" i="106"/>
  <c r="D7076" i="106" s="1"/>
  <c r="G14" i="4"/>
  <c r="B2609" i="106" s="1"/>
  <c r="D2609" i="106" s="1"/>
  <c r="F64" i="34"/>
  <c r="D5" i="4"/>
  <c r="B3406" i="106" s="1"/>
  <c r="D3406" i="106" s="1"/>
  <c r="F69" i="34"/>
  <c r="E30" i="108"/>
  <c r="F72" i="34"/>
  <c r="F38" i="34"/>
  <c r="D31" i="108"/>
  <c r="B2805" i="106"/>
  <c r="D2805" i="106" s="1"/>
  <c r="D6103" i="106"/>
  <c r="B1746" i="106"/>
  <c r="D1746"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L5" i="11"/>
  <c r="B2056" i="106" s="1"/>
  <c r="D2056" i="106" s="1"/>
  <c r="L22" i="37"/>
  <c r="D69" i="36"/>
  <c r="L13" i="11"/>
  <c r="B2060" i="106" s="1"/>
  <c r="D2060" i="106" s="1"/>
  <c r="D31" i="36"/>
  <c r="F45" i="34"/>
  <c r="F41" i="34"/>
  <c r="G35" i="108"/>
  <c r="H342" i="29"/>
  <c r="B7221" i="106" s="1"/>
  <c r="D7221"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7235" i="106" l="1"/>
  <c r="D7235" i="106" s="1"/>
  <c r="F66" i="34"/>
  <c r="D7253" i="106"/>
  <c r="B1328" i="106"/>
  <c r="D1328" i="106" s="1"/>
  <c r="D41" i="108"/>
  <c r="E43" i="108" s="1"/>
  <c r="C4" i="4"/>
  <c r="B2551" i="106" s="1"/>
  <c r="D2551" i="106" s="1"/>
  <c r="G6" i="4"/>
  <c r="B2604" i="106" s="1"/>
  <c r="D2604" i="106" s="1"/>
  <c r="F41" i="108"/>
  <c r="G43" i="108" s="1"/>
  <c r="M23" i="3"/>
  <c r="B273" i="106"/>
  <c r="D273" i="106" s="1"/>
  <c r="B5770" i="106"/>
  <c r="D5770" i="106" s="1"/>
  <c r="B1266" i="106"/>
  <c r="D1266" i="106" s="1"/>
  <c r="H77" i="4"/>
  <c r="B3299" i="106" s="1"/>
  <c r="D3299"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7224" i="106"/>
  <c r="D7224" i="106" s="1"/>
  <c r="B279" i="106"/>
  <c r="D279" i="106" s="1"/>
  <c r="J17" i="4"/>
  <c r="J19" i="4" s="1"/>
  <c r="B6229" i="106" s="1"/>
  <c r="D6229" i="106" s="1"/>
  <c r="F24" i="37"/>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6227" i="106" l="1"/>
  <c r="D6227" i="106" s="1"/>
  <c r="J20" i="4"/>
  <c r="B6230" i="106" s="1"/>
  <c r="D6230" i="106" s="1"/>
  <c r="M41" i="3"/>
  <c r="B280" i="106"/>
  <c r="D280" i="106" s="1"/>
  <c r="F8" i="4"/>
  <c r="D8" i="146" s="1"/>
  <c r="D8" i="4"/>
  <c r="D10" i="4" s="1"/>
  <c r="B4123" i="106" s="1"/>
  <c r="D4123" i="10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3575" i="106"/>
  <c r="D3575" i="106" s="1"/>
  <c r="B2568" i="106"/>
  <c r="D2568" i="106" s="1"/>
  <c r="C8" i="146"/>
  <c r="B2595" i="106"/>
  <c r="D2595" i="106" s="1"/>
  <c r="H13" i="118"/>
  <c r="D54" i="36"/>
  <c r="B281" i="106"/>
  <c r="D281" i="106" s="1"/>
  <c r="K19" i="4"/>
  <c r="B4144" i="106" s="1"/>
  <c r="D4144" i="106" s="1"/>
  <c r="D20" i="4"/>
  <c r="D78" i="4" s="1"/>
  <c r="F10" i="4"/>
  <c r="B4125" i="106" s="1"/>
  <c r="D412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l="1"/>
  <c r="J41" i="3" s="1"/>
  <c r="B2574" i="106"/>
  <c r="D2574" i="106" s="1"/>
  <c r="C10" i="146"/>
  <c r="F8" i="146"/>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81" i="4"/>
  <c r="B3239" i="106"/>
  <c r="D3239" i="106" s="1"/>
  <c r="J82" i="4" l="1"/>
  <c r="J83" i="4" s="1"/>
  <c r="B6283" i="106" s="1"/>
  <c r="D6283" i="106" s="1"/>
  <c r="B6266" i="106"/>
  <c r="D6266" i="106" s="1"/>
  <c r="F10" i="146"/>
  <c r="B6215" i="106"/>
  <c r="D6215" i="106" s="1"/>
  <c r="D64" i="36"/>
  <c r="F181" i="34"/>
  <c r="F183" i="34" s="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1644" i="106"/>
  <c r="D1644" i="106" s="1"/>
  <c r="D58" i="36"/>
  <c r="C11" i="146"/>
  <c r="B6274" i="106" l="1"/>
  <c r="D6274" i="106" s="1"/>
  <c r="B189" i="106"/>
  <c r="D189" i="106" s="1"/>
  <c r="G41" i="3"/>
  <c r="N2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<sst xmlns="http://schemas.openxmlformats.org/spreadsheetml/2006/main" count="5137" uniqueCount="2143">
  <si>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</si>
  <si>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</si>
  <si>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</si>
  <si>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</si>
  <si>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</si>
  <si>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</si>
  <si>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</si>
  <si>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</si>
  <si>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</si>
  <si>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</si>
  <si>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</si>
  <si>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</si>
  <si>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</si>
  <si>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</si>
  <si>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</si>
  <si>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</si>
  <si>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</si>
  <si>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</si>
  <si>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</si>
  <si>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</si>
  <si>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</si>
  <si>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</si>
  <si>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</si>
  <si>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</si>
  <si>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</si>
  <si>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</si>
  <si>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</si>
  <si>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</si>
  <si>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</si>
  <si>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</si>
  <si>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</si>
  <si>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</si>
  <si>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</si>
  <si>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</si>
  <si>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</si>
  <si>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</si>
  <si>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</si>
  <si>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</si>
  <si>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</si>
  <si>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</si>
  <si>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</si>
  <si>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</si>
  <si>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</si>
  <si>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</si>
  <si>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</si>
  <si>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</si>
  <si>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</si>
  <si>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</si>
  <si>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</si>
  <si>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</si>
  <si>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</si>
  <si>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</si>
  <si>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</si>
  <si>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</si>
  <si>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</si>
  <si>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</si>
  <si>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</si>
  <si>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</si>
  <si>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</si>
  <si>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</si>
  <si>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</si>
  <si>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</si>
  <si>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</si>
  <si>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</si>
  <si>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</si>
  <si>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</si>
  <si>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</si>
  <si>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</si>
  <si>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</si>
  <si>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</si>
  <si>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</si>
  <si>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</si>
  <si>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</si>
  <si>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</si>
  <si>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</si>
  <si>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</si>
  <si>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</si>
  <si>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</si>
  <si>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</si>
  <si>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</si>
  <si>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</si>
  <si>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</si>
  <si>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</si>
  <si>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</si>
  <si>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</si>
  <si>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</si>
  <si>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</si>
  <si>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</si>
  <si>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</si>
  <si>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</si>
  <si>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</si>
  <si>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</si>
  <si>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</si>
  <si>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</si>
  <si>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</si>
  <si>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</si>
  <si>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</si>
  <si>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</si>
  <si>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</si>
  <si>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</si>
  <si>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</si>
  <si>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</si>
  <si>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</si>
  <si>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</si>
  <si>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</si>
  <si>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</si>
  <si>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</si>
  <si>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</si>
  <si>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</si>
  <si>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</si>
  <si>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</si>
  <si>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</si>
  <si>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</si>
  <si>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</si>
  <si>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</si>
  <si>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</si>
  <si>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</si>
  <si>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</si>
  <si>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</si>
  <si>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</si>
  <si>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</si>
  <si>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</si>
  <si>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</si>
  <si>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</si>
  <si>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</si>
  <si>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</si>
  <si>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</si>
  <si>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</si>
  <si>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</si>
  <si>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</si>
  <si>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</si>
  <si>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</si>
  <si>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</si>
  <si>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</si>
  <si>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</si>
  <si>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</si>
  <si>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</si>
  <si>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</si>
  <si>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</si>
  <si>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</si>
  <si>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</si>
  <si>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</si>
  <si>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</si>
  <si>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</si>
  <si>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</si>
  <si>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</si>
  <si>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</si>
  <si>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</si>
  <si>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</si>
  <si>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</si>
  <si>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</si>
  <si>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</si>
  <si>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</si>
  <si>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</si>
  <si>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</si>
  <si>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</si>
  <si>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</si>
  <si>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</si>
  <si>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</si>
  <si>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</si>
  <si>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</si>
  <si>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</si>
  <si>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</si>
  <si>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</si>
  <si>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</si>
  <si>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</si>
  <si>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</si>
  <si>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</si>
  <si>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</si>
  <si>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</si>
  <si>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</si>
  <si>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</si>
  <si>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</si>
  <si>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</si>
  <si>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</si>
  <si>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</si>
  <si>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</si>
  <si>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</si>
  <si>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</si>
  <si>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</si>
  <si>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</si>
  <si>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</si>
  <si>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</si>
  <si>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</si>
  <si>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</si>
  <si>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</si>
  <si>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</si>
  <si>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</si>
  <si>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</si>
  <si>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</si>
  <si>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</si>
  <si>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</si>
  <si>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</si>
  <si>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</si>
  <si>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</si>
  <si>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</si>
  <si>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</si>
  <si>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</si>
  <si>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</si>
  <si>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</si>
  <si>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</si>
  <si>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</si>
  <si>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</si>
  <si>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</si>
  <si>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</si>
  <si>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</si>
  <si>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</si>
  <si>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</si>
  <si>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</si>
  <si>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</si>
  <si>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</si>
  <si>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</si>
  <si>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</si>
  <si>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</si>
  <si>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</si>
  <si>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</si>
  <si>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</si>
  <si>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</si>
  <si>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</si>
  <si>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</si>
  <si>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</si>
  <si>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</si>
  <si>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</si>
  <si>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</si>
  <si>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</si>
  <si>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</si>
  <si>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</si>
  <si>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</si>
  <si>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</si>
  <si>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</si>
  <si>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</si>
  <si>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</si>
  <si>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</si>
  <si>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</si>
  <si>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</si>
  <si>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</si>
  <si>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</si>
  <si>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</si>
  <si>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</si>
  <si>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</si>
  <si>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</si>
  <si>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</si>
  <si>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</si>
  <si>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</si>
  <si>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</si>
  <si>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</si>
  <si>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</si>
  <si>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</si>
  <si>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</si>
  <si>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</si>
  <si>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</si>
  <si>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</si>
  <si>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</si>
  <si>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</si>
  <si>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</si>
  <si>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</si>
  <si>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</si>
  <si>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</si>
  <si>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</si>
  <si>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</si>
  <si>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</si>
  <si>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</si>
  <si>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</si>
  <si>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</si>
  <si>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</si>
  <si>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</si>
  <si>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</si>
  <si>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</si>
  <si>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</si>
  <si>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</si>
  <si>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</si>
  <si>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</si>
  <si>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</si>
  <si>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</si>
  <si>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</si>
  <si>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</si>
  <si>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</si>
  <si>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</si>
  <si>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</si>
  <si>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</si>
  <si>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</si>
  <si>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</si>
  <si>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</si>
  <si>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</si>
  <si>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</si>
  <si>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</si>
  <si>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</si>
  <si>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</si>
  <si>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</si>
  <si>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</si>
  <si>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</si>
  <si>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</si>
  <si>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</si>
  <si>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</si>
  <si>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</si>
  <si>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</si>
  <si>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</si>
  <si>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</si>
  <si>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</si>
  <si>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</si>
  <si>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</si>
  <si>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</si>
  <si>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</si>
  <si>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</si>
  <si>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</si>
  <si>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</si>
  <si>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</si>
  <si>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</si>
  <si>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</si>
  <si>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</si>
  <si>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</si>
  <si>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</si>
  <si>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</si>
  <si>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</si>
  <si>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</si>
  <si>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</si>
  <si>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</si>
  <si>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</si>
  <si>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</si>
  <si>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</si>
  <si>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</si>
  <si>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</si>
  <si>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</si>
  <si>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</si>
  <si>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</si>
  <si>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</si>
  <si>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</si>
  <si>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</si>
  <si>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</si>
  <si>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</si>
  <si>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</si>
  <si>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</si>
  <si>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</si>
  <si>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</si>
  <si>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</si>
  <si>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</si>
  <si>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</si>
  <si>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</si>
  <si>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</si>
  <si>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</si>
  <si>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</si>
  <si>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</si>
  <si>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</si>
  <si>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</si>
  <si>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</si>
  <si>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</si>
  <si>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</si>
  <si>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</si>
  <si>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</si>
  <si>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</si>
  <si>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</si>
  <si>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</si>
  <si>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</si>
  <si>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</si>
  <si>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</si>
  <si>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</si>
  <si>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</si>
  <si>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</si>
  <si>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</si>
  <si>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</si>
  <si>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</si>
  <si>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</si>
  <si>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</si>
  <si>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</si>
  <si>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</si>
  <si>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</si>
  <si>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</si>
  <si>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</si>
  <si>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</si>
  <si>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</si>
  <si>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</si>
  <si>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</si>
  <si>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</si>
  <si>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</si>
  <si>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</si>
  <si>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</si>
  <si>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</si>
  <si>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</si>
  <si>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</si>
  <si>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</si>
  <si>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</si>
  <si>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</si>
  <si>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</si>
  <si>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</si>
  <si>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</si>
  <si>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</si>
  <si>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</si>
  <si>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</si>
  <si>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</si>
  <si>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</si>
  <si>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</si>
  <si>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</si>
  <si>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</si>
  <si>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</si>
  <si>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</si>
  <si>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</si>
  <si>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</si>
  <si>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</si>
  <si>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</si>
  <si>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</si>
  <si>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</si>
  <si>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</si>
  <si>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</si>
  <si>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</si>
  <si>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</si>
  <si>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</si>
  <si>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</si>
  <si>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</si>
  <si>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</si>
  <si>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</si>
  <si>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</si>
  <si>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</si>
  <si>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</si>
  <si>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</si>
  <si>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</si>
  <si>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</si>
  <si>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</si>
  <si>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</si>
  <si>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</si>
  <si>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</si>
  <si>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</si>
  <si>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</si>
  <si>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</si>
  <si>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</si>
  <si>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</si>
  <si>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</si>
  <si>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</si>
  <si>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</si>
  <si>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</si>
  <si>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</si>
  <si>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</si>
  <si>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</si>
  <si>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</si>
  <si>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</si>
  <si>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</si>
  <si>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</si>
  <si>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</si>
  <si>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</si>
  <si>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</si>
  <si>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</si>
  <si>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</si>
  <si>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</si>
  <si>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</si>
  <si>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</si>
  <si>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</si>
  <si>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</si>
  <si>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</si>
  <si>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</si>
  <si>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</si>
  <si>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</si>
  <si>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</si>
  <si>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</si>
  <si>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</si>
  <si>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</si>
  <si>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</si>
  <si>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</si>
  <si>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</si>
  <si>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</si>
  <si>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</si>
  <si>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</si>
  <si>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</si>
  <si>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</si>
  <si>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</si>
  <si>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</si>
  <si>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</si>
  <si>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</si>
  <si>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</si>
  <si>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</si>
  <si>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</si>
  <si>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</si>
  <si>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</si>
  <si>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</si>
  <si>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</si>
  <si>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</si>
  <si>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</si>
  <si>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</si>
  <si>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</si>
  <si>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</si>
  <si>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</si>
  <si>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</si>
  <si>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</si>
  <si>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</si>
  <si>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</si>
  <si>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</si>
  <si>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</si>
  <si>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</si>
  <si>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</si>
  <si>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</si>
  <si>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</si>
  <si>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</si>
  <si>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</si>
  <si>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</si>
  <si>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</si>
  <si>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</si>
  <si>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</si>
  <si>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</si>
  <si>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</si>
  <si>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</si>
  <si>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</si>
  <si>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</si>
  <si>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</si>
  <si>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</si>
  <si>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</si>
  <si>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</si>
  <si>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</si>
  <si>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</si>
  <si>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</si>
  <si>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</si>
  <si>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</si>
  <si>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</si>
  <si>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</si>
  <si>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</si>
  <si>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</si>
  <si>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</si>
  <si>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</si>
  <si>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</si>
  <si>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</si>
  <si>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</si>
  <si>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</si>
  <si>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</si>
  <si>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</si>
  <si>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</si>
  <si>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</si>
  <si>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</si>
  <si>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</si>
  <si>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</si>
  <si>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</si>
  <si>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</si>
  <si>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</si>
  <si>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</si>
  <si>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</si>
  <si>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</si>
  <si>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</si>
  <si>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</si>
  <si>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</si>
  <si>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</si>
  <si>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</si>
  <si>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</si>
  <si>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</si>
  <si>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</si>
  <si>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</si>
  <si>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</si>
  <si>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</si>
  <si>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</si>
  <si>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</si>
  <si>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</si>
  <si>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</si>
  <si>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</si>
  <si>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</si>
  <si>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</si>
  <si>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</si>
  <si>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</si>
  <si>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</si>
  <si>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</si>
  <si>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</si>
  <si>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</si>
  <si>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</si>
  <si>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</si>
  <si>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</si>
  <si>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</si>
  <si>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</si>
  <si>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</si>
  <si>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</si>
  <si>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</si>
  <si>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</si>
  <si>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</si>
  <si>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</si>
  <si>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</si>
  <si>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</si>
  <si>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</si>
  <si>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</si>
  <si>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</si>
  <si>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</si>
  <si>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</si>
  <si>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</si>
  <si>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</si>
  <si>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</si>
  <si>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</si>
  <si>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</si>
  <si>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</si>
  <si>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</si>
  <si>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</si>
  <si>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</si>
  <si>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</si>
  <si>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</si>
  <si>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</si>
  <si>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</si>
  <si>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</si>
  <si>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</si>
  <si>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</si>
  <si>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</si>
  <si>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</si>
  <si>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</si>
  <si>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</si>
  <si>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</si>
  <si>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</si>
  <si>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</si>
  <si>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</si>
  <si>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</si>
  <si>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</si>
  <si>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</si>
  <si>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</si>
  <si>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</si>
  <si>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</si>
  <si>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</si>
  <si>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</si>
  <si>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</si>
  <si>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</si>
  <si>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</si>
  <si>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</si>
  <si>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</si>
  <si>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</si>
  <si>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</si>
  <si>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</si>
  <si>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</si>
  <si>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</si>
  <si>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</si>
  <si>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</si>
  <si>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</si>
  <si>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</si>
  <si>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</si>
  <si>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</si>
  <si>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</si>
  <si>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</si>
  <si>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</si>
  <si>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</si>
  <si>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</si>
  <si>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</si>
  <si>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</si>
  <si>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</si>
  <si>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</si>
  <si>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</si>
  <si>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</si>
  <si>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</si>
  <si>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</si>
  <si>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</si>
  <si>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</si>
  <si>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</si>
  <si>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</si>
  <si>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</si>
  <si>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</si>
  <si>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</si>
  <si>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</si>
  <si>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</si>
  <si>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</si>
  <si>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</si>
  <si>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</si>
  <si>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</si>
  <si>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</si>
  <si>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</si>
  <si>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</si>
  <si>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</si>
  <si>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</si>
  <si>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</si>
  <si>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</si>
  <si>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</si>
  <si>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</si>
  <si>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</si>
  <si>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</si>
  <si>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</si>
  <si>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</si>
  <si>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</si>
  <si>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</si>
  <si>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</si>
  <si>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</si>
  <si>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</si>
  <si>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</si>
  <si>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</si>
  <si>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</si>
  <si>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</si>
  <si>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</si>
  <si>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</si>
  <si>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</si>
  <si>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</si>
  <si>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</si>
  <si>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</si>
  <si>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</si>
  <si>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</si>
  <si>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</si>
  <si>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</si>
  <si>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</si>
  <si>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</si>
  <si>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</si>
  <si>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</si>
  <si>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</si>
  <si>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</si>
  <si>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</si>
  <si>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</si>
  <si>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</si>
  <si>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</si>
  <si>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</si>
  <si>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</si>
  <si>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</si>
  <si>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</si>
  <si>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</si>
  <si>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</si>
  <si>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</si>
  <si>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</si>
  <si>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</si>
  <si>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</si>
  <si>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</si>
  <si>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</si>
  <si>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</si>
  <si>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</si>
  <si>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</si>
  <si>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</si>
  <si>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</si>
  <si>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</si>
  <si>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</si>
  <si>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</si>
  <si>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</si>
  <si>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</si>
  <si>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</si>
  <si>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</si>
  <si>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</si>
  <si>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</si>
  <si>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</si>
  <si>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</si>
  <si>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</si>
  <si>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</si>
  <si>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</si>
  <si>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</si>
  <si>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</si>
  <si>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</si>
  <si>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</si>
  <si>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</si>
  <si>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</si>
  <si>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</si>
  <si>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</si>
  <si>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</si>
  <si>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</si>
  <si>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</si>
  <si>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</si>
  <si>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</si>
  <si>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</si>
  <si>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</si>
  <si>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</si>
  <si>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</si>
  <si>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</si>
  <si>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</si>
  <si>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</si>
  <si>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</si>
  <si>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</si>
  <si>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</si>
  <si>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</si>
  <si>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</si>
  <si>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</si>
  <si>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</si>
  <si>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</si>
  <si>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</si>
  <si>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</si>
  <si>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</si>
  <si>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</si>
  <si>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</si>
  <si>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</si>
  <si>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</si>
  <si>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</si>
  <si>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</si>
  <si>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</si>
  <si>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</si>
  <si>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</si>
  <si>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</si>
  <si>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</si>
  <si>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</si>
  <si>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</si>
  <si>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</si>
  <si>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</si>
  <si>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</si>
  <si>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</si>
  <si>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</si>
  <si>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</si>
  <si>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</si>
  <si>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</si>
  <si>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</si>
  <si>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</si>
  <si>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</si>
  <si>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</si>
  <si>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</si>
  <si>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</si>
  <si>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</si>
  <si>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</si>
  <si>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</si>
  <si>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</si>
  <si>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</si>
  <si>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</si>
  <si>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</si>
  <si>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</si>
  <si>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</si>
  <si>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</si>
  <si>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</si>
  <si>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</si>
  <si>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</si>
  <si>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</si>
  <si>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</si>
  <si>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</si>
  <si>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</si>
  <si>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</si>
  <si>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</si>
  <si>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</si>
  <si>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</si>
  <si>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</si>
  <si>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</si>
  <si>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</si>
  <si>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</si>
  <si>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</si>
  <si>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</si>
  <si>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</si>
  <si>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</si>
  <si>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</si>
  <si>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</si>
  <si>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</si>
  <si>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</si>
  <si>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</si>
  <si>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</si>
  <si>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</si>
  <si>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</si>
  <si>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</si>
  <si>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</si>
  <si>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</si>
  <si>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</si>
  <si>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</si>
  <si>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</si>
  <si>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</si>
  <si>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</si>
  <si>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</si>
  <si>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</si>
  <si>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</si>
  <si>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</si>
  <si>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</si>
  <si>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</si>
  <si>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</si>
  <si>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</si>
  <si>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</si>
  <si>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</si>
  <si>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</si>
  <si>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</si>
  <si>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</si>
  <si>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</si>
  <si>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</si>
  <si>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</si>
  <si>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</si>
  <si>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</si>
  <si>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</si>
  <si>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</si>
  <si>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</si>
  <si>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</si>
  <si>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</si>
  <si>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</si>
  <si>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</si>
  <si>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</si>
  <si>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</si>
  <si>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</si>
  <si>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</si>
  <si>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</si>
  <si>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</si>
  <si>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</si>
  <si>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</si>
  <si>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</si>
  <si>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</si>
  <si>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</si>
  <si>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</si>
  <si>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</si>
  <si>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</si>
  <si>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</si>
  <si>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</si>
  <si>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</si>
  <si>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</si>
  <si>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</si>
  <si>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</si>
  <si>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</si>
  <si>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</si>
  <si>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</si>
  <si>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</si>
  <si>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</si>
  <si>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</si>
  <si>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</si>
  <si>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</si>
  <si>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</si>
  <si>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</si>
  <si>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</si>
  <si>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</si>
  <si>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</si>
  <si>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</si>
  <si>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</si>
  <si>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</si>
  <si>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</si>
  <si>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</si>
  <si>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</si>
  <si>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</si>
  <si>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</si>
  <si>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</si>
  <si>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</si>
  <si>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</si>
  <si>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</si>
  <si>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</si>
  <si>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</si>
  <si>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</si>
  <si>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</si>
  <si>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</si>
  <si>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</si>
  <si>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</si>
  <si>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</si>
  <si>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</si>
  <si>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</si>
  <si>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</si>
  <si>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</si>
  <si>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</si>
  <si>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</si>
  <si>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</si>
  <si>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</si>
  <si>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</si>
  <si>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</si>
  <si>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</si>
  <si>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</si>
  <si>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</si>
  <si>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</si>
  <si>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</si>
  <si>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</si>
  <si>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</si>
  <si>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</si>
  <si>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</si>
  <si>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</si>
  <si>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</si>
  <si>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</si>
  <si>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</si>
  <si>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</si>
  <si>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</si>
  <si>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</si>
  <si>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</si>
  <si>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</si>
  <si>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</si>
  <si>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</si>
  <si>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</si>
  <si>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</si>
  <si>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</si>
  <si>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</si>
  <si>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</si>
  <si>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</si>
  <si>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</si>
  <si>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</si>
  <si>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</si>
  <si>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</si>
  <si>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</si>
  <si>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</si>
  <si>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</si>
  <si>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</si>
  <si>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</si>
  <si>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</si>
  <si>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</si>
  <si>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</si>
  <si>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</si>
  <si>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</si>
  <si>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</si>
  <si>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</si>
  <si>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</si>
  <si>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</si>
  <si>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</si>
  <si>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</si>
  <si>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</si>
  <si>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</si>
  <si>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</si>
  <si>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</si>
  <si>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</si>
  <si>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</si>
  <si>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</si>
  <si>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</si>
  <si>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</si>
  <si>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</si>
  <si>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</si>
  <si>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</si>
  <si>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</si>
  <si>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</si>
  <si>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</si>
  <si>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</si>
  <si>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</si>
  <si>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</si>
  <si>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</si>
  <si>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</si>
  <si>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</si>
  <si>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</si>
  <si>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</si>
  <si>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</si>
  <si>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</si>
  <si>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</si>
  <si>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</si>
  <si>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</si>
  <si>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</si>
  <si>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</si>
  <si>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</si>
  <si>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</si>
  <si>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</si>
  <si>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</si>
  <si>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</si>
  <si>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</si>
  <si>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</si>
  <si>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</si>
  <si>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</si>
  <si>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</si>
  <si>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</si>
  <si>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</si>
  <si>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</si>
  <si>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</si>
  <si>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</si>
  <si>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</si>
  <si>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</si>
  <si>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</si>
  <si>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</si>
  <si>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</si>
  <si>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</si>
  <si>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</si>
  <si>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</si>
  <si>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</si>
  <si>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</si>
  <si>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</si>
  <si>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</si>
  <si>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</si>
  <si>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</si>
  <si>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</si>
  <si>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</si>
  <si>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</si>
  <si>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</si>
  <si>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</si>
  <si>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</si>
  <si>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</si>
  <si>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</si>
  <si>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</si>
  <si>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</si>
  <si>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</si>
  <si>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</si>
  <si>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</si>
  <si>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</si>
  <si>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</si>
  <si>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</si>
  <si>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</si>
  <si>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</si>
  <si>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</si>
  <si>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</si>
  <si>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</si>
  <si>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</si>
  <si>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</si>
  <si>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</si>
  <si>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</si>
  <si>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</si>
  <si>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</si>
  <si>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</si>
  <si>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</si>
  <si>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</si>
  <si>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</si>
  <si>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</si>
  <si>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</si>
  <si>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</si>
  <si>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</si>
  <si>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</si>
  <si>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</si>
  <si>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</si>
  <si>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</si>
  <si>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</si>
  <si>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</si>
  <si>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</si>
  <si>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</si>
  <si>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</si>
  <si>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</si>
  <si>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</si>
  <si>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</si>
  <si>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</si>
  <si>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</si>
  <si>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</si>
  <si>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</si>
  <si>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</si>
  <si>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</si>
  <si>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</si>
  <si>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</si>
  <si>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</si>
  <si>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</si>
  <si>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</si>
  <si>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</si>
  <si>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</si>
  <si>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</si>
  <si>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</si>
  <si>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</si>
  <si>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</si>
  <si>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</si>
  <si>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</si>
  <si>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</si>
  <si>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</si>
  <si>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</si>
  <si>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</si>
  <si>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</si>
  <si>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</si>
  <si>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</si>
  <si>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</si>
  <si>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</si>
  <si>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</si>
  <si>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</si>
  <si>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</si>
  <si>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</si>
  <si>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</si>
  <si>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</si>
  <si>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</si>
  <si>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</si>
  <si>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</si>
  <si>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</si>
  <si>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</si>
  <si>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</si>
  <si>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</si>
  <si>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</si>
  <si>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</si>
  <si>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</si>
  <si>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</si>
  <si>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</si>
  <si>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</si>
  <si>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</si>
  <si>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</si>
  <si>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</si>
  <si>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</si>
  <si>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</si>
  <si>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</si>
  <si>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</si>
  <si>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</si>
  <si>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</si>
  <si>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</si>
  <si>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</si>
  <si>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</si>
  <si>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</si>
  <si>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</si>
  <si>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</si>
  <si>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</si>
  <si>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</si>
  <si>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</si>
  <si>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</si>
  <si>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</si>
  <si>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</si>
  <si>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</si>
  <si>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</si>
  <si>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</si>
  <si>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</si>
  <si>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</si>
  <si>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</si>
  <si>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</si>
  <si>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</si>
  <si>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</si>
  <si>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</si>
  <si>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</si>
  <si>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</si>
  <si>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</si>
  <si>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</si>
  <si>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</si>
  <si>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</si>
  <si>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</si>
  <si>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</si>
  <si>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</si>
  <si>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</si>
  <si>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</si>
  <si>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</si>
  <si>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</si>
  <si>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</si>
  <si>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</si>
  <si>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</si>
  <si>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</si>
  <si>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</si>
  <si>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</si>
  <si>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</si>
  <si>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</si>
  <si>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</si>
  <si>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</si>
  <si>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</si>
  <si>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</si>
  <si>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</si>
  <si>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</si>
  <si>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</si>
  <si>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</si>
  <si>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</si>
  <si>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</si>
  <si>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</si>
  <si>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</si>
  <si>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</si>
  <si>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</si>
  <si>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</si>
  <si>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</si>
  <si>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</si>
  <si>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</si>
  <si>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</si>
  <si>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</si>
  <si>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</si>
  <si>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</si>
  <si>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</si>
  <si>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</si>
  <si>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</si>
  <si>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</si>
  <si>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</si>
  <si>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</si>
  <si>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</si>
  <si>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</si>
  <si>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</si>
  <si>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</si>
  <si>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</si>
  <si>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</si>
  <si>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</si>
  <si>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</si>
  <si>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</si>
  <si>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</si>
  <si>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</si>
  <si>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</si>
  <si>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</si>
  <si>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</si>
  <si>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</si>
  <si>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</si>
  <si>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</si>
  <si>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</si>
  <si>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</si>
  <si>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</si>
  <si>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</si>
  <si>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</si>
  <si>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</si>
  <si>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</si>
  <si>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</si>
  <si>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</si>
  <si>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</si>
  <si>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</si>
  <si>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</si>
  <si>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</si>
  <si>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</si>
  <si>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</si>
  <si>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</si>
  <si>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</si>
  <si>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</si>
  <si>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</si>
  <si>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</si>
  <si>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</si>
  <si>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</si>
  <si>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</si>
  <si>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</si>
  <si>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</si>
  <si>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</si>
  <si>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</si>
  <si>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</si>
  <si>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</si>
  <si>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</si>
  <si>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</si>
  <si>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</si>
  <si>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</si>
  <si>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</si>
  <si>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</si>
  <si>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</si>
  <si>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</si>
  <si>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</si>
  <si>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</si>
  <si>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</si>
  <si>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</si>
  <si>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</si>
  <si>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</si>
  <si>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</si>
  <si>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</si>
  <si>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</si>
  <si>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</si>
  <si>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</si>
  <si>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</si>
  <si>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</si>
  <si>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</si>
  <si>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</si>
  <si>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</si>
  <si>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</si>
  <si>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</si>
  <si>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</si>
  <si>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</si>
  <si>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</si>
  <si>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</si>
  <si>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</si>
  <si>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</si>
  <si>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</si>
  <si>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</si>
  <si>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</si>
  <si>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</si>
  <si>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</si>
  <si>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</si>
  <si>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</si>
  <si>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</si>
  <si>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</si>
  <si>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</si>
  <si>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</si>
  <si>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</si>
  <si>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</si>
  <si>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</si>
  <si>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</si>
  <si>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</si>
  <si>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</si>
  <si>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</si>
  <si>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</si>
  <si>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</si>
  <si>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</si>
  <si>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</si>
  <si>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</si>
  <si>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</si>
  <si>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</si>
  <si>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</si>
  <si>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</si>
  <si>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</si>
  <si>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</si>
  <si>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</si>
  <si>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</si>
  <si>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</si>
  <si>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</si>
  <si>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</si>
  <si>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</si>
  <si>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</si>
  <si>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</si>
  <si>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</si>
  <si>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</si>
  <si>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</si>
  <si>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</si>
  <si>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</si>
  <si>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</si>
  <si>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</si>
  <si>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</si>
  <si>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</si>
  <si>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</si>
  <si>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</si>
  <si>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</si>
  <si>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</si>
  <si>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</si>
  <si>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</si>
  <si>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</si>
  <si>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</si>
  <si>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</si>
  <si>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</si>
  <si>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</si>
  <si>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</si>
  <si>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</si>
  <si>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</si>
  <si>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</si>
  <si>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</si>
  <si>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</si>
  <si>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</si>
  <si>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</si>
  <si>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</si>
  <si>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</si>
  <si>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</si>
  <si>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</si>
  <si>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</si>
  <si>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</si>
  <si>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</si>
  <si>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</si>
  <si>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</si>
  <si>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</si>
  <si>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</si>
  <si>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</si>
  <si>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</si>
  <si>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</si>
  <si>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</si>
  <si>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</si>
  <si>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</si>
  <si>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</si>
  <si>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</si>
  <si>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</si>
  <si>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</si>
  <si>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</si>
  <si>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</si>
  <si>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</si>
  <si>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</si>
  <si>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</si>
  <si>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</si>
  <si>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</si>
  <si>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</si>
  <si>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</si>
  <si>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</si>
  <si>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</si>
  <si>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</si>
  <si>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</si>
  <si>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</si>
  <si>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</si>
  <si>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</si>
  <si>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</si>
  <si>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</si>
  <si>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</si>
  <si>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</si>
  <si>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</si>
  <si>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</si>
  <si>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</si>
  <si>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</si>
  <si>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</si>
  <si>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</si>
  <si>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</si>
  <si>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</si>
  <si>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</si>
  <si>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</si>
  <si>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</si>
  <si>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</si>
  <si>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</si>
  <si>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</si>
  <si>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</si>
  <si>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</si>
  <si>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</si>
  <si>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</si>
  <si>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</si>
  <si>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</si>
  <si>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</si>
  <si>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</si>
  <si>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</si>
  <si>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</si>
  <si>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</si>
  <si>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</si>
  <si>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</si>
  <si>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</si>
  <si>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</si>
  <si>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</si>
  <si>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</si>
  <si>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</si>
  <si>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</si>
  <si>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</si>
  <si>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</si>
  <si>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</si>
  <si>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</si>
  <si>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</si>
  <si>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</si>
  <si>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</si>
  <si>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</si>
  <si>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</si>
  <si>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</si>
  <si>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</si>
  <si>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</si>
  <si>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</si>
  <si>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</si>
  <si>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</si>
  <si>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</si>
  <si>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</si>
  <si>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</si>
  <si>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</si>
  <si>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</si>
  <si>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</si>
  <si>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</si>
  <si>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</si>
  <si>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</si>
  <si>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</si>
  <si>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</si>
  <si>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</si>
  <si>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</si>
  <si>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</si>
  <si>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</si>
  <si>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</si>
  <si>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</si>
  <si>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</si>
  <si>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</si>
  <si>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</si>
  <si>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</si>
  <si>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</si>
  <si>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</si>
  <si>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</si>
  <si>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</si>
  <si>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</si>
  <si>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</si>
  <si>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</si>
  <si>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</si>
  <si>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</si>
  <si>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</si>
  <si>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</si>
  <si>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</si>
  <si>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</si>
  <si>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</si>
  <si>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</si>
  <si>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</si>
  <si>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</si>
  <si>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</si>
  <si>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</si>
  <si>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</si>
  <si>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</si>
  <si>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</si>
  <si>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</si>
  <si>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</si>
  <si>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</si>
  <si>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</si>
  <si>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</si>
  <si>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</si>
  <si>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</si>
  <si>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</si>
  <si>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</si>
  <si>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</si>
  <si>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</si>
  <si>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</si>
  <si>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</si>
  <si>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</si>
  <si>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</si>
  <si>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</si>
  <si>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</si>
  <si>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</si>
  <si>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</si>
  <si>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</si>
  <si>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</si>
  <si>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</si>
  <si>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</si>
  <si>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</si>
  <si>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</si>
  <si>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</si>
  <si>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</si>
  <si>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</si>
  <si>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</si>
  <si>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</si>
  <si>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</si>
  <si>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</si>
  <si>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</si>
  <si>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</si>
  <si>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</si>
  <si>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</si>
  <si>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</si>
  <si>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</si>
  <si>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</si>
  <si>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</si>
  <si>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</si>
  <si>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</si>
  <si>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</si>
  <si>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</si>
  <si>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</si>
  <si>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</si>
  <si>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</si>
  <si>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</si>
  <si>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</si>
  <si>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</si>
  <si>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</si>
  <si>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</si>
  <si>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</si>
  <si>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</si>
  <si>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</si>
  <si>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</si>
  <si>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</si>
  <si>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</si>
  <si>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</si>
  <si>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</si>
  <si>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</si>
  <si>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</si>
  <si>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</si>
  <si>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</si>
  <si>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</si>
  <si>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</si>
  <si>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</si>
  <si>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</si>
  <si>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</si>
  <si>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</si>
  <si>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</si>
  <si>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</si>
  <si>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</si>
  <si>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</si>
  <si>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</si>
  <si>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</si>
  <si>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</si>
  <si>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</si>
  <si>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</si>
  <si>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</si>
  <si>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</si>
  <si>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</si>
  <si>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</si>
  <si>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</si>
  <si>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</si>
  <si>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</si>
  <si>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</si>
  <si>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</si>
  <si>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</si>
  <si>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</si>
  <si>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</si>
  <si>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</si>
  <si>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</si>
  <si>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</si>
  <si>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</si>
  <si>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</si>
  <si>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</si>
  <si>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</si>
  <si>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</si>
  <si>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</si>
  <si>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</si>
  <si>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</si>
  <si>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</si>
  <si>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</si>
  <si>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</si>
  <si>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</si>
  <si>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</si>
  <si>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</si>
  <si>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</si>
  <si>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</si>
  <si>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</si>
  <si>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</si>
  <si>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</si>
  <si>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</si>
  <si>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</si>
  <si>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</si>
  <si>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</si>
  <si>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</si>
  <si>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</si>
  <si>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</si>
  <si>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</si>
  <si>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</si>
  <si>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</si>
  <si>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</si>
  <si>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</si>
  <si>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</si>
  <si>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</si>
  <si>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</si>
  <si>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</si>
  <si>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</si>
  <si>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</si>
  <si>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</si>
  <si>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</si>
  <si>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</si>
  <si>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</si>
  <si>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</si>
  <si>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</si>
  <si>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</si>
  <si>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</si>
  <si>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</si>
  <si>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</si>
  <si>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</si>
  <si>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</si>
  <si>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</si>
  <si>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</si>
  <si>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</si>
  <si>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</si>
  <si>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</si>
  <si>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</si>
  <si>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</si>
  <si>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</si>
  <si>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</si>
  <si>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</si>
  <si>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</si>
  <si>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</si>
  <si>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</si>
  <si>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</si>
  <si>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</si>
  <si>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</si>
  <si>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</si>
  <si>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</si>
  <si>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</si>
  <si>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</si>
  <si>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</si>
  <si>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</si>
  <si>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</si>
  <si>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</si>
  <si>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</si>
  <si>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</si>
  <si>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</si>
  <si>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</si>
  <si>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</si>
  <si>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</si>
  <si>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</si>
  <si>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</si>
  <si>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</si>
  <si>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</si>
  <si>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</si>
  <si>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</si>
  <si>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</si>
  <si>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</si>
  <si>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</si>
  <si>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</si>
  <si>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</si>
  <si>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</si>
  <si>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</si>
  <si>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</si>
  <si>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</si>
  <si>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</si>
  <si>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</si>
  <si>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</si>
  <si>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</si>
  <si>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</si>
  <si>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</si>
  <si>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</si>
  <si>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</si>
  <si>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</si>
  <si>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</si>
  <si>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</si>
  <si>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</si>
  <si>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</si>
  <si>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</si>
  <si>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</si>
  <si>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</si>
  <si>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</si>
  <si>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</si>
  <si>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</si>
  <si>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</si>
  <si>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</si>
  <si>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</si>
  <si>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</si>
  <si>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</si>
  <si>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</si>
  <si>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</si>
  <si>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</si>
  <si>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</si>
  <si>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</si>
  <si>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</si>
  <si>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</si>
  <si>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</si>
  <si>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</si>
  <si>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</si>
  <si>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</si>
  <si>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</si>
  <si>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</si>
  <si>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</si>
  <si>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</si>
  <si>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</si>
  <si>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</si>
  <si>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</si>
  <si>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</si>
  <si>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</si>
  <si>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</si>
  <si>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</si>
  <si>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</si>
  <si>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</si>
  <si>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</si>
  <si>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</si>
  <si>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</si>
  <si>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</si>
  <si>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</si>
  <si>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</si>
  <si>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</si>
  <si>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</si>
  <si>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</si>
  <si>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</si>
  <si>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</si>
  <si>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</si>
  <si>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</si>
  <si>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</si>
  <si>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</si>
  <si>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</si>
  <si>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</si>
  <si>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</si>
  <si>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</si>
  <si>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</si>
  <si>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</si>
  <si>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</si>
  <si>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</si>
  <si>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</si>
  <si>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</si>
  <si>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</si>
  <si>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</si>
  <si>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</si>
  <si>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</si>
  <si>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</si>
  <si>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</si>
  <si>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</si>
  <si>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</si>
  <si>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</si>
  <si>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</si>
  <si>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</si>
  <si>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</si>
  <si>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</si>
  <si>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</si>
  <si>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</si>
  <si>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</si>
  <si>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</si>
  <si>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</si>
  <si>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</si>
  <si>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</si>
  <si>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</si>
  <si>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</si>
  <si>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</si>
  <si>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</si>
  <si>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</si>
  <si>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</si>
  <si>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</si>
  <si>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</si>
  <si>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</si>
  <si>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</si>
  <si>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</si>
  <si>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</si>
  <si>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</si>
  <si>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</si>
  <si>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</si>
  <si>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</si>
  <si>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</si>
  <si>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</si>
  <si>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</si>
  <si>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</si>
  <si>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</si>
  <si>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</si>
  <si>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</si>
  <si>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</si>
  <si>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</si>
  <si>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</si>
  <si>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</si>
  <si>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</si>
  <si>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</si>
  <si>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</si>
  <si>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</si>
  <si>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</si>
  <si>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</si>
  <si>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</si>
  <si>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</si>
  <si>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</si>
  <si>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</si>
  <si>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</si>
  <si>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</si>
  <si>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</si>
  <si>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</si>
  <si>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</si>
  <si>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</si>
  <si>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</si>
  <si>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</si>
  <si>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</si>
  <si>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</si>
  <si>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</si>
  <si>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</si>
  <si>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</si>
  <si>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</si>
  <si>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</si>
  <si>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</si>
  <si>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</si>
  <si>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</si>
  <si>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</si>
  <si>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</si>
  <si>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</si>
  <si>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</si>
  <si>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</si>
  <si>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</si>
  <si>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</si>
  <si>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</si>
  <si>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</si>
  <si>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</si>
  <si>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</si>
  <si>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</si>
  <si>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</si>
  <si>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</si>
  <si>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</si>
  <si>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</si>
  <si>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</si>
  <si>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</si>
  <si>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</si>
  <si>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</si>
  <si>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</si>
  <si>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</si>
  <si>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</si>
  <si>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</si>
  <si>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</si>
  <si>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</si>
  <si>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</si>
  <si>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</si>
  <si>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</si>
  <si>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</si>
  <si>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</si>
  <si>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</si>
  <si>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</si>
  <si>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</si>
  <si>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</si>
  <si>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</si>
  <si>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</si>
  <si>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</si>
  <si>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</si>
  <si>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</si>
  <si>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</si>
  <si>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</si>
  <si>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</si>
  <si>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</si>
  <si>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</si>
  <si>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</si>
  <si>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</si>
  <si>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</si>
  <si>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</si>
  <si>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</si>
  <si>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</si>
  <si>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</si>
  <si>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</si>
  <si>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</si>
  <si>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</si>
  <si>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</si>
  <si>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</si>
  <si>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</si>
  <si>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</si>
  <si>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</si>
  <si>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</si>
  <si>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</si>
  <si>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</si>
  <si>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</si>
  <si>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</si>
  <si>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</si>
  <si>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</si>
  <si>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</si>
  <si>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</si>
  <si>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</si>
  <si>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</si>
  <si>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</si>
  <si>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</si>
  <si>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</si>
  <si>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</si>
  <si>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</si>
  <si>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</si>
  <si>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</si>
  <si>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</si>
  <si>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</si>
  <si>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</si>
  <si>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</si>
  <si>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</si>
  <si>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</si>
  <si>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</si>
  <si>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</si>
  <si>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</si>
  <si>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</si>
  <si>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</si>
  <si>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</si>
  <si>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</si>
  <si>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</si>
  <si>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</si>
  <si>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</si>
  <si>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</si>
  <si>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</si>
  <si>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</si>
  <si>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</si>
  <si>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</si>
  <si>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</si>
  <si>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</si>
  <si>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</si>
  <si>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</si>
  <si>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</si>
  <si>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</si>
  <si>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</si>
  <si>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</si>
  <si>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</si>
  <si>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</si>
  <si>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</si>
  <si>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</si>
  <si>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</si>
  <si>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</si>
  <si>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</si>
  <si>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</si>
  <si>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</si>
  <si>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</si>
  <si>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</si>
  <si>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</si>
  <si>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</si>
  <si>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</si>
  <si>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</si>
  <si>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</si>
  <si>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</si>
  <si>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</si>
  <si>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</si>
  <si>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</si>
  <si>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</si>
  <si>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</si>
  <si>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</si>
  <si>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</si>
  <si>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</si>
  <si>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</si>
  <si>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</si>
  <si>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</si>
  <si>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</si>
  <si>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</si>
  <si>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</si>
  <si>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</si>
  <si>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</si>
  <si>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</si>
  <si>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</si>
  <si>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</si>
  <si>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</si>
  <si>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</si>
  <si>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</si>
  <si>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</si>
  <si>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</si>
  <si>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</si>
  <si>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</si>
  <si>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</si>
  <si>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</si>
  <si>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</si>
  <si>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</si>
  <si>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</si>
  <si>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</si>
  <si>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</si>
  <si>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</si>
  <si>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</si>
  <si>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</si>
  <si>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</si>
  <si>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</si>
  <si>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</si>
  <si>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</si>
  <si>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</si>
  <si>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</si>
  <si>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</si>
  <si>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</si>
  <si>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</si>
  <si>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</si>
  <si>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</si>
  <si>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</si>
  <si>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</si>
  <si>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</si>
  <si>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</si>
  <si>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</si>
  <si>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</si>
  <si>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</si>
  <si>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</si>
  <si>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</si>
  <si>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</si>
  <si>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</si>
  <si>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</si>
  <si>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</si>
  <si>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</si>
  <si>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</si>
  <si>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</si>
  <si>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</si>
  <si>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</si>
  <si>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</si>
  <si>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</si>
  <si>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</si>
  <si>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</si>
  <si>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</si>
  <si>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</si>
  <si>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</si>
  <si>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</si>
  <si>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</si>
  <si>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</si>
  <si>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</si>
  <si>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</si>
  <si>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</si>
  <si>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</si>
  <si>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</si>
  <si>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</si>
  <si>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</si>
  <si>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</si>
  <si>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</si>
  <si>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</si>
  <si>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</si>
  <si>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</si>
  <si>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</si>
  <si>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</si>
  <si>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</si>
  <si>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</si>
  <si>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</si>
  <si>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</si>
  <si>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</si>
  <si>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</si>
  <si>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</si>
  <si>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</si>
  <si>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</si>
  <si>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</si>
  <si>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</si>
  <si>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</si>
  <si>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</si>
  <si>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</si>
  <si>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</si>
  <si>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</si>
  <si>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</si>
  <si>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</si>
  <si>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</si>
  <si>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</si>
  <si>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</si>
  <si>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</si>
  <si>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</si>
  <si>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</si>
  <si>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</si>
  <si>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</si>
  <si>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</si>
  <si>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</si>
  <si>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</si>
  <si>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</si>
  <si>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</si>
  <si>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</si>
  <si>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</si>
  <si>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</si>
  <si>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</si>
  <si>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</si>
  <si>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</si>
  <si>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</si>
  <si>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</si>
  <si>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</si>
  <si>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</si>
  <si>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</si>
  <si>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</si>
  <si>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</si>
  <si>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</si>
  <si>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</si>
  <si>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</si>
  <si>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</si>
  <si>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</si>
  <si>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</si>
  <si>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</si>
  <si>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</si>
  <si>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</si>
  <si>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</si>
  <si>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</si>
  <si>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</si>
  <si>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</si>
  <si>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</si>
  <si>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</si>
  <si>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</si>
  <si>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</si>
  <si>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</si>
  <si>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Ed Fund- Page 10, Line 78- Admissions - Other - Admissions to Plays and Musicals</t>
  </si>
  <si>
    <t>Ed Fund - Page 10, Line 81 - Other District/School Activity Revenue - Yearbook and Magazine Sales</t>
  </si>
  <si>
    <t>Ed Fund - Page 11, Line 107 - Other Local Revenues  - Rebates and Other Revenue</t>
  </si>
  <si>
    <t>Ed Fund - Page 12, Line 171 - Other Restricted Revenue from State Sources - Library Grant and Orphanage Tuition</t>
  </si>
  <si>
    <t>Ed Fund - Page 15, Line 41 - Other Support Services - Pupils - Student Programs, Commencement, and Student Awards</t>
  </si>
  <si>
    <t>x</t>
  </si>
  <si>
    <t>LAKE</t>
  </si>
  <si>
    <t>1625 DEEP LAKE ROAD</t>
  </si>
  <si>
    <t>LAKE VILLA</t>
  </si>
  <si>
    <t>jennifernolde@chsd117.org</t>
  </si>
  <si>
    <t>EDER, CASELLA &amp; CO.</t>
  </si>
  <si>
    <t>CHERYDEN JUERGENSEN</t>
  </si>
  <si>
    <t>CPAS@EDERCASELLA.COM</t>
  </si>
  <si>
    <t>IL</t>
  </si>
  <si>
    <t>815-344-1300</t>
  </si>
  <si>
    <t>815-344-1320</t>
  </si>
  <si>
    <t>X</t>
  </si>
  <si>
    <t>SERIES 2000 BUILDING BONDS</t>
  </si>
  <si>
    <t>SERIES 2013 REFUNDING BONDS</t>
  </si>
  <si>
    <t>COPIER LEASE</t>
  </si>
  <si>
    <t>DELL COMPUTER LEASE</t>
  </si>
  <si>
    <t>DEBT CERTIFICATES</t>
  </si>
  <si>
    <t>LEASE PURCHASE AGREEMENTS</t>
  </si>
  <si>
    <t>WWF</t>
  </si>
  <si>
    <t>OMBUDSMAN</t>
  </si>
  <si>
    <t>LAKE REGION SCHOOLS BENEFIT COOPERATIVE</t>
  </si>
  <si>
    <t>INTERGRY'S ENERGY SERVICE</t>
  </si>
  <si>
    <t>ARBOR MANAGEMENT</t>
  </si>
  <si>
    <t>WFF</t>
  </si>
  <si>
    <t>SSCIP AND WSIT</t>
  </si>
  <si>
    <t>SCARIANO HIMES PETRARCA</t>
  </si>
  <si>
    <t>WFF, FOX VALLEY FIRE &amp; SAFETY, BLEACHER AMERICA</t>
  </si>
  <si>
    <t>IASA, GENERAL ASP, INC</t>
  </si>
  <si>
    <t>COLLEGE BOARD, IAASE, LAKE COUNTY EDUCATION</t>
  </si>
  <si>
    <t>ALLENDALE</t>
  </si>
  <si>
    <t>SPECIAL EDUCATION OF LAKE COUNTY</t>
  </si>
  <si>
    <t>SPECIALIZED DATA SYSTEMS, FRONTLINE PLACEMENT</t>
  </si>
  <si>
    <t>EMMONS GRADE SCHOOL DIST#33, DURHAM</t>
  </si>
  <si>
    <t>LAKE COUNTY AREA VOCATIONAL SYSTEM</t>
  </si>
  <si>
    <t>ADMINISTRATIVE CENTER COOPERATIVE, ANTIOCH ELEMENTARY DISTRICT #34</t>
  </si>
  <si>
    <t>Audit Check-Page 24 Long Term Debt Retired</t>
  </si>
  <si>
    <t>066-005142</t>
  </si>
  <si>
    <t>4237 GROVE AVENUE</t>
  </si>
  <si>
    <t xml:space="preserve">GURNEE </t>
  </si>
  <si>
    <t>LAKE VILLA TOWNSHIP, ANTIOCH ELEMENTARY #34</t>
  </si>
  <si>
    <t>10-2520-300</t>
  </si>
  <si>
    <t>Vanco</t>
  </si>
  <si>
    <t>20-2540-300</t>
  </si>
  <si>
    <t>Allendale Association</t>
  </si>
  <si>
    <t>Restore Works</t>
  </si>
  <si>
    <t>Comcast</t>
  </si>
  <si>
    <t>Village of Lake Villa</t>
  </si>
  <si>
    <t>10-2560-300</t>
  </si>
  <si>
    <t>Arbor Management</t>
  </si>
  <si>
    <t>10-2660-300</t>
  </si>
  <si>
    <t>Databank</t>
  </si>
  <si>
    <t>CXTEC</t>
  </si>
  <si>
    <t>Martin</t>
  </si>
  <si>
    <t>ED-Support Services- Business-Purchased Services</t>
  </si>
  <si>
    <t>O&amp;M - Support Services - Business-Purchased Services</t>
  </si>
  <si>
    <t>AT&amp;T</t>
  </si>
  <si>
    <t>ED-Support Services- Central - Purchased Services</t>
  </si>
  <si>
    <t>O &amp; M Fund - Page 11, Line 107 - Other Local Revenues  - Insurance Reimbursement, Energy Rebate, and Other Revenues</t>
  </si>
  <si>
    <t xml:space="preserve">Total long-term debt retired on the schedule of bonds payable does not equal principal payments made in the Debt Services </t>
  </si>
  <si>
    <t xml:space="preserve">  Fund due to payments made on capital leases debt, which are recorded in the Educational Fund.</t>
  </si>
  <si>
    <t>CHSD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</si>
</sst>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99" fillId="0" borderId="0" xfId="18" applyFont="1" applyProtection="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2082</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2082</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34049117016</v>
      </c>
      <c r="B13" s="2037"/>
      <c r="C13" s="2037"/>
      <c r="D13" s="2037"/>
      <c r="E13" s="2037"/>
      <c r="F13" s="2037"/>
      <c r="G13" s="2037"/>
      <c r="H13" s="2038"/>
      <c r="I13" s="31"/>
      <c r="J13" s="30"/>
      <c r="K13" s="28"/>
      <c r="L13" s="30"/>
      <c r="M13" s="30"/>
      <c r="N13" s="30"/>
      <c r="O13" s="30"/>
      <c r="P13" s="30"/>
      <c r="Q13" s="30"/>
      <c r="R13" s="30"/>
      <c r="S13" s="30"/>
      <c r="T13" s="2041" t="s">
        <v>2087</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2083</v>
      </c>
      <c r="B15" s="2039"/>
      <c r="C15" s="2039"/>
      <c r="D15" s="2039"/>
      <c r="E15" s="2039"/>
      <c r="F15" s="2039"/>
      <c r="G15" s="2039"/>
      <c r="H15" s="2040"/>
      <c r="T15" s="2045" t="s">
        <v>2088</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2142</v>
      </c>
      <c r="B17" s="1996"/>
      <c r="C17" s="1996"/>
      <c r="D17" s="1996"/>
      <c r="E17" s="1996"/>
      <c r="F17" s="1996"/>
      <c r="G17" s="1996"/>
      <c r="H17" s="2021"/>
      <c r="T17" s="2052" t="s">
        <v>2119</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2084</v>
      </c>
      <c r="B19" s="1981"/>
      <c r="C19" s="1981"/>
      <c r="D19" s="1981"/>
      <c r="E19" s="1981"/>
      <c r="F19" s="1981"/>
      <c r="G19" s="1981"/>
      <c r="H19" s="1961"/>
      <c r="I19" s="30"/>
      <c r="J19" s="99"/>
      <c r="K19" s="40"/>
      <c r="L19" s="38"/>
      <c r="M19" s="112" t="s">
        <v>333</v>
      </c>
      <c r="P19" s="27"/>
      <c r="Q19" s="27"/>
      <c r="R19" s="27"/>
      <c r="S19" s="31"/>
      <c r="T19" s="2035" t="s">
        <v>2120</v>
      </c>
      <c r="U19" s="1960"/>
      <c r="V19" s="1960"/>
      <c r="W19" s="1961"/>
      <c r="X19" s="2050" t="s">
        <v>2090</v>
      </c>
      <c r="Y19" s="2051"/>
      <c r="Z19" s="2048">
        <v>60031</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2085</v>
      </c>
      <c r="B21" s="1960"/>
      <c r="C21" s="1960"/>
      <c r="D21" s="1960"/>
      <c r="E21" s="1960"/>
      <c r="F21" s="1960"/>
      <c r="G21" s="1960"/>
      <c r="H21" s="1961"/>
      <c r="I21" s="2015" t="s">
        <v>699</v>
      </c>
      <c r="J21" s="2010"/>
      <c r="K21" s="2010"/>
      <c r="L21" s="2010"/>
      <c r="M21" s="2010"/>
      <c r="N21" s="2010"/>
      <c r="O21" s="2010"/>
      <c r="P21" s="2010"/>
      <c r="Q21" s="2010"/>
      <c r="R21" s="2010"/>
      <c r="S21" s="2016"/>
      <c r="T21" s="2059" t="s">
        <v>2091</v>
      </c>
      <c r="U21" s="2060"/>
      <c r="V21" s="2060"/>
      <c r="W21" s="2060"/>
      <c r="X21" s="2065" t="s">
        <v>2092</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2086</v>
      </c>
      <c r="B23" s="2013"/>
      <c r="C23" s="2013"/>
      <c r="D23" s="2013"/>
      <c r="E23" s="2013"/>
      <c r="F23" s="2013"/>
      <c r="G23" s="2013"/>
      <c r="H23" s="2014"/>
      <c r="T23" s="1995" t="s">
        <v>2118</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60046</v>
      </c>
      <c r="B25" s="1960"/>
      <c r="C25" s="1960"/>
      <c r="D25" s="1960"/>
      <c r="E25" s="1960"/>
      <c r="F25" s="1960"/>
      <c r="G25" s="1960"/>
      <c r="H25" s="1961"/>
      <c r="I25" s="113"/>
      <c r="J25" s="1984"/>
      <c r="K25" s="1984"/>
      <c r="L25" s="1984"/>
      <c r="M25" s="1984"/>
      <c r="N25" s="1984"/>
      <c r="O25" s="1984"/>
      <c r="P25" s="1984"/>
      <c r="Q25" s="1984"/>
      <c r="R25" s="1984"/>
      <c r="S25" s="1985"/>
      <c r="T25" s="2055" t="s">
        <v>2089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84"/>
  <sheetViews>
    <sheetView showGridLines="0" topLeftCell="A46"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2093</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tr">
        <f>COVER!T13</f>
        <v>EDER, CASELLA &amp; CO.</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2"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1129727953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2.3695000000000001E-2</v>
      </c>
      <c r="E10" s="356" t="s">
        <v>1062</v>
      </c>
      <c r="F10" s="355">
        <v>5.2610000000000001E-3</v>
      </c>
      <c r="G10" s="356" t="s">
        <v>1062</v>
      </c>
      <c r="H10" s="355">
        <v>1.482E-3</v>
      </c>
      <c r="I10" s="356" t="s">
        <v>1063</v>
      </c>
      <c r="J10" s="1753">
        <f>ROUND(D10+F10+H10,5)</f>
        <v>3.0439999999999998E-2</v>
      </c>
      <c r="K10" s="222"/>
      <c r="L10" s="355">
        <v>5.1999999999999997E-5</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49876114</v>
      </c>
      <c r="E16" s="356"/>
      <c r="F16" s="1754">
        <f>SUM('Acct Summary 7-8'!C17,'Acct Summary 7-8'!D17,'Acct Summary 7-8'!F17)</f>
        <v>44235176</v>
      </c>
      <c r="G16" s="356"/>
      <c r="H16" s="1754">
        <f>SUM(D16-F16)</f>
        <v>5640938</v>
      </c>
      <c r="I16" s="222"/>
      <c r="J16" s="1754">
        <f>SUM('Acct Summary 7-8'!C81,'Acct Summary 7-8'!D81,'Acct Summary 7-8'!F81,'Acct Summary 7-8'!I81)</f>
        <v>39390635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2093</v>
      </c>
      <c r="C31" s="367" t="s">
        <v>607</v>
      </c>
      <c r="D31" s="237" t="s">
        <v>1132</v>
      </c>
      <c r="E31" s="222"/>
      <c r="F31" s="222"/>
      <c r="G31" s="363"/>
      <c r="H31" s="1756">
        <f>IF(B31="X",(J7*0.069),IF(B32="X",(J7*0.138),"Enter x in a.or b."))</f>
        <v>77951228.756999999</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4884547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CHSD 117</v>
      </c>
      <c r="E7" s="391"/>
      <c r="G7" s="252"/>
      <c r="H7" s="387"/>
      <c r="I7" s="387"/>
      <c r="J7" s="387"/>
      <c r="K7" s="387"/>
      <c r="L7" s="329"/>
      <c r="M7" s="329"/>
      <c r="N7" s="329"/>
      <c r="O7" s="329"/>
      <c r="P7" s="329"/>
    </row>
    <row r="8" spans="1:18" ht="12.75" x14ac:dyDescent="0.2">
      <c r="A8" s="329"/>
      <c r="B8" s="329"/>
      <c r="C8" s="389" t="s">
        <v>1187</v>
      </c>
      <c r="D8" s="392">
        <f>COVER!A13</f>
        <v>34049117016</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39390635</v>
      </c>
      <c r="I12" s="404"/>
      <c r="J12" s="404"/>
      <c r="K12" s="405">
        <f>TRUNC((H12/H13*100000),5)/100000</f>
        <v>0.79584014850000007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49495662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-380452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44235176</v>
      </c>
      <c r="I17" s="404"/>
      <c r="J17" s="416"/>
      <c r="K17" s="405">
        <f>TRUNC((H17/H18*100000),5)/100000</f>
        <v>0.8937182414</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49495662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-380452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39433724</v>
      </c>
      <c r="I24" s="422"/>
      <c r="J24" s="422"/>
      <c r="K24" s="423">
        <f>TRUNC(((H24/H25*100000)/100000),2)</f>
        <v>320.92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122875.48888999999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29230581.055920001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4884547</v>
      </c>
      <c r="I32" s="420"/>
      <c r="J32" s="420"/>
      <c r="K32" s="423">
        <f>TRUNC(100-((((H32/H33*100))*100)/100),2)</f>
        <v>93.73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77951228.756999999</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gridLine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A18" sqref="A18"/>
      <selection pane="bottomLeft" activeCell="A18" sqref="A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0"/>
      <c r="D3" s="1581"/>
      <c r="E3" s="1581"/>
      <c r="F3" s="1581"/>
      <c r="G3" s="1581"/>
      <c r="H3" s="1581"/>
      <c r="I3" s="1581"/>
      <c r="J3" s="1581"/>
      <c r="K3" s="1581"/>
      <c r="L3" s="1581"/>
      <c r="M3" s="1582"/>
      <c r="N3" s="1583"/>
    </row>
    <row r="4" spans="1:14" ht="13.5" customHeight="1" x14ac:dyDescent="0.2">
      <c r="A4" s="463" t="s">
        <v>1750</v>
      </c>
      <c r="B4" s="464"/>
      <c r="C4" s="465">
        <v>11320786</v>
      </c>
      <c r="D4" s="466">
        <v>2602490</v>
      </c>
      <c r="E4" s="466">
        <v>590827</v>
      </c>
      <c r="F4" s="466">
        <v>1119418</v>
      </c>
      <c r="G4" s="466">
        <v>345446</v>
      </c>
      <c r="H4" s="466">
        <v>0</v>
      </c>
      <c r="I4" s="466">
        <v>91030</v>
      </c>
      <c r="J4" s="467">
        <v>198234</v>
      </c>
      <c r="K4" s="466">
        <v>51598</v>
      </c>
      <c r="L4" s="466">
        <v>498039</v>
      </c>
      <c r="M4" s="468"/>
      <c r="N4" s="469"/>
    </row>
    <row r="5" spans="1:14" x14ac:dyDescent="0.2">
      <c r="A5" s="463" t="s">
        <v>1049</v>
      </c>
      <c r="B5" s="470">
        <v>120</v>
      </c>
      <c r="C5" s="465">
        <v>20000000</v>
      </c>
      <c r="D5" s="466">
        <v>3000000</v>
      </c>
      <c r="E5" s="466">
        <v>3500000</v>
      </c>
      <c r="F5" s="466">
        <v>800000</v>
      </c>
      <c r="G5" s="466">
        <v>0</v>
      </c>
      <c r="H5" s="466">
        <v>0</v>
      </c>
      <c r="I5" s="466">
        <v>500000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665</v>
      </c>
      <c r="B13" s="1730"/>
      <c r="C13" s="1758">
        <f>SUM(C4:C12)</f>
        <v>31320786</v>
      </c>
      <c r="D13" s="1758">
        <f t="shared" ref="D13:L13" si="0">SUM(D4:D12)</f>
        <v>5602490</v>
      </c>
      <c r="E13" s="1758">
        <f t="shared" si="0"/>
        <v>4090827</v>
      </c>
      <c r="F13" s="1758">
        <f t="shared" si="0"/>
        <v>1919418</v>
      </c>
      <c r="G13" s="1758">
        <f t="shared" si="0"/>
        <v>345446</v>
      </c>
      <c r="H13" s="1758">
        <f t="shared" si="0"/>
        <v>0</v>
      </c>
      <c r="I13" s="1758">
        <f t="shared" si="0"/>
        <v>591030</v>
      </c>
      <c r="J13" s="1758">
        <f t="shared" si="0"/>
        <v>198234</v>
      </c>
      <c r="K13" s="1758">
        <f t="shared" si="0"/>
        <v>51598</v>
      </c>
      <c r="L13" s="1758">
        <f t="shared" si="0"/>
        <v>498039</v>
      </c>
      <c r="M13" s="468"/>
      <c r="N13" s="469"/>
    </row>
    <row r="14" spans="1:14" ht="18" customHeight="1" thickTop="1" x14ac:dyDescent="0.2">
      <c r="A14" s="2128" t="s">
        <v>149</v>
      </c>
      <c r="B14" s="2129"/>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7280608</v>
      </c>
      <c r="N16" s="484"/>
    </row>
    <row r="17" spans="1:14" s="485" customFormat="1" ht="12.75" customHeight="1" x14ac:dyDescent="0.2">
      <c r="A17" s="482" t="s">
        <v>1470</v>
      </c>
      <c r="B17" s="483">
        <v>230</v>
      </c>
      <c r="C17" s="477"/>
      <c r="D17" s="477"/>
      <c r="E17" s="477"/>
      <c r="F17" s="477"/>
      <c r="G17" s="477"/>
      <c r="H17" s="477"/>
      <c r="I17" s="477"/>
      <c r="J17" s="477"/>
      <c r="K17" s="477"/>
      <c r="L17" s="477"/>
      <c r="M17" s="467">
        <v>73551791</v>
      </c>
      <c r="N17" s="484"/>
    </row>
    <row r="18" spans="1:14" s="485" customFormat="1" ht="12.75" customHeight="1" x14ac:dyDescent="0.2">
      <c r="A18" s="482" t="s">
        <v>1471</v>
      </c>
      <c r="B18" s="483">
        <v>240</v>
      </c>
      <c r="C18" s="477"/>
      <c r="D18" s="477"/>
      <c r="E18" s="477"/>
      <c r="F18" s="477"/>
      <c r="G18" s="477"/>
      <c r="H18" s="477"/>
      <c r="I18" s="477"/>
      <c r="J18" s="477"/>
      <c r="K18" s="477"/>
      <c r="L18" s="477"/>
      <c r="M18" s="467">
        <v>18016579</v>
      </c>
      <c r="N18" s="484"/>
    </row>
    <row r="19" spans="1:14" s="485" customFormat="1" ht="12.75" customHeight="1" x14ac:dyDescent="0.2">
      <c r="A19" s="482" t="s">
        <v>1472</v>
      </c>
      <c r="B19" s="483">
        <v>250</v>
      </c>
      <c r="C19" s="477"/>
      <c r="D19" s="477"/>
      <c r="E19" s="477"/>
      <c r="F19" s="477"/>
      <c r="G19" s="477"/>
      <c r="H19" s="477"/>
      <c r="I19" s="477"/>
      <c r="J19" s="477"/>
      <c r="K19" s="477"/>
      <c r="L19" s="477"/>
      <c r="M19" s="467">
        <v>22144251</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4090827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793720</v>
      </c>
    </row>
    <row r="23" spans="1:14" ht="13.5" customHeight="1" thickBot="1" x14ac:dyDescent="0.25">
      <c r="A23" s="1757" t="s">
        <v>664</v>
      </c>
      <c r="B23" s="1762"/>
      <c r="C23" s="468"/>
      <c r="D23" s="468"/>
      <c r="E23" s="468"/>
      <c r="F23" s="468"/>
      <c r="G23" s="468"/>
      <c r="H23" s="468"/>
      <c r="I23" s="468"/>
      <c r="J23" s="468"/>
      <c r="K23" s="468"/>
      <c r="L23" s="468"/>
      <c r="M23" s="1709">
        <f>SUM(M15:M22)</f>
        <v>120993229</v>
      </c>
      <c r="N23" s="1709">
        <f>SUM(N21:N22)</f>
        <v>4884547</v>
      </c>
    </row>
    <row r="24" spans="1:14" ht="18" customHeight="1" thickTop="1" x14ac:dyDescent="0.2">
      <c r="A24" s="2130" t="s">
        <v>619</v>
      </c>
      <c r="B24" s="2131"/>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94</v>
      </c>
      <c r="G26" s="467">
        <v>0</v>
      </c>
      <c r="H26" s="467">
        <v>0</v>
      </c>
      <c r="I26" s="467">
        <v>0</v>
      </c>
      <c r="J26" s="474">
        <v>0</v>
      </c>
      <c r="K26" s="467">
        <v>0</v>
      </c>
      <c r="L26" s="468"/>
      <c r="M26" s="468"/>
      <c r="N26" s="468"/>
    </row>
    <row r="27" spans="1:14" ht="13.5" customHeight="1" x14ac:dyDescent="0.2">
      <c r="A27" s="473" t="s">
        <v>668</v>
      </c>
      <c r="B27" s="470">
        <v>430</v>
      </c>
      <c r="C27" s="467">
        <v>0</v>
      </c>
      <c r="D27" s="467">
        <v>378</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-675</v>
      </c>
      <c r="E30" s="467">
        <v>0</v>
      </c>
      <c r="F30" s="467">
        <v>-165</v>
      </c>
      <c r="G30" s="467">
        <v>-250</v>
      </c>
      <c r="H30" s="467">
        <v>0</v>
      </c>
      <c r="I30" s="467">
        <v>0</v>
      </c>
      <c r="J30" s="467">
        <v>0</v>
      </c>
      <c r="K30" s="478">
        <v>0</v>
      </c>
      <c r="L30" s="468"/>
      <c r="M30" s="468"/>
      <c r="N30" s="468"/>
    </row>
    <row r="31" spans="1:14" ht="13.5" customHeight="1" x14ac:dyDescent="0.2">
      <c r="A31" s="473" t="s">
        <v>672</v>
      </c>
      <c r="B31" s="470">
        <v>480</v>
      </c>
      <c r="C31" s="466">
        <v>43457</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498039</v>
      </c>
      <c r="M33" s="468"/>
      <c r="N33" s="469"/>
    </row>
    <row r="34" spans="1:14" ht="13.5" customHeight="1" thickBot="1" x14ac:dyDescent="0.25">
      <c r="A34" s="1759" t="s">
        <v>675</v>
      </c>
      <c r="B34" s="1760"/>
      <c r="C34" s="1761">
        <f>SUM(C25:C33)</f>
        <v>43457</v>
      </c>
      <c r="D34" s="1761">
        <f t="shared" ref="D34:K34" si="1">SUM(D25:D33)</f>
        <v>-297</v>
      </c>
      <c r="E34" s="1761">
        <f t="shared" si="1"/>
        <v>0</v>
      </c>
      <c r="F34" s="1761">
        <f t="shared" si="1"/>
        <v>-71</v>
      </c>
      <c r="G34" s="1761">
        <f t="shared" si="1"/>
        <v>-250</v>
      </c>
      <c r="H34" s="1761">
        <f t="shared" si="1"/>
        <v>0</v>
      </c>
      <c r="I34" s="1761">
        <f t="shared" si="1"/>
        <v>0</v>
      </c>
      <c r="J34" s="1761">
        <f t="shared" si="1"/>
        <v>0</v>
      </c>
      <c r="K34" s="1761">
        <f t="shared" si="1"/>
        <v>0</v>
      </c>
      <c r="L34" s="1742">
        <f>SUM(L33)</f>
        <v>498039</v>
      </c>
      <c r="M34" s="468"/>
      <c r="N34" s="480"/>
    </row>
    <row r="35" spans="1:14" ht="18" customHeight="1" thickTop="1" x14ac:dyDescent="0.2">
      <c r="A35" s="2132" t="s">
        <v>550</v>
      </c>
      <c r="B35" s="2133"/>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4884547</v>
      </c>
    </row>
    <row r="37" spans="1:14" ht="13.5" thickBot="1" x14ac:dyDescent="0.25">
      <c r="A37" s="1757" t="s">
        <v>674</v>
      </c>
      <c r="B37" s="1762"/>
      <c r="C37" s="477"/>
      <c r="D37" s="477"/>
      <c r="E37" s="477"/>
      <c r="F37" s="477"/>
      <c r="G37" s="477"/>
      <c r="H37" s="477"/>
      <c r="I37" s="477"/>
      <c r="J37" s="477"/>
      <c r="K37" s="477"/>
      <c r="L37" s="480"/>
      <c r="M37" s="468"/>
      <c r="N37" s="1709">
        <f>SUM(N36:N36)</f>
        <v>4884547</v>
      </c>
    </row>
    <row r="38" spans="1:14" s="329" customFormat="1" ht="13.5" customHeight="1" thickTop="1" x14ac:dyDescent="0.2">
      <c r="A38" s="496" t="s">
        <v>440</v>
      </c>
      <c r="B38" s="483">
        <v>714</v>
      </c>
      <c r="C38" s="466"/>
      <c r="D38" s="466"/>
      <c r="E38" s="466"/>
      <c r="F38" s="466"/>
      <c r="G38" s="466">
        <v>202278</v>
      </c>
      <c r="H38" s="466"/>
      <c r="I38" s="466"/>
      <c r="J38" s="467"/>
      <c r="K38" s="466"/>
      <c r="L38" s="481"/>
      <c r="M38" s="497"/>
      <c r="N38" s="497"/>
    </row>
    <row r="39" spans="1:14" s="329" customFormat="1" ht="13.5" customHeight="1" x14ac:dyDescent="0.2">
      <c r="A39" s="496" t="s">
        <v>360</v>
      </c>
      <c r="B39" s="483">
        <v>730</v>
      </c>
      <c r="C39" s="466">
        <v>31277329</v>
      </c>
      <c r="D39" s="466">
        <v>5602787</v>
      </c>
      <c r="E39" s="466">
        <v>4090827</v>
      </c>
      <c r="F39" s="466">
        <v>1919489</v>
      </c>
      <c r="G39" s="466">
        <v>143418</v>
      </c>
      <c r="H39" s="466">
        <v>0</v>
      </c>
      <c r="I39" s="466">
        <v>591030</v>
      </c>
      <c r="J39" s="467">
        <v>198234</v>
      </c>
      <c r="K39" s="466">
        <v>51598</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120993229</v>
      </c>
      <c r="N40" s="497"/>
    </row>
    <row r="41" spans="1:14" ht="13.5" customHeight="1" thickBot="1" x14ac:dyDescent="0.25">
      <c r="A41" s="1757" t="s">
        <v>676</v>
      </c>
      <c r="B41" s="1727"/>
      <c r="C41" s="1709">
        <f>(SUM(C34,C37,C38,C39))</f>
        <v>31320786</v>
      </c>
      <c r="D41" s="1709">
        <f t="shared" ref="D41:L41" si="2">SUM(D34,D37,D38:D39)</f>
        <v>5602490</v>
      </c>
      <c r="E41" s="1709">
        <f t="shared" si="2"/>
        <v>4090827</v>
      </c>
      <c r="F41" s="1709">
        <f t="shared" si="2"/>
        <v>1919418</v>
      </c>
      <c r="G41" s="1709">
        <f t="shared" si="2"/>
        <v>345446</v>
      </c>
      <c r="H41" s="1709">
        <f t="shared" si="2"/>
        <v>0</v>
      </c>
      <c r="I41" s="1709">
        <f t="shared" si="2"/>
        <v>591030</v>
      </c>
      <c r="J41" s="1709">
        <f t="shared" si="2"/>
        <v>198234</v>
      </c>
      <c r="K41" s="1709">
        <f t="shared" si="2"/>
        <v>51598</v>
      </c>
      <c r="L41" s="1709">
        <f t="shared" si="2"/>
        <v>498039</v>
      </c>
      <c r="M41" s="1709">
        <f>SUM(M40)</f>
        <v>120993229</v>
      </c>
      <c r="N41" s="1709">
        <f>SUM(N37)</f>
        <v>4884547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2" activePane="bottomLeft" state="frozenSplit"/>
      <selection activeCell="A18" sqref="A18"/>
      <selection pane="bottomLeft" activeCell="A18" sqref="A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4"/>
      <c r="D3" s="1595"/>
      <c r="E3" s="1595"/>
      <c r="F3" s="1595"/>
      <c r="G3" s="1595"/>
      <c r="H3" s="1595"/>
      <c r="I3" s="1595"/>
      <c r="J3" s="1595"/>
      <c r="K3" s="1596"/>
      <c r="L3" s="506"/>
    </row>
    <row r="4" spans="1:13" ht="15.75" customHeight="1" x14ac:dyDescent="0.2">
      <c r="A4" s="1952" t="s">
        <v>1579</v>
      </c>
      <c r="B4" s="1953">
        <v>1000</v>
      </c>
      <c r="C4" s="1763">
        <f>'Revenues 9-14'!C109</f>
        <v>31476641</v>
      </c>
      <c r="D4" s="1763">
        <f>'Revenues 9-14'!D109</f>
        <v>6324089</v>
      </c>
      <c r="E4" s="1763">
        <f>'Revenues 9-14'!E109</f>
        <v>6961229</v>
      </c>
      <c r="F4" s="1763">
        <f>'Revenues 9-14'!F109</f>
        <v>1632838</v>
      </c>
      <c r="G4" s="1763">
        <f>'Revenues 9-14'!G109</f>
        <v>590515</v>
      </c>
      <c r="H4" s="1763">
        <f>'Revenues 9-14'!H109</f>
        <v>0</v>
      </c>
      <c r="I4" s="1763">
        <f>'Revenues 9-14'!I109</f>
        <v>63104</v>
      </c>
      <c r="J4" s="1763">
        <f>'Revenues 9-14'!J109</f>
        <v>267450</v>
      </c>
      <c r="K4" s="1763">
        <f>'Revenues 9-14'!K109</f>
        <v>64443</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6425279</v>
      </c>
      <c r="D6" s="1764">
        <f>'Revenues 9-14'!D173</f>
        <v>1500000</v>
      </c>
      <c r="E6" s="1764">
        <f>'Revenues 9-14'!E173</f>
        <v>0</v>
      </c>
      <c r="F6" s="1764">
        <f>'Revenues 9-14'!F173</f>
        <v>1814213</v>
      </c>
      <c r="G6" s="1764">
        <f>'Revenues 9-14'!G173</f>
        <v>250000</v>
      </c>
      <c r="H6" s="1764">
        <f>'Revenues 9-14'!H173</f>
        <v>0</v>
      </c>
      <c r="I6" s="1764">
        <f>'Revenues 9-14'!I173</f>
        <v>0</v>
      </c>
      <c r="J6" s="1764">
        <f>'Revenues 9-14'!J173</f>
        <v>40000</v>
      </c>
      <c r="K6" s="1764">
        <f>'Revenues 9-14'!K173</f>
        <v>0</v>
      </c>
      <c r="L6" s="347"/>
      <c r="M6" s="513"/>
    </row>
    <row r="7" spans="1:13" ht="15.75" customHeight="1" x14ac:dyDescent="0.2">
      <c r="A7" s="1597" t="s">
        <v>1582</v>
      </c>
      <c r="B7" s="1599">
        <v>4000</v>
      </c>
      <c r="C7" s="1764">
        <f>'Revenues 9-14'!C274</f>
        <v>639950</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38541870</v>
      </c>
      <c r="D8" s="1709">
        <f t="shared" ref="D8:K8" si="0">SUM(D4:D7)</f>
        <v>7824089</v>
      </c>
      <c r="E8" s="1709">
        <f t="shared" si="0"/>
        <v>6961229</v>
      </c>
      <c r="F8" s="1709">
        <f t="shared" si="0"/>
        <v>3447051</v>
      </c>
      <c r="G8" s="1709">
        <f t="shared" si="0"/>
        <v>840515</v>
      </c>
      <c r="H8" s="1709">
        <f t="shared" si="0"/>
        <v>0</v>
      </c>
      <c r="I8" s="1709">
        <f t="shared" si="0"/>
        <v>63104</v>
      </c>
      <c r="J8" s="1709">
        <f t="shared" si="0"/>
        <v>307450</v>
      </c>
      <c r="K8" s="1709">
        <f t="shared" si="0"/>
        <v>64443</v>
      </c>
      <c r="L8" s="347"/>
    </row>
    <row r="9" spans="1:13" ht="15.75" thickTop="1" x14ac:dyDescent="0.2">
      <c r="A9" s="514" t="s">
        <v>1752</v>
      </c>
      <c r="B9" s="515">
        <v>3998</v>
      </c>
      <c r="C9" s="481">
        <v>12644053</v>
      </c>
      <c r="D9" s="516">
        <v>0</v>
      </c>
      <c r="E9" s="481">
        <v>0</v>
      </c>
      <c r="F9" s="481">
        <v>0</v>
      </c>
      <c r="G9" s="517">
        <v>0</v>
      </c>
      <c r="H9" s="481">
        <v>0</v>
      </c>
      <c r="I9" s="509" t="s">
        <v>1231</v>
      </c>
      <c r="J9" s="478">
        <v>0</v>
      </c>
      <c r="K9" s="481">
        <v>0</v>
      </c>
      <c r="L9" s="347"/>
    </row>
    <row r="10" spans="1:13" s="519" customFormat="1" ht="13.5" thickBot="1" x14ac:dyDescent="0.25">
      <c r="A10" s="1757" t="s">
        <v>1235</v>
      </c>
      <c r="B10" s="1730"/>
      <c r="C10" s="1709">
        <f>SUM(C8:C9)</f>
        <v>51185923</v>
      </c>
      <c r="D10" s="1709">
        <f t="shared" ref="D10:K10" si="1">SUM(D8:D9)</f>
        <v>7824089</v>
      </c>
      <c r="E10" s="1709">
        <f t="shared" si="1"/>
        <v>6961229</v>
      </c>
      <c r="F10" s="1709">
        <f t="shared" si="1"/>
        <v>3447051</v>
      </c>
      <c r="G10" s="1709">
        <f t="shared" si="1"/>
        <v>840515</v>
      </c>
      <c r="H10" s="1709">
        <f t="shared" si="1"/>
        <v>0</v>
      </c>
      <c r="I10" s="1709">
        <f t="shared" si="1"/>
        <v>63104</v>
      </c>
      <c r="J10" s="1709">
        <f t="shared" si="1"/>
        <v>307450</v>
      </c>
      <c r="K10" s="1709">
        <f t="shared" si="1"/>
        <v>64443</v>
      </c>
      <c r="L10" s="518"/>
    </row>
    <row r="11" spans="1:13" s="519" customFormat="1" ht="16.7" customHeight="1" thickTop="1" x14ac:dyDescent="0.2">
      <c r="A11" s="2128" t="s">
        <v>1238</v>
      </c>
      <c r="B11" s="2129"/>
      <c r="C11" s="1591"/>
      <c r="D11" s="1592"/>
      <c r="E11" s="1592"/>
      <c r="F11" s="1592"/>
      <c r="G11" s="1592"/>
      <c r="H11" s="1592"/>
      <c r="I11" s="1592"/>
      <c r="J11" s="1592"/>
      <c r="K11" s="1593"/>
      <c r="L11" s="518"/>
    </row>
    <row r="12" spans="1:13" ht="15.75" customHeight="1" x14ac:dyDescent="0.2">
      <c r="A12" s="1597" t="s">
        <v>476</v>
      </c>
      <c r="B12" s="1599">
        <v>1000</v>
      </c>
      <c r="C12" s="1763">
        <f>'Expenditures 15-22'!K33</f>
        <v>24285389</v>
      </c>
      <c r="D12" s="520" t="s">
        <v>1231</v>
      </c>
      <c r="E12" s="468" t="s">
        <v>1231</v>
      </c>
      <c r="F12" s="468" t="s">
        <v>1231</v>
      </c>
      <c r="G12" s="1763">
        <f>'Expenditures 15-22'!K229</f>
        <v>474538</v>
      </c>
      <c r="H12" s="521"/>
      <c r="I12" s="468" t="s">
        <v>1231</v>
      </c>
      <c r="J12" s="468" t="s">
        <v>1231</v>
      </c>
      <c r="K12" s="521" t="s">
        <v>1231</v>
      </c>
      <c r="L12" s="347"/>
    </row>
    <row r="13" spans="1:13" ht="15.75" customHeight="1" x14ac:dyDescent="0.2">
      <c r="A13" s="1597" t="s">
        <v>477</v>
      </c>
      <c r="B13" s="1599">
        <v>2000</v>
      </c>
      <c r="C13" s="1764">
        <f>'Expenditures 15-22'!K74</f>
        <v>9115478</v>
      </c>
      <c r="D13" s="1764">
        <f>'Expenditures 15-22'!K129</f>
        <v>6907541</v>
      </c>
      <c r="E13" s="469" t="s">
        <v>1231</v>
      </c>
      <c r="F13" s="1764">
        <f>'Expenditures 15-22'!K184</f>
        <v>2775873</v>
      </c>
      <c r="G13" s="1764">
        <f>'Expenditures 15-22'!K279</f>
        <v>341991</v>
      </c>
      <c r="H13" s="1764">
        <f>'Expenditures 15-22'!K303</f>
        <v>0</v>
      </c>
      <c r="I13" s="468" t="s">
        <v>1231</v>
      </c>
      <c r="J13" s="1764">
        <f>'Expenditures 15-22'!K330</f>
        <v>262384</v>
      </c>
      <c r="K13" s="1768">
        <f>'Expenditures 15-22'!K352</f>
        <v>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1044538</v>
      </c>
      <c r="D15" s="1764">
        <f>'Expenditures 15-22'!K139</f>
        <v>106357</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7715536</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34445405</v>
      </c>
      <c r="D17" s="1709">
        <f t="shared" si="2"/>
        <v>7013898</v>
      </c>
      <c r="E17" s="1709">
        <f t="shared" si="2"/>
        <v>7715536</v>
      </c>
      <c r="F17" s="1709">
        <f t="shared" si="2"/>
        <v>2775873</v>
      </c>
      <c r="G17" s="1709">
        <f t="shared" si="2"/>
        <v>816529</v>
      </c>
      <c r="H17" s="1709">
        <f t="shared" si="2"/>
        <v>0</v>
      </c>
      <c r="I17" s="468"/>
      <c r="J17" s="1709">
        <f>SUM(J12:J16)</f>
        <v>262384</v>
      </c>
      <c r="K17" s="1709">
        <f>SUM(K12:K16)</f>
        <v>0</v>
      </c>
      <c r="L17" s="347"/>
    </row>
    <row r="18" spans="1:12" ht="15" customHeight="1" thickTop="1" x14ac:dyDescent="0.2">
      <c r="A18" s="1765" t="s">
        <v>1753</v>
      </c>
      <c r="B18" s="1766">
        <v>4180</v>
      </c>
      <c r="C18" s="1763">
        <f t="shared" ref="C18:H18" si="3">C9</f>
        <v>12644053</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47089458</v>
      </c>
      <c r="D19" s="1709">
        <f t="shared" si="4"/>
        <v>7013898</v>
      </c>
      <c r="E19" s="1709">
        <f t="shared" si="4"/>
        <v>7715536</v>
      </c>
      <c r="F19" s="1709">
        <f t="shared" si="4"/>
        <v>2775873</v>
      </c>
      <c r="G19" s="1709">
        <f t="shared" si="4"/>
        <v>816529</v>
      </c>
      <c r="H19" s="1709">
        <f t="shared" si="4"/>
        <v>0</v>
      </c>
      <c r="I19" s="468"/>
      <c r="J19" s="1709">
        <f>SUM(J17:J18)</f>
        <v>262384</v>
      </c>
      <c r="K19" s="1709">
        <f>SUM(K17:K18)</f>
        <v>0</v>
      </c>
      <c r="L19" s="347"/>
    </row>
    <row r="20" spans="1:12" ht="16.5" thickTop="1" thickBot="1" x14ac:dyDescent="0.25">
      <c r="A20" s="2144" t="s">
        <v>1754</v>
      </c>
      <c r="B20" s="2145"/>
      <c r="C20" s="1767">
        <f>C8-C17</f>
        <v>4096465</v>
      </c>
      <c r="D20" s="1767">
        <f t="shared" ref="D20:K20" si="5">D8-D17</f>
        <v>810191</v>
      </c>
      <c r="E20" s="1767">
        <f t="shared" si="5"/>
        <v>-754307</v>
      </c>
      <c r="F20" s="1767">
        <f t="shared" si="5"/>
        <v>671178</v>
      </c>
      <c r="G20" s="1767">
        <f t="shared" si="5"/>
        <v>23986</v>
      </c>
      <c r="H20" s="1767">
        <f t="shared" si="5"/>
        <v>0</v>
      </c>
      <c r="I20" s="1767">
        <f t="shared" si="5"/>
        <v>63104</v>
      </c>
      <c r="J20" s="1767">
        <f t="shared" si="5"/>
        <v>45066</v>
      </c>
      <c r="K20" s="1767">
        <f t="shared" si="5"/>
        <v>64443</v>
      </c>
      <c r="L20" s="347"/>
    </row>
    <row r="21" spans="1:12" ht="16.7" customHeight="1" thickTop="1" x14ac:dyDescent="0.2">
      <c r="A21" s="2156" t="s">
        <v>616</v>
      </c>
      <c r="B21" s="2157"/>
      <c r="C21" s="1591"/>
      <c r="D21" s="1592"/>
      <c r="E21" s="1592"/>
      <c r="F21" s="1592"/>
      <c r="G21" s="1592"/>
      <c r="H21" s="1592"/>
      <c r="I21" s="1592"/>
      <c r="J21" s="1592"/>
      <c r="K21" s="1593"/>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14243</v>
      </c>
      <c r="D28" s="467">
        <v>0</v>
      </c>
      <c r="E28" s="467">
        <v>735000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115084</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376971</v>
      </c>
      <c r="F37" s="475"/>
      <c r="G37" s="475"/>
      <c r="H37" s="475"/>
      <c r="I37" s="477"/>
      <c r="J37" s="475"/>
      <c r="K37" s="475"/>
      <c r="L37" s="524"/>
    </row>
    <row r="38" spans="1:12" s="485" customFormat="1" x14ac:dyDescent="0.2">
      <c r="A38" s="1510" t="s">
        <v>462</v>
      </c>
      <c r="B38" s="525">
        <v>7500</v>
      </c>
      <c r="C38" s="477"/>
      <c r="D38" s="477"/>
      <c r="E38" s="1764">
        <f>SUM(C58:D61,H58:H61)</f>
        <v>3481</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4">
        <f>SUM(C24:C43)</f>
        <v>14243</v>
      </c>
      <c r="D44" s="1724">
        <f t="shared" ref="D44:K44" si="6">SUM(D24:D43)</f>
        <v>0</v>
      </c>
      <c r="E44" s="1724">
        <f t="shared" si="6"/>
        <v>1230536</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735000</v>
      </c>
      <c r="D50" s="467">
        <v>0</v>
      </c>
      <c r="E50" s="467">
        <v>14243</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115084</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175469</v>
      </c>
      <c r="D56" s="531">
        <v>201502</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388</v>
      </c>
      <c r="D60" s="531">
        <v>3093</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4">
        <f t="shared" ref="C76:K76" si="7">SUM(C47:C75)</f>
        <v>910857</v>
      </c>
      <c r="D76" s="1724">
        <f t="shared" si="7"/>
        <v>204595</v>
      </c>
      <c r="E76" s="1724">
        <f t="shared" si="7"/>
        <v>14243</v>
      </c>
      <c r="F76" s="1724">
        <f t="shared" si="7"/>
        <v>0</v>
      </c>
      <c r="G76" s="1724">
        <f t="shared" si="7"/>
        <v>0</v>
      </c>
      <c r="H76" s="1724">
        <f t="shared" si="7"/>
        <v>0</v>
      </c>
      <c r="I76" s="1724">
        <f t="shared" si="7"/>
        <v>0</v>
      </c>
      <c r="J76" s="1724">
        <f t="shared" si="7"/>
        <v>0</v>
      </c>
      <c r="K76" s="1724">
        <f t="shared" si="7"/>
        <v>115084</v>
      </c>
      <c r="L76" s="524"/>
    </row>
    <row r="77" spans="1:12" ht="14.25" thickTop="1" thickBot="1" x14ac:dyDescent="0.25">
      <c r="A77" s="2136" t="s">
        <v>1239</v>
      </c>
      <c r="B77" s="2137"/>
      <c r="C77" s="1724">
        <f t="shared" ref="C77:K77" si="8">C44-C76</f>
        <v>-896614</v>
      </c>
      <c r="D77" s="1724">
        <f t="shared" si="8"/>
        <v>-204595</v>
      </c>
      <c r="E77" s="1724">
        <f t="shared" si="8"/>
        <v>1216293</v>
      </c>
      <c r="F77" s="1724">
        <f t="shared" si="8"/>
        <v>0</v>
      </c>
      <c r="G77" s="1724">
        <f t="shared" si="8"/>
        <v>0</v>
      </c>
      <c r="H77" s="1724">
        <f t="shared" si="8"/>
        <v>0</v>
      </c>
      <c r="I77" s="1724">
        <f t="shared" si="8"/>
        <v>0</v>
      </c>
      <c r="J77" s="1724">
        <f t="shared" si="8"/>
        <v>0</v>
      </c>
      <c r="K77" s="1724">
        <f t="shared" si="8"/>
        <v>-115084</v>
      </c>
      <c r="L77" s="347"/>
    </row>
    <row r="78" spans="1:12" ht="21.75" customHeight="1" thickTop="1" thickBot="1" x14ac:dyDescent="0.25">
      <c r="A78" s="2140" t="s">
        <v>618</v>
      </c>
      <c r="B78" s="2141"/>
      <c r="C78" s="1723">
        <f t="shared" ref="C78:K78" si="9">C20+C77</f>
        <v>3199851</v>
      </c>
      <c r="D78" s="1723">
        <f t="shared" si="9"/>
        <v>605596</v>
      </c>
      <c r="E78" s="1723">
        <f t="shared" si="9"/>
        <v>461986</v>
      </c>
      <c r="F78" s="1723">
        <f t="shared" si="9"/>
        <v>671178</v>
      </c>
      <c r="G78" s="1723">
        <f t="shared" si="9"/>
        <v>23986</v>
      </c>
      <c r="H78" s="1723">
        <f t="shared" si="9"/>
        <v>0</v>
      </c>
      <c r="I78" s="1723">
        <f t="shared" si="9"/>
        <v>63104</v>
      </c>
      <c r="J78" s="1723">
        <f t="shared" si="9"/>
        <v>45066</v>
      </c>
      <c r="K78" s="1723">
        <f t="shared" si="9"/>
        <v>-50641</v>
      </c>
      <c r="L78" s="533"/>
    </row>
    <row r="79" spans="1:12" ht="13.5" thickTop="1" x14ac:dyDescent="0.2">
      <c r="A79" s="1515" t="s">
        <v>2073</v>
      </c>
      <c r="B79" s="534"/>
      <c r="C79" s="478">
        <v>28077478</v>
      </c>
      <c r="D79" s="535">
        <v>4997191</v>
      </c>
      <c r="E79" s="535">
        <v>3628841</v>
      </c>
      <c r="F79" s="535">
        <v>1248311</v>
      </c>
      <c r="G79" s="535">
        <v>321710</v>
      </c>
      <c r="H79" s="535">
        <v>0</v>
      </c>
      <c r="I79" s="535">
        <v>527926</v>
      </c>
      <c r="J79" s="535">
        <v>153168</v>
      </c>
      <c r="K79" s="535">
        <v>102239</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09">
        <f>(SUM(C78:C80))</f>
        <v>31277329</v>
      </c>
      <c r="D81" s="1709">
        <f>SUM(D78:D80)</f>
        <v>5602787</v>
      </c>
      <c r="E81" s="1709">
        <f t="shared" ref="E81:K81" si="10">SUM(E78:E80)</f>
        <v>4090827</v>
      </c>
      <c r="F81" s="1709">
        <f t="shared" si="10"/>
        <v>1919489</v>
      </c>
      <c r="G81" s="1709">
        <f t="shared" si="10"/>
        <v>345696</v>
      </c>
      <c r="H81" s="1709">
        <f t="shared" si="10"/>
        <v>0</v>
      </c>
      <c r="I81" s="1709">
        <f t="shared" si="10"/>
        <v>591030</v>
      </c>
      <c r="J81" s="1709">
        <f t="shared" si="10"/>
        <v>198234</v>
      </c>
      <c r="K81" s="1709">
        <f t="shared" si="10"/>
        <v>51598</v>
      </c>
      <c r="L81" s="347"/>
    </row>
    <row r="82" spans="1:12" ht="0.75" customHeight="1" thickTop="1" thickBot="1" x14ac:dyDescent="0.25">
      <c r="A82" s="536" t="s">
        <v>361</v>
      </c>
      <c r="B82" s="537"/>
      <c r="C82" s="538">
        <f>(C81-C79)</f>
        <v>3199851</v>
      </c>
      <c r="D82" s="538">
        <f t="shared" ref="D82:K82" si="11">(D81-D79)</f>
        <v>605596</v>
      </c>
      <c r="E82" s="538">
        <f t="shared" si="11"/>
        <v>461986</v>
      </c>
      <c r="F82" s="538">
        <f t="shared" si="11"/>
        <v>671178</v>
      </c>
      <c r="G82" s="538">
        <f t="shared" si="11"/>
        <v>23986</v>
      </c>
      <c r="H82" s="538">
        <f t="shared" si="11"/>
        <v>0</v>
      </c>
      <c r="I82" s="538">
        <f t="shared" si="11"/>
        <v>63104</v>
      </c>
      <c r="J82" s="538">
        <f t="shared" si="11"/>
        <v>45066</v>
      </c>
      <c r="K82" s="538">
        <f t="shared" si="11"/>
        <v>-50641</v>
      </c>
    </row>
    <row r="83" spans="1:12" ht="14.25" hidden="1" thickTop="1" thickBot="1" x14ac:dyDescent="0.25">
      <c r="A83" s="539" t="s">
        <v>362</v>
      </c>
      <c r="B83" s="464"/>
      <c r="C83" s="540">
        <f>C82/C81</f>
        <v>0.10230576274591734</v>
      </c>
      <c r="D83" s="540">
        <f t="shared" ref="D83:K83" si="12">D82/D81</f>
        <v>0.108088349601725</v>
      </c>
      <c r="E83" s="540">
        <f t="shared" si="12"/>
        <v>0.1129321772834686</v>
      </c>
      <c r="F83" s="540">
        <f t="shared" si="12"/>
        <v>0.34966493686600963</v>
      </c>
      <c r="G83" s="540">
        <f t="shared" si="12"/>
        <v>6.9384661668055167E-2</v>
      </c>
      <c r="H83" s="540" t="e">
        <f t="shared" si="12"/>
        <v>#DIV/0!</v>
      </c>
      <c r="I83" s="540">
        <f t="shared" si="12"/>
        <v>0.10676953792531682</v>
      </c>
      <c r="J83" s="540">
        <f t="shared" si="12"/>
        <v>0.22733738914616058</v>
      </c>
      <c r="K83" s="540">
        <f t="shared" si="12"/>
        <v>-0.9814527694871894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gridLine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8" sqref="A18"/>
      <selection pane="bottomLeft" activeCell="E5" sqref="E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27147379</v>
      </c>
      <c r="D5" s="481">
        <v>5985841</v>
      </c>
      <c r="E5" s="466">
        <v>6946986</v>
      </c>
      <c r="F5" s="548">
        <v>1622652</v>
      </c>
      <c r="G5" s="466">
        <v>88723</v>
      </c>
      <c r="H5" s="466">
        <v>0</v>
      </c>
      <c r="I5" s="466">
        <v>60417</v>
      </c>
      <c r="J5" s="467">
        <v>263908</v>
      </c>
      <c r="K5" s="466">
        <v>64189</v>
      </c>
    </row>
    <row r="6" spans="1:12" ht="15" x14ac:dyDescent="0.2">
      <c r="A6" s="463" t="s">
        <v>1761</v>
      </c>
      <c r="B6" s="470">
        <v>1130</v>
      </c>
      <c r="C6" s="466">
        <v>101550</v>
      </c>
      <c r="D6" s="466">
        <v>0</v>
      </c>
      <c r="E6" s="475"/>
      <c r="F6" s="475"/>
      <c r="G6" s="468"/>
      <c r="H6" s="468"/>
      <c r="I6" s="468"/>
      <c r="J6" s="468"/>
      <c r="K6" s="468"/>
    </row>
    <row r="7" spans="1:12" x14ac:dyDescent="0.2">
      <c r="A7" s="463" t="s">
        <v>112</v>
      </c>
      <c r="B7" s="549">
        <v>1140</v>
      </c>
      <c r="C7" s="466">
        <v>418602</v>
      </c>
      <c r="D7" s="466">
        <v>0</v>
      </c>
      <c r="E7" s="468"/>
      <c r="F7" s="467">
        <v>0</v>
      </c>
      <c r="G7" s="467">
        <v>77135</v>
      </c>
      <c r="H7" s="467">
        <v>0</v>
      </c>
      <c r="I7" s="468"/>
      <c r="J7" s="468"/>
      <c r="K7" s="468"/>
    </row>
    <row r="8" spans="1:12" x14ac:dyDescent="0.2">
      <c r="A8" s="463" t="s">
        <v>433</v>
      </c>
      <c r="B8" s="470">
        <v>1150</v>
      </c>
      <c r="C8" s="475"/>
      <c r="D8" s="475"/>
      <c r="E8" s="477"/>
      <c r="F8" s="477"/>
      <c r="G8" s="481">
        <v>377411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27667531</v>
      </c>
      <c r="D12" s="1728">
        <f t="shared" si="0"/>
        <v>5985841</v>
      </c>
      <c r="E12" s="1728">
        <f t="shared" si="0"/>
        <v>6946986</v>
      </c>
      <c r="F12" s="1728">
        <f t="shared" si="0"/>
        <v>1622652</v>
      </c>
      <c r="G12" s="1728">
        <f t="shared" si="0"/>
        <v>543269</v>
      </c>
      <c r="H12" s="1728">
        <f t="shared" si="0"/>
        <v>0</v>
      </c>
      <c r="I12" s="1728">
        <f t="shared" si="0"/>
        <v>60417</v>
      </c>
      <c r="J12" s="1728">
        <f t="shared" si="0"/>
        <v>263908</v>
      </c>
      <c r="K12" s="1709">
        <f t="shared" si="0"/>
        <v>64189</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175654</v>
      </c>
      <c r="D16" s="466">
        <v>0</v>
      </c>
      <c r="E16" s="466">
        <v>0</v>
      </c>
      <c r="F16" s="466">
        <v>0</v>
      </c>
      <c r="G16" s="466">
        <v>45000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175654</v>
      </c>
      <c r="D18" s="1731">
        <f t="shared" ref="D18:K18" si="1">SUM(D14:D17)</f>
        <v>0</v>
      </c>
      <c r="E18" s="1731">
        <f t="shared" si="1"/>
        <v>0</v>
      </c>
      <c r="F18" s="1731">
        <f t="shared" si="1"/>
        <v>0</v>
      </c>
      <c r="G18" s="1731">
        <f t="shared" si="1"/>
        <v>45000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41603</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819794</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861397</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198383</v>
      </c>
      <c r="D65" s="466">
        <v>33474</v>
      </c>
      <c r="E65" s="466">
        <v>14243</v>
      </c>
      <c r="F65" s="467">
        <v>10186</v>
      </c>
      <c r="G65" s="466">
        <v>2246</v>
      </c>
      <c r="H65" s="466">
        <v>0</v>
      </c>
      <c r="I65" s="466">
        <v>2687</v>
      </c>
      <c r="J65" s="467">
        <v>463</v>
      </c>
      <c r="K65" s="466">
        <v>254</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198383</v>
      </c>
      <c r="D67" s="1709">
        <f t="shared" ref="D67:K67" si="2">SUM(D65:D66)</f>
        <v>33474</v>
      </c>
      <c r="E67" s="1709">
        <f t="shared" si="2"/>
        <v>14243</v>
      </c>
      <c r="F67" s="1709">
        <f t="shared" si="2"/>
        <v>10186</v>
      </c>
      <c r="G67" s="1709">
        <f t="shared" si="2"/>
        <v>2246</v>
      </c>
      <c r="H67" s="1709">
        <f t="shared" si="2"/>
        <v>0</v>
      </c>
      <c r="I67" s="1709">
        <f t="shared" si="2"/>
        <v>2687</v>
      </c>
      <c r="J67" s="1709">
        <f t="shared" si="2"/>
        <v>463</v>
      </c>
      <c r="K67" s="1709">
        <f t="shared" si="2"/>
        <v>254</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821559</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569</v>
      </c>
      <c r="B75" s="1730"/>
      <c r="C75" s="1709">
        <f>SUM(C69:C74)</f>
        <v>821559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129137</v>
      </c>
      <c r="D77" s="466">
        <v>0</v>
      </c>
      <c r="E77" s="468"/>
      <c r="F77" s="468"/>
      <c r="G77" s="468"/>
      <c r="H77" s="468"/>
      <c r="I77" s="468"/>
      <c r="J77" s="468"/>
      <c r="K77" s="468"/>
    </row>
    <row r="78" spans="1:11" ht="12.75" customHeight="1" x14ac:dyDescent="0.2">
      <c r="A78" s="463" t="s">
        <v>78</v>
      </c>
      <c r="B78" s="470">
        <v>1719</v>
      </c>
      <c r="C78" s="551">
        <v>26652</v>
      </c>
      <c r="D78" s="466">
        <v>0</v>
      </c>
      <c r="E78" s="468"/>
      <c r="F78" s="468"/>
      <c r="G78" s="468"/>
      <c r="H78" s="468"/>
      <c r="I78" s="468"/>
      <c r="J78" s="468"/>
      <c r="K78" s="468"/>
    </row>
    <row r="79" spans="1:11" ht="12.75" customHeight="1" x14ac:dyDescent="0.2">
      <c r="A79" s="463" t="s">
        <v>571</v>
      </c>
      <c r="B79" s="470">
        <v>1720</v>
      </c>
      <c r="C79" s="551">
        <v>568927</v>
      </c>
      <c r="D79" s="466">
        <v>68394</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802</v>
      </c>
      <c r="D81" s="466">
        <v>0</v>
      </c>
      <c r="E81" s="468"/>
      <c r="F81" s="468"/>
      <c r="G81" s="468"/>
      <c r="H81" s="468"/>
      <c r="I81" s="468"/>
      <c r="J81" s="468"/>
      <c r="K81" s="468"/>
    </row>
    <row r="82" spans="1:11" ht="12.75" customHeight="1" thickBot="1" x14ac:dyDescent="0.25">
      <c r="A82" s="1729" t="s">
        <v>259</v>
      </c>
      <c r="B82" s="1730"/>
      <c r="C82" s="1728">
        <f>SUM(C77:C81)</f>
        <v>725518</v>
      </c>
      <c r="D82" s="1709">
        <f>SUM(D77:D81)</f>
        <v>68394</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381803</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31653</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413456</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121515</v>
      </c>
      <c r="E95" s="521"/>
      <c r="F95" s="521"/>
      <c r="G95" s="521"/>
      <c r="H95" s="521"/>
      <c r="I95" s="521"/>
      <c r="J95" s="521"/>
      <c r="K95" s="521"/>
    </row>
    <row r="96" spans="1:11" ht="12.75" customHeight="1" x14ac:dyDescent="0.2">
      <c r="A96" s="463" t="s">
        <v>409</v>
      </c>
      <c r="B96" s="470">
        <v>1920</v>
      </c>
      <c r="C96" s="551">
        <v>102721</v>
      </c>
      <c r="D96" s="551">
        <v>2258</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379921</v>
      </c>
      <c r="D98" s="466">
        <v>0</v>
      </c>
      <c r="E98" s="512"/>
      <c r="F98" s="466">
        <v>0</v>
      </c>
      <c r="G98" s="512"/>
      <c r="H98" s="512"/>
      <c r="I98" s="510"/>
      <c r="J98" s="512"/>
      <c r="K98" s="512"/>
    </row>
    <row r="99" spans="1:12" ht="12.75" customHeight="1" x14ac:dyDescent="0.2">
      <c r="A99" s="463" t="s">
        <v>875</v>
      </c>
      <c r="B99" s="470">
        <v>1950</v>
      </c>
      <c r="C99" s="489">
        <v>8850</v>
      </c>
      <c r="D99" s="466">
        <v>0</v>
      </c>
      <c r="E99" s="466">
        <v>0</v>
      </c>
      <c r="F99" s="466">
        <v>0</v>
      </c>
      <c r="G99" s="466">
        <v>0</v>
      </c>
      <c r="H99" s="466">
        <v>0</v>
      </c>
      <c r="I99" s="468"/>
      <c r="J99" s="467">
        <v>3079</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64550</v>
      </c>
      <c r="D101" s="526"/>
      <c r="E101" s="480"/>
      <c r="F101" s="526"/>
      <c r="G101" s="475"/>
      <c r="H101" s="526"/>
      <c r="I101" s="468"/>
      <c r="J101" s="475"/>
      <c r="K101" s="475"/>
    </row>
    <row r="102" spans="1:12" ht="12.75" customHeight="1" x14ac:dyDescent="0.2">
      <c r="A102" s="463" t="s">
        <v>265</v>
      </c>
      <c r="B102" s="470">
        <v>1980</v>
      </c>
      <c r="C102" s="489">
        <v>5348</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51753</v>
      </c>
      <c r="D107" s="466">
        <v>112607</v>
      </c>
      <c r="E107" s="466">
        <v>0</v>
      </c>
      <c r="F107" s="466">
        <v>0</v>
      </c>
      <c r="G107" s="466">
        <v>0</v>
      </c>
      <c r="H107" s="466">
        <v>0</v>
      </c>
      <c r="I107" s="466">
        <v>0</v>
      </c>
      <c r="J107" s="467">
        <v>0</v>
      </c>
      <c r="K107" s="466">
        <v>0</v>
      </c>
    </row>
    <row r="108" spans="1:12" ht="12.75" customHeight="1" thickBot="1" x14ac:dyDescent="0.25">
      <c r="A108" s="1729" t="s">
        <v>508</v>
      </c>
      <c r="B108" s="1733"/>
      <c r="C108" s="1728">
        <f>SUM(C95:C107)</f>
        <v>613143</v>
      </c>
      <c r="D108" s="1728">
        <f t="shared" ref="D108:K108" si="3">SUM(D95:D107)</f>
        <v>236380</v>
      </c>
      <c r="E108" s="1728">
        <f t="shared" si="3"/>
        <v>0</v>
      </c>
      <c r="F108" s="1728">
        <f t="shared" si="3"/>
        <v>0</v>
      </c>
      <c r="G108" s="1728">
        <f t="shared" si="3"/>
        <v>0</v>
      </c>
      <c r="H108" s="1728">
        <f t="shared" si="3"/>
        <v>0</v>
      </c>
      <c r="I108" s="1728">
        <f t="shared" si="3"/>
        <v>0</v>
      </c>
      <c r="J108" s="1728">
        <f t="shared" si="3"/>
        <v>3079</v>
      </c>
      <c r="K108" s="1709">
        <f t="shared" si="3"/>
        <v>0</v>
      </c>
    </row>
    <row r="109" spans="1:12" ht="14.25" thickTop="1" thickBot="1" x14ac:dyDescent="0.25">
      <c r="A109" s="1734" t="s">
        <v>266</v>
      </c>
      <c r="B109" s="1735" t="s">
        <v>591</v>
      </c>
      <c r="C109" s="1736">
        <f t="shared" ref="C109:K109" si="4">SUM(C12,C18,C40,C63,C67,C75,C82,C93,C108,)</f>
        <v>31476641</v>
      </c>
      <c r="D109" s="1736">
        <f t="shared" si="4"/>
        <v>6324089</v>
      </c>
      <c r="E109" s="1736">
        <f t="shared" si="4"/>
        <v>6961229</v>
      </c>
      <c r="F109" s="1736">
        <f t="shared" si="4"/>
        <v>1632838</v>
      </c>
      <c r="G109" s="1736">
        <f t="shared" si="4"/>
        <v>590515</v>
      </c>
      <c r="H109" s="1736">
        <f t="shared" si="4"/>
        <v>0</v>
      </c>
      <c r="I109" s="1736">
        <f t="shared" si="4"/>
        <v>63104</v>
      </c>
      <c r="J109" s="1736">
        <f t="shared" si="4"/>
        <v>267450</v>
      </c>
      <c r="K109" s="1723">
        <f t="shared" si="4"/>
        <v>64443</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3545154</v>
      </c>
      <c r="D117" s="481">
        <v>1500000</v>
      </c>
      <c r="E117" s="466">
        <v>0</v>
      </c>
      <c r="F117" s="481">
        <v>450000</v>
      </c>
      <c r="G117" s="481">
        <v>250000</v>
      </c>
      <c r="H117" s="466">
        <v>0</v>
      </c>
      <c r="I117" s="468"/>
      <c r="J117" s="467">
        <v>40000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3545154</v>
      </c>
      <c r="D121" s="1728">
        <f t="shared" si="5"/>
        <v>1500000</v>
      </c>
      <c r="E121" s="1728">
        <f t="shared" si="5"/>
        <v>0</v>
      </c>
      <c r="F121" s="1728">
        <f t="shared" si="5"/>
        <v>450000</v>
      </c>
      <c r="G121" s="1728">
        <f t="shared" si="5"/>
        <v>250000</v>
      </c>
      <c r="H121" s="1728">
        <f t="shared" si="5"/>
        <v>0</v>
      </c>
      <c r="I121" s="468"/>
      <c r="J121" s="1728">
        <f>SUM(J117:J120)</f>
        <v>40000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284007</v>
      </c>
      <c r="D124" s="561"/>
      <c r="E124" s="468"/>
      <c r="F124" s="548">
        <v>0</v>
      </c>
      <c r="G124" s="468"/>
      <c r="H124" s="468"/>
      <c r="I124" s="468"/>
      <c r="J124" s="468"/>
      <c r="K124" s="468"/>
    </row>
    <row r="125" spans="1:11" ht="12.75" customHeight="1" x14ac:dyDescent="0.2">
      <c r="A125" s="463" t="s">
        <v>1521</v>
      </c>
      <c r="B125" s="562">
        <v>3105</v>
      </c>
      <c r="C125" s="466">
        <v>171280</v>
      </c>
      <c r="D125" s="561"/>
      <c r="E125" s="468"/>
      <c r="F125" s="466">
        <v>0</v>
      </c>
      <c r="G125" s="468"/>
      <c r="H125" s="468"/>
      <c r="I125" s="468"/>
      <c r="J125" s="468"/>
      <c r="K125" s="468"/>
    </row>
    <row r="126" spans="1:11" ht="12.75" customHeight="1" x14ac:dyDescent="0.2">
      <c r="A126" s="463" t="s">
        <v>922</v>
      </c>
      <c r="B126" s="562">
        <v>3110</v>
      </c>
      <c r="C126" s="551">
        <v>214305</v>
      </c>
      <c r="D126" s="466">
        <v>0</v>
      </c>
      <c r="E126" s="468"/>
      <c r="F126" s="466">
        <v>0</v>
      </c>
      <c r="G126" s="468"/>
      <c r="H126" s="468"/>
      <c r="I126" s="468"/>
      <c r="J126" s="468"/>
      <c r="K126" s="468"/>
    </row>
    <row r="127" spans="1:11" ht="12.75" customHeight="1" x14ac:dyDescent="0.2">
      <c r="A127" s="463" t="s">
        <v>107</v>
      </c>
      <c r="B127" s="562">
        <v>3120</v>
      </c>
      <c r="C127" s="466">
        <v>1644395</v>
      </c>
      <c r="D127" s="561"/>
      <c r="E127" s="468"/>
      <c r="F127" s="466">
        <v>0</v>
      </c>
      <c r="G127" s="468"/>
      <c r="H127" s="468"/>
      <c r="I127" s="468"/>
      <c r="J127" s="468"/>
      <c r="K127" s="468"/>
    </row>
    <row r="128" spans="1:11" ht="12.75" customHeight="1" x14ac:dyDescent="0.2">
      <c r="A128" s="463" t="s">
        <v>1522</v>
      </c>
      <c r="B128" s="562">
        <v>3130</v>
      </c>
      <c r="C128" s="466">
        <v>338376</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2652363</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57277</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57277</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0</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60746</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268779</v>
      </c>
      <c r="G151" s="467">
        <v>0</v>
      </c>
      <c r="H151" s="468"/>
      <c r="I151" s="468"/>
      <c r="J151" s="468"/>
      <c r="K151" s="468"/>
    </row>
    <row r="152" spans="1:11" ht="12.75" customHeight="1" x14ac:dyDescent="0.2">
      <c r="A152" s="463" t="s">
        <v>1117</v>
      </c>
      <c r="B152" s="562">
        <v>3510</v>
      </c>
      <c r="C152" s="551">
        <v>0</v>
      </c>
      <c r="D152" s="466">
        <v>0</v>
      </c>
      <c r="E152" s="561"/>
      <c r="F152" s="466">
        <v>1095434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1364213</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109739</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3">
        <f t="shared" ref="C172:K172" si="6">SUM(C131,C140,C144,C145:C149,C154,C155:C170,C171)</f>
        <v>2880125</v>
      </c>
      <c r="D172" s="1743">
        <f t="shared" si="6"/>
        <v>0</v>
      </c>
      <c r="E172" s="1743">
        <f t="shared" si="6"/>
        <v>0</v>
      </c>
      <c r="F172" s="1743">
        <f t="shared" si="6"/>
        <v>1364213</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6425279</v>
      </c>
      <c r="D173" s="1736">
        <f>SUM(D121,D172)</f>
        <v>1500000</v>
      </c>
      <c r="E173" s="1736">
        <f>SUM(E121,E172)</f>
        <v>0</v>
      </c>
      <c r="F173" s="1736">
        <f t="shared" ref="F173:K173" si="7">SUM(F121,F172)</f>
        <v>1814213</v>
      </c>
      <c r="G173" s="1736">
        <f t="shared" si="7"/>
        <v>250000</v>
      </c>
      <c r="H173" s="1736">
        <f t="shared" si="7"/>
        <v>0</v>
      </c>
      <c r="I173" s="1736">
        <f t="shared" si="7"/>
        <v>0</v>
      </c>
      <c r="J173" s="1736">
        <f t="shared" si="7"/>
        <v>40000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4770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4770</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127354</v>
      </c>
      <c r="D203" s="466">
        <v>0</v>
      </c>
      <c r="E203" s="468"/>
      <c r="F203" s="466">
        <v>0</v>
      </c>
      <c r="G203" s="466">
        <v>0</v>
      </c>
      <c r="H203" s="468"/>
      <c r="I203" s="468"/>
      <c r="J203" s="468"/>
      <c r="K203" s="468"/>
    </row>
    <row r="204" spans="1:11" ht="12.75" customHeight="1" x14ac:dyDescent="0.2">
      <c r="A204" s="463" t="s">
        <v>975</v>
      </c>
      <c r="B204" s="470">
        <v>4305</v>
      </c>
      <c r="C204" s="551">
        <v>100381</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227735</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241684</v>
      </c>
      <c r="D220" s="466">
        <v>0</v>
      </c>
      <c r="E220" s="468"/>
      <c r="F220" s="466">
        <v>0</v>
      </c>
      <c r="G220" s="466">
        <v>0</v>
      </c>
      <c r="H220" s="468"/>
      <c r="I220" s="468"/>
      <c r="J220" s="468"/>
      <c r="K220" s="468"/>
    </row>
    <row r="221" spans="1:11" ht="12.75" customHeight="1" x14ac:dyDescent="0.2">
      <c r="A221" s="463" t="s">
        <v>1114</v>
      </c>
      <c r="B221" s="470">
        <v>4625</v>
      </c>
      <c r="C221" s="551">
        <v>1214</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242898</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26776</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26776</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54575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13006</v>
      </c>
      <c r="D270" s="576">
        <v>0</v>
      </c>
      <c r="E270" s="468"/>
      <c r="F270" s="576">
        <v>0</v>
      </c>
      <c r="G270" s="576">
        <v>0</v>
      </c>
      <c r="H270" s="468"/>
      <c r="I270" s="468"/>
      <c r="J270" s="468"/>
      <c r="K270" s="468"/>
    </row>
    <row r="271" spans="1:11" ht="12.75" customHeight="1" thickTop="1" thickBot="1" x14ac:dyDescent="0.25">
      <c r="A271" s="463" t="s">
        <v>395</v>
      </c>
      <c r="B271" s="470">
        <v>4992</v>
      </c>
      <c r="C271" s="575">
        <v>70190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639950</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639950</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38541870</v>
      </c>
      <c r="D275" s="1736">
        <f t="shared" si="12"/>
        <v>7824089</v>
      </c>
      <c r="E275" s="1736">
        <f t="shared" si="12"/>
        <v>6961229</v>
      </c>
      <c r="F275" s="1736">
        <f t="shared" si="12"/>
        <v>3447051</v>
      </c>
      <c r="G275" s="1736">
        <f t="shared" si="12"/>
        <v>840515</v>
      </c>
      <c r="H275" s="1736">
        <f t="shared" si="12"/>
        <v>0</v>
      </c>
      <c r="I275" s="1736">
        <f t="shared" si="12"/>
        <v>63104</v>
      </c>
      <c r="J275" s="1736">
        <f t="shared" si="12"/>
        <v>307450</v>
      </c>
      <c r="K275" s="1723">
        <f t="shared" si="12"/>
        <v>64443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18" sqref="A18"/>
      <selection pane="bottomLeft" activeCell="A18" sqref="A1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10067575</v>
      </c>
      <c r="D5" s="466">
        <v>2212139</v>
      </c>
      <c r="E5" s="466">
        <v>250081</v>
      </c>
      <c r="F5" s="466">
        <v>363301</v>
      </c>
      <c r="G5" s="466">
        <v>22456</v>
      </c>
      <c r="H5" s="466">
        <v>23690</v>
      </c>
      <c r="I5" s="467">
        <v>494328</v>
      </c>
      <c r="J5" s="467">
        <v>0</v>
      </c>
      <c r="K5" s="1692">
        <f>SUM(C5:J5)</f>
        <v>13433570</v>
      </c>
      <c r="L5" s="466">
        <v>13227435</v>
      </c>
    </row>
    <row r="6" spans="1:14" x14ac:dyDescent="0.2">
      <c r="A6" s="1525" t="s">
        <v>1508</v>
      </c>
      <c r="B6" s="615" t="s">
        <v>1506</v>
      </c>
      <c r="C6" s="477"/>
      <c r="D6" s="477"/>
      <c r="E6" s="466">
        <v>0</v>
      </c>
      <c r="F6" s="477"/>
      <c r="G6" s="477"/>
      <c r="H6" s="477"/>
      <c r="I6" s="477"/>
      <c r="J6" s="477"/>
      <c r="K6" s="1692">
        <f>SUM(C6,E6)</f>
        <v>0</v>
      </c>
      <c r="L6" s="466">
        <v>0</v>
      </c>
    </row>
    <row r="7" spans="1:14" x14ac:dyDescent="0.2">
      <c r="A7" s="1525" t="s">
        <v>165</v>
      </c>
      <c r="B7" s="615" t="s">
        <v>1024</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3621509</v>
      </c>
      <c r="D8" s="466">
        <v>759468</v>
      </c>
      <c r="E8" s="466">
        <v>1469374</v>
      </c>
      <c r="F8" s="466">
        <v>78282</v>
      </c>
      <c r="G8" s="466">
        <v>0</v>
      </c>
      <c r="H8" s="466">
        <v>738476</v>
      </c>
      <c r="I8" s="467">
        <v>5579</v>
      </c>
      <c r="J8" s="467">
        <v>0</v>
      </c>
      <c r="K8" s="1692">
        <f t="shared" si="0"/>
        <v>6672688</v>
      </c>
      <c r="L8" s="466">
        <v>6938308</v>
      </c>
    </row>
    <row r="9" spans="1:14" x14ac:dyDescent="0.2">
      <c r="A9" s="1525" t="s">
        <v>745</v>
      </c>
      <c r="B9" s="615" t="s">
        <v>1025</v>
      </c>
      <c r="C9" s="467">
        <v>0</v>
      </c>
      <c r="D9" s="467">
        <v>0</v>
      </c>
      <c r="E9" s="467">
        <v>0</v>
      </c>
      <c r="F9" s="467">
        <v>0</v>
      </c>
      <c r="G9" s="467">
        <v>0</v>
      </c>
      <c r="H9" s="467">
        <v>0</v>
      </c>
      <c r="I9" s="467">
        <v>0</v>
      </c>
      <c r="J9" s="467">
        <v>0</v>
      </c>
      <c r="K9" s="1692">
        <f t="shared" si="0"/>
        <v>0</v>
      </c>
      <c r="L9" s="466">
        <v>0</v>
      </c>
    </row>
    <row r="10" spans="1:14" x14ac:dyDescent="0.2">
      <c r="A10" s="1525" t="s">
        <v>746</v>
      </c>
      <c r="B10" s="615">
        <v>1250</v>
      </c>
      <c r="C10" s="466">
        <v>0</v>
      </c>
      <c r="D10" s="466">
        <v>0</v>
      </c>
      <c r="E10" s="466">
        <v>0</v>
      </c>
      <c r="F10" s="466">
        <v>0</v>
      </c>
      <c r="G10" s="466">
        <v>0</v>
      </c>
      <c r="H10" s="466">
        <v>0</v>
      </c>
      <c r="I10" s="467">
        <v>0</v>
      </c>
      <c r="J10" s="467">
        <v>0</v>
      </c>
      <c r="K10" s="1692">
        <f t="shared" si="0"/>
        <v>0</v>
      </c>
      <c r="L10" s="466">
        <v>27400</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0</v>
      </c>
      <c r="D13" s="466">
        <v>0</v>
      </c>
      <c r="E13" s="466">
        <v>1634</v>
      </c>
      <c r="F13" s="466">
        <v>27774</v>
      </c>
      <c r="G13" s="466">
        <v>17847</v>
      </c>
      <c r="H13" s="466">
        <v>0</v>
      </c>
      <c r="I13" s="467">
        <v>0</v>
      </c>
      <c r="J13" s="467">
        <v>0</v>
      </c>
      <c r="K13" s="1692">
        <f t="shared" si="0"/>
        <v>47255</v>
      </c>
      <c r="L13" s="466">
        <v>63751</v>
      </c>
    </row>
    <row r="14" spans="1:14" x14ac:dyDescent="0.2">
      <c r="A14" s="1525" t="s">
        <v>1020</v>
      </c>
      <c r="B14" s="615">
        <v>1500</v>
      </c>
      <c r="C14" s="466">
        <v>2453550</v>
      </c>
      <c r="D14" s="466">
        <v>154051</v>
      </c>
      <c r="E14" s="466">
        <v>468479</v>
      </c>
      <c r="F14" s="466">
        <v>252691</v>
      </c>
      <c r="G14" s="466">
        <v>3059</v>
      </c>
      <c r="H14" s="466">
        <v>0</v>
      </c>
      <c r="I14" s="467">
        <v>194821</v>
      </c>
      <c r="J14" s="467">
        <v>0</v>
      </c>
      <c r="K14" s="1692">
        <f t="shared" si="0"/>
        <v>3526651</v>
      </c>
      <c r="L14" s="466">
        <v>3792894</v>
      </c>
    </row>
    <row r="15" spans="1:14" x14ac:dyDescent="0.2">
      <c r="A15" s="1525" t="s">
        <v>1021</v>
      </c>
      <c r="B15" s="615">
        <v>1600</v>
      </c>
      <c r="C15" s="466">
        <v>0</v>
      </c>
      <c r="D15" s="466">
        <v>0</v>
      </c>
      <c r="E15" s="466">
        <v>0</v>
      </c>
      <c r="F15" s="466">
        <v>1286</v>
      </c>
      <c r="G15" s="466">
        <v>0</v>
      </c>
      <c r="H15" s="466">
        <v>0</v>
      </c>
      <c r="I15" s="467">
        <v>0</v>
      </c>
      <c r="J15" s="467">
        <v>0</v>
      </c>
      <c r="K15" s="1692">
        <f t="shared" si="0"/>
        <v>1286</v>
      </c>
      <c r="L15" s="466">
        <v>2700</v>
      </c>
    </row>
    <row r="16" spans="1:14" x14ac:dyDescent="0.2">
      <c r="A16" s="1525" t="s">
        <v>1044</v>
      </c>
      <c r="B16" s="615" t="s">
        <v>444</v>
      </c>
      <c r="C16" s="466">
        <v>0</v>
      </c>
      <c r="D16" s="466">
        <v>0</v>
      </c>
      <c r="E16" s="466">
        <v>0</v>
      </c>
      <c r="F16" s="466">
        <v>0</v>
      </c>
      <c r="G16" s="466">
        <v>0</v>
      </c>
      <c r="H16" s="466">
        <v>0</v>
      </c>
      <c r="I16" s="467">
        <v>0</v>
      </c>
      <c r="J16" s="467">
        <v>0</v>
      </c>
      <c r="K16" s="1692">
        <f t="shared" si="0"/>
        <v>0</v>
      </c>
      <c r="L16" s="466">
        <v>0</v>
      </c>
    </row>
    <row r="17" spans="1:12" x14ac:dyDescent="0.2">
      <c r="A17" s="1525" t="s">
        <v>748</v>
      </c>
      <c r="B17" s="615" t="s">
        <v>164</v>
      </c>
      <c r="C17" s="467">
        <v>271968</v>
      </c>
      <c r="D17" s="467">
        <v>81704</v>
      </c>
      <c r="E17" s="467">
        <v>17165</v>
      </c>
      <c r="F17" s="467">
        <v>4037</v>
      </c>
      <c r="G17" s="467">
        <v>0</v>
      </c>
      <c r="H17" s="467">
        <v>0</v>
      </c>
      <c r="I17" s="467">
        <v>0</v>
      </c>
      <c r="J17" s="467">
        <v>0</v>
      </c>
      <c r="K17" s="1692">
        <f t="shared" si="0"/>
        <v>374874</v>
      </c>
      <c r="L17" s="466">
        <v>330700</v>
      </c>
    </row>
    <row r="18" spans="1:12" x14ac:dyDescent="0.2">
      <c r="A18" s="1525" t="s">
        <v>1148</v>
      </c>
      <c r="B18" s="615">
        <v>1800</v>
      </c>
      <c r="C18" s="466">
        <v>0</v>
      </c>
      <c r="D18" s="466">
        <v>0</v>
      </c>
      <c r="E18" s="466">
        <v>0</v>
      </c>
      <c r="F18" s="466">
        <v>0</v>
      </c>
      <c r="G18" s="466">
        <v>0</v>
      </c>
      <c r="H18" s="466">
        <v>0</v>
      </c>
      <c r="I18" s="467">
        <v>0</v>
      </c>
      <c r="J18" s="467">
        <v>0</v>
      </c>
      <c r="K18" s="1692">
        <f t="shared" si="0"/>
        <v>0</v>
      </c>
      <c r="L18" s="466">
        <v>0</v>
      </c>
    </row>
    <row r="19" spans="1:12" x14ac:dyDescent="0.2">
      <c r="A19" s="1525" t="s">
        <v>136</v>
      </c>
      <c r="B19" s="615">
        <v>1900</v>
      </c>
      <c r="C19" s="466">
        <v>41697</v>
      </c>
      <c r="D19" s="466">
        <v>0</v>
      </c>
      <c r="E19" s="466">
        <v>182981</v>
      </c>
      <c r="F19" s="466">
        <v>205</v>
      </c>
      <c r="G19" s="466">
        <v>0</v>
      </c>
      <c r="H19" s="466">
        <v>4182</v>
      </c>
      <c r="I19" s="467">
        <v>0</v>
      </c>
      <c r="J19" s="467">
        <v>0</v>
      </c>
      <c r="K19" s="1692">
        <f t="shared" si="0"/>
        <v>229065</v>
      </c>
      <c r="L19" s="466">
        <v>254000</v>
      </c>
    </row>
    <row r="20" spans="1:12" x14ac:dyDescent="0.2">
      <c r="A20" s="1526" t="s">
        <v>762</v>
      </c>
      <c r="B20" s="603" t="s">
        <v>749</v>
      </c>
      <c r="C20" s="477"/>
      <c r="D20" s="477"/>
      <c r="E20" s="477"/>
      <c r="F20" s="477"/>
      <c r="G20" s="477"/>
      <c r="H20" s="474">
        <v>0</v>
      </c>
      <c r="I20" s="617"/>
      <c r="J20" s="475"/>
      <c r="K20" s="1692">
        <f t="shared" si="0"/>
        <v>0</v>
      </c>
      <c r="L20" s="471">
        <v>0</v>
      </c>
    </row>
    <row r="21" spans="1:12" x14ac:dyDescent="0.2">
      <c r="A21" s="1526" t="s">
        <v>763</v>
      </c>
      <c r="B21" s="603" t="s">
        <v>750</v>
      </c>
      <c r="C21" s="477"/>
      <c r="D21" s="477"/>
      <c r="E21" s="477"/>
      <c r="F21" s="477"/>
      <c r="G21" s="477"/>
      <c r="H21" s="474">
        <v>0</v>
      </c>
      <c r="I21" s="617"/>
      <c r="J21" s="477"/>
      <c r="K21" s="1692">
        <f t="shared" si="0"/>
        <v>0</v>
      </c>
      <c r="L21" s="471">
        <v>0</v>
      </c>
    </row>
    <row r="22" spans="1:12" x14ac:dyDescent="0.2">
      <c r="A22" s="1526" t="s">
        <v>764</v>
      </c>
      <c r="B22" s="603" t="s">
        <v>751</v>
      </c>
      <c r="C22" s="477"/>
      <c r="D22" s="477"/>
      <c r="E22" s="477"/>
      <c r="F22" s="477"/>
      <c r="G22" s="477"/>
      <c r="H22" s="474">
        <v>0</v>
      </c>
      <c r="I22" s="617"/>
      <c r="J22" s="477"/>
      <c r="K22" s="1692">
        <f t="shared" si="0"/>
        <v>0</v>
      </c>
      <c r="L22" s="471">
        <v>0</v>
      </c>
    </row>
    <row r="23" spans="1:12" x14ac:dyDescent="0.2">
      <c r="A23" s="1526" t="s">
        <v>765</v>
      </c>
      <c r="B23" s="603" t="s">
        <v>752</v>
      </c>
      <c r="C23" s="477"/>
      <c r="D23" s="477"/>
      <c r="E23" s="477"/>
      <c r="F23" s="477"/>
      <c r="G23" s="477"/>
      <c r="H23" s="474">
        <v>0</v>
      </c>
      <c r="I23" s="617"/>
      <c r="J23" s="477"/>
      <c r="K23" s="1692">
        <f t="shared" si="0"/>
        <v>0</v>
      </c>
      <c r="L23" s="471">
        <v>0</v>
      </c>
    </row>
    <row r="24" spans="1:12" ht="12.75" customHeight="1" x14ac:dyDescent="0.2">
      <c r="A24" s="1526" t="s">
        <v>766</v>
      </c>
      <c r="B24" s="603" t="s">
        <v>753</v>
      </c>
      <c r="C24" s="477"/>
      <c r="D24" s="477"/>
      <c r="E24" s="477"/>
      <c r="F24" s="477"/>
      <c r="G24" s="477"/>
      <c r="H24" s="474">
        <v>0</v>
      </c>
      <c r="I24" s="617"/>
      <c r="J24" s="477"/>
      <c r="K24" s="1692">
        <f t="shared" si="0"/>
        <v>0</v>
      </c>
      <c r="L24" s="471">
        <v>0</v>
      </c>
    </row>
    <row r="25" spans="1:12" ht="12.75" customHeight="1" x14ac:dyDescent="0.2">
      <c r="A25" s="1526" t="s">
        <v>835</v>
      </c>
      <c r="B25" s="603" t="s">
        <v>754</v>
      </c>
      <c r="C25" s="477"/>
      <c r="D25" s="477"/>
      <c r="E25" s="477"/>
      <c r="F25" s="477"/>
      <c r="G25" s="477"/>
      <c r="H25" s="474">
        <v>0</v>
      </c>
      <c r="I25" s="617"/>
      <c r="J25" s="477"/>
      <c r="K25" s="1692">
        <f t="shared" si="0"/>
        <v>0</v>
      </c>
      <c r="L25" s="471">
        <v>0</v>
      </c>
    </row>
    <row r="26" spans="1:12" x14ac:dyDescent="0.2">
      <c r="A26" s="1526" t="s">
        <v>643</v>
      </c>
      <c r="B26" s="603" t="s">
        <v>755</v>
      </c>
      <c r="C26" s="477"/>
      <c r="D26" s="477"/>
      <c r="E26" s="477"/>
      <c r="F26" s="477"/>
      <c r="G26" s="477"/>
      <c r="H26" s="474">
        <v>0</v>
      </c>
      <c r="I26" s="617"/>
      <c r="J26" s="477"/>
      <c r="K26" s="1692">
        <f t="shared" si="0"/>
        <v>0</v>
      </c>
      <c r="L26" s="471">
        <v>0</v>
      </c>
    </row>
    <row r="27" spans="1:12" x14ac:dyDescent="0.2">
      <c r="A27" s="1526" t="s">
        <v>644</v>
      </c>
      <c r="B27" s="603" t="s">
        <v>756</v>
      </c>
      <c r="C27" s="477"/>
      <c r="D27" s="477"/>
      <c r="E27" s="477"/>
      <c r="F27" s="477"/>
      <c r="G27" s="477"/>
      <c r="H27" s="474">
        <v>0</v>
      </c>
      <c r="I27" s="617"/>
      <c r="J27" s="477"/>
      <c r="K27" s="1692">
        <f t="shared" si="0"/>
        <v>0</v>
      </c>
      <c r="L27" s="471">
        <v>0</v>
      </c>
    </row>
    <row r="28" spans="1:12" x14ac:dyDescent="0.2">
      <c r="A28" s="1526" t="s">
        <v>152</v>
      </c>
      <c r="B28" s="603" t="s">
        <v>757</v>
      </c>
      <c r="C28" s="477"/>
      <c r="D28" s="477"/>
      <c r="E28" s="477"/>
      <c r="F28" s="477"/>
      <c r="G28" s="477"/>
      <c r="H28" s="474">
        <v>0</v>
      </c>
      <c r="I28" s="617"/>
      <c r="J28" s="477"/>
      <c r="K28" s="1692">
        <f t="shared" si="0"/>
        <v>0</v>
      </c>
      <c r="L28" s="471">
        <v>0</v>
      </c>
    </row>
    <row r="29" spans="1:12" x14ac:dyDescent="0.2">
      <c r="A29" s="1526" t="s">
        <v>153</v>
      </c>
      <c r="B29" s="603" t="s">
        <v>758</v>
      </c>
      <c r="C29" s="477"/>
      <c r="D29" s="477"/>
      <c r="E29" s="477"/>
      <c r="F29" s="477"/>
      <c r="G29" s="477"/>
      <c r="H29" s="474">
        <v>0</v>
      </c>
      <c r="I29" s="617"/>
      <c r="J29" s="477"/>
      <c r="K29" s="1692">
        <f t="shared" si="0"/>
        <v>0</v>
      </c>
      <c r="L29" s="471">
        <v>0</v>
      </c>
    </row>
    <row r="30" spans="1:12" x14ac:dyDescent="0.2">
      <c r="A30" s="1526" t="s">
        <v>154</v>
      </c>
      <c r="B30" s="603" t="s">
        <v>759</v>
      </c>
      <c r="C30" s="477"/>
      <c r="D30" s="477"/>
      <c r="E30" s="477"/>
      <c r="F30" s="477"/>
      <c r="G30" s="477"/>
      <c r="H30" s="474">
        <v>0</v>
      </c>
      <c r="I30" s="617"/>
      <c r="J30" s="477"/>
      <c r="K30" s="1692">
        <f t="shared" si="0"/>
        <v>0</v>
      </c>
      <c r="L30" s="471">
        <v>0</v>
      </c>
    </row>
    <row r="31" spans="1:12" x14ac:dyDescent="0.2">
      <c r="A31" s="1526" t="s">
        <v>155</v>
      </c>
      <c r="B31" s="603" t="s">
        <v>760</v>
      </c>
      <c r="C31" s="477"/>
      <c r="D31" s="477"/>
      <c r="E31" s="477"/>
      <c r="F31" s="477"/>
      <c r="G31" s="477"/>
      <c r="H31" s="474">
        <v>0</v>
      </c>
      <c r="I31" s="617"/>
      <c r="J31" s="477"/>
      <c r="K31" s="1692">
        <f t="shared" si="0"/>
        <v>0</v>
      </c>
      <c r="L31" s="471">
        <v>0</v>
      </c>
    </row>
    <row r="32" spans="1:12" x14ac:dyDescent="0.2">
      <c r="A32" s="1527" t="s">
        <v>1191</v>
      </c>
      <c r="B32" s="615" t="s">
        <v>761</v>
      </c>
      <c r="C32" s="477"/>
      <c r="D32" s="477"/>
      <c r="E32" s="477"/>
      <c r="F32" s="477"/>
      <c r="G32" s="477"/>
      <c r="H32" s="474">
        <v>0</v>
      </c>
      <c r="I32" s="617"/>
      <c r="J32" s="480"/>
      <c r="K32" s="1692">
        <f t="shared" si="0"/>
        <v>0</v>
      </c>
      <c r="L32" s="471">
        <v>0</v>
      </c>
    </row>
    <row r="33" spans="1:14" ht="12.75" customHeight="1" thickBot="1" x14ac:dyDescent="0.25">
      <c r="A33" s="1689" t="s">
        <v>1767</v>
      </c>
      <c r="B33" s="1690" t="s">
        <v>591</v>
      </c>
      <c r="C33" s="1691">
        <f>SUM(C5:C32)</f>
        <v>16456299</v>
      </c>
      <c r="D33" s="1691">
        <f t="shared" ref="D33:L33" si="1">SUM(D5:D32)</f>
        <v>3207362</v>
      </c>
      <c r="E33" s="1691">
        <f t="shared" si="1"/>
        <v>2389714</v>
      </c>
      <c r="F33" s="1691">
        <f t="shared" si="1"/>
        <v>727576</v>
      </c>
      <c r="G33" s="1691">
        <f t="shared" si="1"/>
        <v>43362</v>
      </c>
      <c r="H33" s="1691">
        <f t="shared" si="1"/>
        <v>766348</v>
      </c>
      <c r="I33" s="1691">
        <f t="shared" si="1"/>
        <v>694728</v>
      </c>
      <c r="J33" s="1691">
        <f t="shared" si="1"/>
        <v>0</v>
      </c>
      <c r="K33" s="1691">
        <f t="shared" si="1"/>
        <v>24285389</v>
      </c>
      <c r="L33" s="1691">
        <f t="shared" si="1"/>
        <v>24637188</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713762</v>
      </c>
      <c r="D36" s="481">
        <v>196980</v>
      </c>
      <c r="E36" s="481">
        <v>0</v>
      </c>
      <c r="F36" s="481">
        <v>5225</v>
      </c>
      <c r="G36" s="481">
        <v>0</v>
      </c>
      <c r="H36" s="481">
        <v>0</v>
      </c>
      <c r="I36" s="467">
        <v>0</v>
      </c>
      <c r="J36" s="467">
        <v>0</v>
      </c>
      <c r="K36" s="1692">
        <f t="shared" ref="K36:K41" si="2">SUM(C36:J36)</f>
        <v>915967</v>
      </c>
      <c r="L36" s="466">
        <v>902441</v>
      </c>
    </row>
    <row r="37" spans="1:14" x14ac:dyDescent="0.2">
      <c r="A37" s="1525" t="s">
        <v>1151</v>
      </c>
      <c r="B37" s="615">
        <v>2120</v>
      </c>
      <c r="C37" s="466">
        <v>892176</v>
      </c>
      <c r="D37" s="466">
        <v>154949</v>
      </c>
      <c r="E37" s="466">
        <v>106351</v>
      </c>
      <c r="F37" s="466">
        <v>6331</v>
      </c>
      <c r="G37" s="466">
        <v>0</v>
      </c>
      <c r="H37" s="466">
        <v>0</v>
      </c>
      <c r="I37" s="467">
        <v>0</v>
      </c>
      <c r="J37" s="467">
        <v>0</v>
      </c>
      <c r="K37" s="1692">
        <f t="shared" si="2"/>
        <v>1159807</v>
      </c>
      <c r="L37" s="466">
        <v>1151100</v>
      </c>
    </row>
    <row r="38" spans="1:14" x14ac:dyDescent="0.2">
      <c r="A38" s="1525" t="s">
        <v>207</v>
      </c>
      <c r="B38" s="615">
        <v>2130</v>
      </c>
      <c r="C38" s="466">
        <v>115139</v>
      </c>
      <c r="D38" s="466">
        <v>53278</v>
      </c>
      <c r="E38" s="466">
        <v>17965</v>
      </c>
      <c r="F38" s="466">
        <v>3247</v>
      </c>
      <c r="G38" s="466">
        <v>0</v>
      </c>
      <c r="H38" s="466">
        <v>0</v>
      </c>
      <c r="I38" s="467">
        <v>1262</v>
      </c>
      <c r="J38" s="467">
        <v>0</v>
      </c>
      <c r="K38" s="1692">
        <f t="shared" si="2"/>
        <v>190891</v>
      </c>
      <c r="L38" s="466">
        <v>164500</v>
      </c>
    </row>
    <row r="39" spans="1:14" x14ac:dyDescent="0.2">
      <c r="A39" s="1525" t="s">
        <v>208</v>
      </c>
      <c r="B39" s="615">
        <v>2140</v>
      </c>
      <c r="C39" s="466">
        <v>0</v>
      </c>
      <c r="D39" s="466">
        <v>0</v>
      </c>
      <c r="E39" s="466">
        <v>0</v>
      </c>
      <c r="F39" s="466">
        <v>1677</v>
      </c>
      <c r="G39" s="466">
        <v>0</v>
      </c>
      <c r="H39" s="466">
        <v>0</v>
      </c>
      <c r="I39" s="467">
        <v>0</v>
      </c>
      <c r="J39" s="467">
        <v>0</v>
      </c>
      <c r="K39" s="1692">
        <f t="shared" si="2"/>
        <v>1677</v>
      </c>
      <c r="L39" s="466">
        <v>6000</v>
      </c>
    </row>
    <row r="40" spans="1:14" x14ac:dyDescent="0.2">
      <c r="A40" s="1525" t="s">
        <v>209</v>
      </c>
      <c r="B40" s="615">
        <v>2150</v>
      </c>
      <c r="C40" s="466">
        <v>105842</v>
      </c>
      <c r="D40" s="466">
        <v>9819</v>
      </c>
      <c r="E40" s="466">
        <v>0</v>
      </c>
      <c r="F40" s="466">
        <v>201</v>
      </c>
      <c r="G40" s="466">
        <v>0</v>
      </c>
      <c r="H40" s="466">
        <v>0</v>
      </c>
      <c r="I40" s="467">
        <v>0</v>
      </c>
      <c r="J40" s="467">
        <v>0</v>
      </c>
      <c r="K40" s="1692">
        <f t="shared" si="2"/>
        <v>115862</v>
      </c>
      <c r="L40" s="466">
        <v>83800</v>
      </c>
    </row>
    <row r="41" spans="1:14" x14ac:dyDescent="0.2">
      <c r="A41" s="1525" t="s">
        <v>1768</v>
      </c>
      <c r="B41" s="615">
        <v>2190</v>
      </c>
      <c r="C41" s="466">
        <v>0</v>
      </c>
      <c r="D41" s="466">
        <v>0</v>
      </c>
      <c r="E41" s="466">
        <v>0</v>
      </c>
      <c r="F41" s="466">
        <v>68499</v>
      </c>
      <c r="G41" s="466">
        <v>0</v>
      </c>
      <c r="H41" s="466">
        <v>0</v>
      </c>
      <c r="I41" s="467">
        <v>0</v>
      </c>
      <c r="J41" s="467">
        <v>0</v>
      </c>
      <c r="K41" s="1692">
        <f t="shared" si="2"/>
        <v>68499</v>
      </c>
      <c r="L41" s="466">
        <v>74000</v>
      </c>
    </row>
    <row r="42" spans="1:14" ht="12.75" customHeight="1" thickBot="1" x14ac:dyDescent="0.25">
      <c r="A42" s="1689" t="s">
        <v>581</v>
      </c>
      <c r="B42" s="1690" t="s">
        <v>740</v>
      </c>
      <c r="C42" s="1691">
        <f>SUM(C36:C41)</f>
        <v>1826919</v>
      </c>
      <c r="D42" s="1691">
        <f t="shared" ref="D42:L42" si="3">SUM(D36:D41)</f>
        <v>415026</v>
      </c>
      <c r="E42" s="1691">
        <f t="shared" si="3"/>
        <v>124316</v>
      </c>
      <c r="F42" s="1691">
        <f t="shared" si="3"/>
        <v>85180</v>
      </c>
      <c r="G42" s="1691">
        <f t="shared" si="3"/>
        <v>0</v>
      </c>
      <c r="H42" s="1691">
        <f t="shared" si="3"/>
        <v>0</v>
      </c>
      <c r="I42" s="1691">
        <f t="shared" si="3"/>
        <v>1262</v>
      </c>
      <c r="J42" s="1691">
        <f t="shared" si="3"/>
        <v>0</v>
      </c>
      <c r="K42" s="1691">
        <f t="shared" si="3"/>
        <v>2452703</v>
      </c>
      <c r="L42" s="1691">
        <f t="shared" si="3"/>
        <v>2381841</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367575</v>
      </c>
      <c r="D44" s="481">
        <v>89196</v>
      </c>
      <c r="E44" s="481">
        <v>215063</v>
      </c>
      <c r="F44" s="481">
        <v>2330</v>
      </c>
      <c r="G44" s="481">
        <v>0</v>
      </c>
      <c r="H44" s="481">
        <v>18861</v>
      </c>
      <c r="I44" s="467">
        <v>0</v>
      </c>
      <c r="J44" s="467">
        <v>0</v>
      </c>
      <c r="K44" s="1693">
        <f>SUM(C44:J44)</f>
        <v>693025</v>
      </c>
      <c r="L44" s="481">
        <v>771250</v>
      </c>
    </row>
    <row r="45" spans="1:14" x14ac:dyDescent="0.2">
      <c r="A45" s="1525" t="s">
        <v>869</v>
      </c>
      <c r="B45" s="615">
        <v>2220</v>
      </c>
      <c r="C45" s="466">
        <v>273331</v>
      </c>
      <c r="D45" s="466">
        <v>81159</v>
      </c>
      <c r="E45" s="466">
        <v>40264</v>
      </c>
      <c r="F45" s="466">
        <v>18728</v>
      </c>
      <c r="G45" s="466">
        <v>0</v>
      </c>
      <c r="H45" s="466">
        <v>0</v>
      </c>
      <c r="I45" s="467">
        <v>8315</v>
      </c>
      <c r="J45" s="467">
        <v>0</v>
      </c>
      <c r="K45" s="1693">
        <f>SUM(C45:J45)</f>
        <v>421797</v>
      </c>
      <c r="L45" s="466">
        <v>406900</v>
      </c>
    </row>
    <row r="46" spans="1:14" x14ac:dyDescent="0.2">
      <c r="A46" s="1525" t="s">
        <v>870</v>
      </c>
      <c r="B46" s="615">
        <v>2230</v>
      </c>
      <c r="C46" s="466">
        <v>25530</v>
      </c>
      <c r="D46" s="466">
        <v>60</v>
      </c>
      <c r="E46" s="466">
        <v>241558</v>
      </c>
      <c r="F46" s="466">
        <v>11583</v>
      </c>
      <c r="G46" s="466">
        <v>0</v>
      </c>
      <c r="H46" s="466">
        <v>0</v>
      </c>
      <c r="I46" s="467">
        <v>0</v>
      </c>
      <c r="J46" s="467">
        <v>0</v>
      </c>
      <c r="K46" s="1693">
        <f>SUM(C46:J46)</f>
        <v>278731</v>
      </c>
      <c r="L46" s="466">
        <v>274700</v>
      </c>
    </row>
    <row r="47" spans="1:14" ht="12.75" customHeight="1" thickBot="1" x14ac:dyDescent="0.25">
      <c r="A47" s="1689" t="s">
        <v>582</v>
      </c>
      <c r="B47" s="1690" t="s">
        <v>32</v>
      </c>
      <c r="C47" s="1691">
        <f>SUM(C44:C46)</f>
        <v>666436</v>
      </c>
      <c r="D47" s="1691">
        <f t="shared" ref="D47:K47" si="4">SUM(D44:D46)</f>
        <v>170415</v>
      </c>
      <c r="E47" s="1691">
        <f t="shared" si="4"/>
        <v>496885</v>
      </c>
      <c r="F47" s="1691">
        <f t="shared" si="4"/>
        <v>32641</v>
      </c>
      <c r="G47" s="1691">
        <f t="shared" si="4"/>
        <v>0</v>
      </c>
      <c r="H47" s="1691">
        <f t="shared" si="4"/>
        <v>18861</v>
      </c>
      <c r="I47" s="1691">
        <f t="shared" si="4"/>
        <v>8315</v>
      </c>
      <c r="J47" s="1691">
        <f t="shared" si="4"/>
        <v>0</v>
      </c>
      <c r="K47" s="1691">
        <f t="shared" si="4"/>
        <v>1393553</v>
      </c>
      <c r="L47" s="1691">
        <f>SUM(L44:L46)</f>
        <v>1452850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0</v>
      </c>
      <c r="D49" s="481">
        <v>0</v>
      </c>
      <c r="E49" s="481">
        <v>40742</v>
      </c>
      <c r="F49" s="481">
        <v>3424</v>
      </c>
      <c r="G49" s="481">
        <v>0</v>
      </c>
      <c r="H49" s="481">
        <v>0</v>
      </c>
      <c r="I49" s="467">
        <v>0</v>
      </c>
      <c r="J49" s="467">
        <v>0</v>
      </c>
      <c r="K49" s="1693">
        <f>SUM(C49:J49)</f>
        <v>44166</v>
      </c>
      <c r="L49" s="481">
        <v>46500</v>
      </c>
    </row>
    <row r="50" spans="1:14" x14ac:dyDescent="0.2">
      <c r="A50" s="1525" t="s">
        <v>872</v>
      </c>
      <c r="B50" s="615">
        <v>2320</v>
      </c>
      <c r="C50" s="466">
        <v>311876</v>
      </c>
      <c r="D50" s="466">
        <v>46411</v>
      </c>
      <c r="E50" s="466">
        <v>3912</v>
      </c>
      <c r="F50" s="466">
        <v>0</v>
      </c>
      <c r="G50" s="466">
        <v>0</v>
      </c>
      <c r="H50" s="466">
        <v>0</v>
      </c>
      <c r="I50" s="467">
        <v>0</v>
      </c>
      <c r="J50" s="467">
        <v>0</v>
      </c>
      <c r="K50" s="1693">
        <f>SUM(C50:J50)</f>
        <v>362199</v>
      </c>
      <c r="L50" s="466">
        <v>368000</v>
      </c>
    </row>
    <row r="51" spans="1:14" x14ac:dyDescent="0.2">
      <c r="A51" s="1525" t="s">
        <v>44</v>
      </c>
      <c r="B51" s="615">
        <v>2330</v>
      </c>
      <c r="C51" s="466">
        <v>0</v>
      </c>
      <c r="D51" s="466">
        <v>0</v>
      </c>
      <c r="E51" s="466">
        <v>0</v>
      </c>
      <c r="F51" s="466">
        <v>0</v>
      </c>
      <c r="G51" s="466">
        <v>0</v>
      </c>
      <c r="H51" s="466">
        <v>0</v>
      </c>
      <c r="I51" s="467">
        <v>0</v>
      </c>
      <c r="J51" s="467">
        <v>0</v>
      </c>
      <c r="K51" s="1693">
        <f>SUM(C51:J51)</f>
        <v>0</v>
      </c>
      <c r="L51" s="466">
        <v>0</v>
      </c>
    </row>
    <row r="52" spans="1:14" ht="22.5" x14ac:dyDescent="0.2">
      <c r="A52" s="1526" t="s">
        <v>316</v>
      </c>
      <c r="B52" s="628" t="s">
        <v>384</v>
      </c>
      <c r="C52" s="474">
        <v>0</v>
      </c>
      <c r="D52" s="474">
        <v>0</v>
      </c>
      <c r="E52" s="474">
        <v>0</v>
      </c>
      <c r="F52" s="474">
        <v>0</v>
      </c>
      <c r="G52" s="474">
        <v>0</v>
      </c>
      <c r="H52" s="474">
        <v>0</v>
      </c>
      <c r="I52" s="474">
        <v>0</v>
      </c>
      <c r="J52" s="474">
        <v>0</v>
      </c>
      <c r="K52" s="1693">
        <f>SUM(C52:J52)</f>
        <v>0</v>
      </c>
      <c r="L52" s="474">
        <v>5000</v>
      </c>
    </row>
    <row r="53" spans="1:14" ht="12.75" customHeight="1" thickBot="1" x14ac:dyDescent="0.25">
      <c r="A53" s="1689" t="s">
        <v>741</v>
      </c>
      <c r="B53" s="1690" t="s">
        <v>33</v>
      </c>
      <c r="C53" s="1691">
        <f>SUM(C49:C52)</f>
        <v>311876</v>
      </c>
      <c r="D53" s="1691">
        <f t="shared" ref="D53:L53" si="5">SUM(D49:D52)</f>
        <v>46411</v>
      </c>
      <c r="E53" s="1691">
        <f t="shared" si="5"/>
        <v>44654</v>
      </c>
      <c r="F53" s="1691">
        <f t="shared" si="5"/>
        <v>3424</v>
      </c>
      <c r="G53" s="1691">
        <f t="shared" si="5"/>
        <v>0</v>
      </c>
      <c r="H53" s="1691">
        <f t="shared" si="5"/>
        <v>0</v>
      </c>
      <c r="I53" s="1691">
        <f t="shared" si="5"/>
        <v>0</v>
      </c>
      <c r="J53" s="1691">
        <f t="shared" si="5"/>
        <v>0</v>
      </c>
      <c r="K53" s="1691">
        <f t="shared" si="5"/>
        <v>406365</v>
      </c>
      <c r="L53" s="1691">
        <f t="shared" si="5"/>
        <v>419500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1007691</v>
      </c>
      <c r="D55" s="481">
        <v>232407</v>
      </c>
      <c r="E55" s="481">
        <v>377740</v>
      </c>
      <c r="F55" s="481">
        <v>88555</v>
      </c>
      <c r="G55" s="481">
        <v>5120</v>
      </c>
      <c r="H55" s="481">
        <v>0</v>
      </c>
      <c r="I55" s="467">
        <v>8665</v>
      </c>
      <c r="J55" s="467">
        <v>0</v>
      </c>
      <c r="K55" s="1693">
        <f>SUM(C55:J55)</f>
        <v>1720178</v>
      </c>
      <c r="L55" s="481">
        <v>1738000</v>
      </c>
    </row>
    <row r="56" spans="1:14" ht="12.75" customHeight="1" x14ac:dyDescent="0.2">
      <c r="A56" s="1529" t="s">
        <v>394</v>
      </c>
      <c r="B56" s="629">
        <v>2490</v>
      </c>
      <c r="C56" s="466">
        <v>0</v>
      </c>
      <c r="D56" s="466">
        <v>0</v>
      </c>
      <c r="E56" s="466">
        <v>0</v>
      </c>
      <c r="F56" s="466">
        <v>0</v>
      </c>
      <c r="G56" s="466">
        <v>0</v>
      </c>
      <c r="H56" s="466">
        <v>0</v>
      </c>
      <c r="I56" s="467">
        <v>0</v>
      </c>
      <c r="J56" s="467">
        <v>0</v>
      </c>
      <c r="K56" s="1693">
        <f>SUM(C56:J56)</f>
        <v>0</v>
      </c>
      <c r="L56" s="466">
        <v>0</v>
      </c>
    </row>
    <row r="57" spans="1:14" s="343" customFormat="1" ht="12.75" customHeight="1" thickBot="1" x14ac:dyDescent="0.25">
      <c r="A57" s="1689" t="s">
        <v>281</v>
      </c>
      <c r="B57" s="1694" t="s">
        <v>34</v>
      </c>
      <c r="C57" s="1695">
        <f>SUM(C55:C56)</f>
        <v>1007691</v>
      </c>
      <c r="D57" s="1695">
        <f t="shared" ref="D57:K57" si="6">SUM(D55:D56)</f>
        <v>232407</v>
      </c>
      <c r="E57" s="1695">
        <f t="shared" si="6"/>
        <v>377740</v>
      </c>
      <c r="F57" s="1695">
        <f t="shared" si="6"/>
        <v>88555</v>
      </c>
      <c r="G57" s="1695">
        <f t="shared" si="6"/>
        <v>5120</v>
      </c>
      <c r="H57" s="1695">
        <f t="shared" si="6"/>
        <v>0</v>
      </c>
      <c r="I57" s="1695">
        <f t="shared" si="6"/>
        <v>8665</v>
      </c>
      <c r="J57" s="1695">
        <f t="shared" si="6"/>
        <v>0</v>
      </c>
      <c r="K57" s="1695">
        <f t="shared" si="6"/>
        <v>1720178</v>
      </c>
      <c r="L57" s="1691">
        <f>SUM(L55:L56)</f>
        <v>1738000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201074</v>
      </c>
      <c r="D59" s="481">
        <v>31761</v>
      </c>
      <c r="E59" s="481">
        <v>0</v>
      </c>
      <c r="F59" s="481">
        <v>0</v>
      </c>
      <c r="G59" s="481">
        <v>0</v>
      </c>
      <c r="H59" s="481">
        <v>0</v>
      </c>
      <c r="I59" s="467">
        <v>0</v>
      </c>
      <c r="J59" s="467">
        <v>0</v>
      </c>
      <c r="K59" s="1693">
        <f t="shared" ref="K59:K64" si="7">SUM(C59:J59)</f>
        <v>232835</v>
      </c>
      <c r="L59" s="481">
        <v>183800</v>
      </c>
      <c r="M59" s="610"/>
      <c r="N59" s="610"/>
    </row>
    <row r="60" spans="1:14" s="343" customFormat="1" x14ac:dyDescent="0.2">
      <c r="A60" s="1525" t="s">
        <v>483</v>
      </c>
      <c r="B60" s="615">
        <v>2520</v>
      </c>
      <c r="C60" s="466">
        <v>182165</v>
      </c>
      <c r="D60" s="466">
        <v>53231</v>
      </c>
      <c r="E60" s="466">
        <v>181716</v>
      </c>
      <c r="F60" s="466">
        <v>5894</v>
      </c>
      <c r="G60" s="466">
        <v>0</v>
      </c>
      <c r="H60" s="466">
        <v>0</v>
      </c>
      <c r="I60" s="467">
        <v>2800</v>
      </c>
      <c r="J60" s="467">
        <v>0</v>
      </c>
      <c r="K60" s="1693">
        <f t="shared" si="7"/>
        <v>425806</v>
      </c>
      <c r="L60" s="466">
        <v>544900</v>
      </c>
      <c r="M60" s="610"/>
      <c r="N60" s="610"/>
    </row>
    <row r="61" spans="1:14" s="343" customFormat="1" x14ac:dyDescent="0.2">
      <c r="A61" s="1525" t="s">
        <v>206</v>
      </c>
      <c r="B61" s="615">
        <v>2540</v>
      </c>
      <c r="C61" s="466">
        <v>0</v>
      </c>
      <c r="D61" s="466">
        <v>0</v>
      </c>
      <c r="E61" s="466">
        <v>379839</v>
      </c>
      <c r="F61" s="466">
        <v>0</v>
      </c>
      <c r="G61" s="466">
        <v>0</v>
      </c>
      <c r="H61" s="466">
        <v>0</v>
      </c>
      <c r="I61" s="467">
        <v>0</v>
      </c>
      <c r="J61" s="467">
        <v>0</v>
      </c>
      <c r="K61" s="1693">
        <f t="shared" si="7"/>
        <v>379839</v>
      </c>
      <c r="L61" s="466">
        <v>410000</v>
      </c>
      <c r="M61" s="610"/>
      <c r="N61" s="610"/>
    </row>
    <row r="62" spans="1:14" s="343" customFormat="1" x14ac:dyDescent="0.2">
      <c r="A62" s="1525" t="s">
        <v>1010</v>
      </c>
      <c r="B62" s="615">
        <v>2550</v>
      </c>
      <c r="C62" s="466">
        <v>0</v>
      </c>
      <c r="D62" s="466">
        <v>0</v>
      </c>
      <c r="E62" s="466">
        <v>0</v>
      </c>
      <c r="F62" s="466">
        <v>0</v>
      </c>
      <c r="G62" s="466">
        <v>0</v>
      </c>
      <c r="H62" s="466">
        <v>0</v>
      </c>
      <c r="I62" s="467">
        <v>0</v>
      </c>
      <c r="J62" s="467">
        <v>0</v>
      </c>
      <c r="K62" s="1693">
        <f t="shared" si="7"/>
        <v>0</v>
      </c>
      <c r="L62" s="466">
        <v>0</v>
      </c>
      <c r="M62" s="610"/>
      <c r="N62" s="610"/>
    </row>
    <row r="63" spans="1:14" s="610" customFormat="1" x14ac:dyDescent="0.2">
      <c r="A63" s="1525" t="s">
        <v>102</v>
      </c>
      <c r="B63" s="615">
        <v>2560</v>
      </c>
      <c r="C63" s="466">
        <v>0</v>
      </c>
      <c r="D63" s="466">
        <v>0</v>
      </c>
      <c r="E63" s="466">
        <v>709998</v>
      </c>
      <c r="F63" s="466">
        <v>2725</v>
      </c>
      <c r="G63" s="466">
        <v>0</v>
      </c>
      <c r="H63" s="466">
        <v>0</v>
      </c>
      <c r="I63" s="467">
        <v>0</v>
      </c>
      <c r="J63" s="467">
        <v>0</v>
      </c>
      <c r="K63" s="1693">
        <f t="shared" si="7"/>
        <v>712723</v>
      </c>
      <c r="L63" s="466">
        <v>723000</v>
      </c>
    </row>
    <row r="64" spans="1:14" s="610" customFormat="1" x14ac:dyDescent="0.2">
      <c r="A64" s="1530" t="s">
        <v>103</v>
      </c>
      <c r="B64" s="631">
        <v>2570</v>
      </c>
      <c r="C64" s="481">
        <v>0</v>
      </c>
      <c r="D64" s="481">
        <v>0</v>
      </c>
      <c r="E64" s="481">
        <v>0</v>
      </c>
      <c r="F64" s="481">
        <v>180</v>
      </c>
      <c r="G64" s="481">
        <v>0</v>
      </c>
      <c r="H64" s="481">
        <v>0</v>
      </c>
      <c r="I64" s="467">
        <v>0</v>
      </c>
      <c r="J64" s="467">
        <v>0</v>
      </c>
      <c r="K64" s="1693">
        <f t="shared" si="7"/>
        <v>180</v>
      </c>
      <c r="L64" s="481">
        <v>0</v>
      </c>
    </row>
    <row r="65" spans="1:14" s="343" customFormat="1" ht="12.75" customHeight="1" thickBot="1" x14ac:dyDescent="0.25">
      <c r="A65" s="1689" t="s">
        <v>743</v>
      </c>
      <c r="B65" s="1690" t="s">
        <v>35</v>
      </c>
      <c r="C65" s="1691">
        <f>SUM(C59:C64)</f>
        <v>383239</v>
      </c>
      <c r="D65" s="1691">
        <f t="shared" ref="D65:L65" si="8">SUM(D59:D64)</f>
        <v>84992</v>
      </c>
      <c r="E65" s="1691">
        <f t="shared" si="8"/>
        <v>1271553</v>
      </c>
      <c r="F65" s="1691">
        <f t="shared" si="8"/>
        <v>8799</v>
      </c>
      <c r="G65" s="1691">
        <f t="shared" si="8"/>
        <v>0</v>
      </c>
      <c r="H65" s="1691">
        <f t="shared" si="8"/>
        <v>0</v>
      </c>
      <c r="I65" s="1691">
        <f t="shared" si="8"/>
        <v>2800</v>
      </c>
      <c r="J65" s="1691">
        <f t="shared" si="8"/>
        <v>0</v>
      </c>
      <c r="K65" s="1691">
        <f t="shared" si="8"/>
        <v>1751383</v>
      </c>
      <c r="L65" s="1691">
        <f t="shared" si="8"/>
        <v>1861700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v>0</v>
      </c>
      <c r="D67" s="466">
        <v>0</v>
      </c>
      <c r="E67" s="466">
        <v>0</v>
      </c>
      <c r="F67" s="466">
        <v>0</v>
      </c>
      <c r="G67" s="466">
        <v>0</v>
      </c>
      <c r="H67" s="466">
        <v>0</v>
      </c>
      <c r="I67" s="467">
        <v>0</v>
      </c>
      <c r="J67" s="467">
        <v>0</v>
      </c>
      <c r="K67" s="1693">
        <f>SUM(C67:J67)</f>
        <v>0</v>
      </c>
      <c r="L67" s="481">
        <v>13000</v>
      </c>
      <c r="M67" s="610"/>
      <c r="N67" s="610"/>
    </row>
    <row r="68" spans="1:14" s="343" customFormat="1" x14ac:dyDescent="0.2">
      <c r="A68" s="1525" t="s">
        <v>628</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1121</v>
      </c>
      <c r="B69" s="615">
        <v>2630</v>
      </c>
      <c r="C69" s="466">
        <v>0</v>
      </c>
      <c r="D69" s="466">
        <v>0</v>
      </c>
      <c r="E69" s="466">
        <v>13184</v>
      </c>
      <c r="F69" s="466">
        <v>0</v>
      </c>
      <c r="G69" s="466">
        <v>0</v>
      </c>
      <c r="H69" s="466">
        <v>0</v>
      </c>
      <c r="I69" s="467">
        <v>0</v>
      </c>
      <c r="J69" s="467">
        <v>0</v>
      </c>
      <c r="K69" s="1693">
        <f>SUM(C69:J69)</f>
        <v>13184</v>
      </c>
      <c r="L69" s="466">
        <v>0</v>
      </c>
      <c r="M69" s="610"/>
      <c r="N69" s="610"/>
    </row>
    <row r="70" spans="1:14" s="343" customFormat="1" x14ac:dyDescent="0.2">
      <c r="A70" s="1525" t="s">
        <v>423</v>
      </c>
      <c r="B70" s="615">
        <v>2640</v>
      </c>
      <c r="C70" s="466">
        <v>0</v>
      </c>
      <c r="D70" s="466">
        <v>0</v>
      </c>
      <c r="E70" s="466">
        <v>10685</v>
      </c>
      <c r="F70" s="466">
        <v>0</v>
      </c>
      <c r="G70" s="466">
        <v>0</v>
      </c>
      <c r="H70" s="466">
        <v>0</v>
      </c>
      <c r="I70" s="467">
        <v>0</v>
      </c>
      <c r="J70" s="467">
        <v>0</v>
      </c>
      <c r="K70" s="1693">
        <f>SUM(C70:J70)</f>
        <v>10685</v>
      </c>
      <c r="L70" s="466">
        <v>51000</v>
      </c>
      <c r="M70" s="610"/>
      <c r="N70" s="610"/>
    </row>
    <row r="71" spans="1:14" s="343" customFormat="1" x14ac:dyDescent="0.2">
      <c r="A71" s="1525" t="s">
        <v>424</v>
      </c>
      <c r="B71" s="615">
        <v>2660</v>
      </c>
      <c r="C71" s="466">
        <v>635183</v>
      </c>
      <c r="D71" s="466">
        <v>110782</v>
      </c>
      <c r="E71" s="466">
        <v>279756</v>
      </c>
      <c r="F71" s="466">
        <v>118184</v>
      </c>
      <c r="G71" s="466">
        <v>64968</v>
      </c>
      <c r="H71" s="466">
        <v>0</v>
      </c>
      <c r="I71" s="467">
        <v>158554</v>
      </c>
      <c r="J71" s="467">
        <v>0</v>
      </c>
      <c r="K71" s="1693">
        <f>SUM(C71:J71)</f>
        <v>1367427</v>
      </c>
      <c r="L71" s="466">
        <v>1536000</v>
      </c>
      <c r="M71" s="610"/>
      <c r="N71" s="610"/>
    </row>
    <row r="72" spans="1:14" s="343" customFormat="1" ht="12.75" customHeight="1" thickBot="1" x14ac:dyDescent="0.25">
      <c r="A72" s="1689" t="s">
        <v>37</v>
      </c>
      <c r="B72" s="1696" t="s">
        <v>36</v>
      </c>
      <c r="C72" s="1691">
        <f>SUM(C67:C71)</f>
        <v>635183</v>
      </c>
      <c r="D72" s="1691">
        <f t="shared" ref="D72:K72" si="9">SUM(D67:D71)</f>
        <v>110782</v>
      </c>
      <c r="E72" s="1691">
        <f t="shared" si="9"/>
        <v>303625</v>
      </c>
      <c r="F72" s="1691">
        <f t="shared" si="9"/>
        <v>118184</v>
      </c>
      <c r="G72" s="1691">
        <f t="shared" si="9"/>
        <v>64968</v>
      </c>
      <c r="H72" s="1691">
        <f t="shared" si="9"/>
        <v>0</v>
      </c>
      <c r="I72" s="1691">
        <f t="shared" si="9"/>
        <v>158554</v>
      </c>
      <c r="J72" s="1691">
        <f t="shared" si="9"/>
        <v>0</v>
      </c>
      <c r="K72" s="1691">
        <f t="shared" si="9"/>
        <v>1391296</v>
      </c>
      <c r="L72" s="1691">
        <f>SUM(L67:L71)</f>
        <v>1600000</v>
      </c>
      <c r="M72" s="610"/>
      <c r="N72" s="610"/>
    </row>
    <row r="73" spans="1:14" s="343" customFormat="1" ht="14.25" thickTop="1" thickBot="1" x14ac:dyDescent="0.25">
      <c r="A73" s="1531" t="s">
        <v>1037</v>
      </c>
      <c r="B73" s="633" t="s">
        <v>595</v>
      </c>
      <c r="C73" s="573">
        <v>0</v>
      </c>
      <c r="D73" s="573">
        <v>0</v>
      </c>
      <c r="E73" s="573">
        <v>0</v>
      </c>
      <c r="F73" s="573">
        <v>0</v>
      </c>
      <c r="G73" s="573">
        <v>0</v>
      </c>
      <c r="H73" s="573">
        <v>0</v>
      </c>
      <c r="I73" s="531">
        <v>0</v>
      </c>
      <c r="J73" s="531">
        <v>0</v>
      </c>
      <c r="K73" s="1691">
        <f>SUM(C73:J73)</f>
        <v>0</v>
      </c>
      <c r="L73" s="576">
        <v>0</v>
      </c>
      <c r="M73" s="610"/>
      <c r="N73" s="610"/>
    </row>
    <row r="74" spans="1:14" ht="12.75" customHeight="1" thickTop="1" thickBot="1" x14ac:dyDescent="0.25">
      <c r="A74" s="1689" t="s">
        <v>865</v>
      </c>
      <c r="B74" s="1697">
        <v>2000</v>
      </c>
      <c r="C74" s="1698">
        <f>SUM(C42,C47,C53,C57,C65,C72,C73)</f>
        <v>4831344</v>
      </c>
      <c r="D74" s="1698">
        <f t="shared" ref="D74:K74" si="10">SUM(D42,D47,D53,D57,D65,D72,D73)</f>
        <v>1060033</v>
      </c>
      <c r="E74" s="1698">
        <f t="shared" si="10"/>
        <v>2618773</v>
      </c>
      <c r="F74" s="1698">
        <f t="shared" si="10"/>
        <v>336783</v>
      </c>
      <c r="G74" s="1698">
        <f t="shared" si="10"/>
        <v>70088</v>
      </c>
      <c r="H74" s="1698">
        <f t="shared" si="10"/>
        <v>18861</v>
      </c>
      <c r="I74" s="1698">
        <f t="shared" si="10"/>
        <v>179596</v>
      </c>
      <c r="J74" s="1698">
        <f t="shared" si="10"/>
        <v>0</v>
      </c>
      <c r="K74" s="1698">
        <f t="shared" si="10"/>
        <v>9115478</v>
      </c>
      <c r="L74" s="1698">
        <f>SUM(L42,L47,L53,L57,L65,L72,L73)</f>
        <v>9453891</v>
      </c>
    </row>
    <row r="75" spans="1:14" s="259" customFormat="1" ht="15.75" customHeight="1" thickTop="1" thickBot="1" x14ac:dyDescent="0.25">
      <c r="A75" s="1631" t="s">
        <v>49</v>
      </c>
      <c r="B75" s="1632" t="s">
        <v>596</v>
      </c>
      <c r="C75" s="573">
        <v>0</v>
      </c>
      <c r="D75" s="573">
        <v>0</v>
      </c>
      <c r="E75" s="573">
        <v>0</v>
      </c>
      <c r="F75" s="573">
        <v>0</v>
      </c>
      <c r="G75" s="573">
        <v>0</v>
      </c>
      <c r="H75" s="573">
        <v>0</v>
      </c>
      <c r="I75" s="531">
        <v>0</v>
      </c>
      <c r="J75" s="531">
        <v>0</v>
      </c>
      <c r="K75" s="1691">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635">
        <v>0</v>
      </c>
      <c r="I78" s="477"/>
      <c r="J78" s="477"/>
      <c r="K78" s="1692">
        <f t="shared" ref="K78:K83" si="11">SUM(C78:J78)</f>
        <v>0</v>
      </c>
      <c r="L78" s="481">
        <v>0</v>
      </c>
    </row>
    <row r="79" spans="1:14" x14ac:dyDescent="0.2">
      <c r="A79" s="1525" t="s">
        <v>322</v>
      </c>
      <c r="B79" s="615">
        <v>4120</v>
      </c>
      <c r="C79" s="617"/>
      <c r="D79" s="617"/>
      <c r="E79" s="466">
        <v>0</v>
      </c>
      <c r="F79" s="617"/>
      <c r="G79" s="617"/>
      <c r="H79" s="466">
        <v>0</v>
      </c>
      <c r="I79" s="477"/>
      <c r="J79" s="477"/>
      <c r="K79" s="1692">
        <f t="shared" si="11"/>
        <v>0</v>
      </c>
      <c r="L79" s="466">
        <v>575000</v>
      </c>
    </row>
    <row r="80" spans="1:14" x14ac:dyDescent="0.2">
      <c r="A80" s="1525" t="s">
        <v>323</v>
      </c>
      <c r="B80" s="615">
        <v>4130</v>
      </c>
      <c r="C80" s="617"/>
      <c r="D80" s="617"/>
      <c r="E80" s="466">
        <v>0</v>
      </c>
      <c r="F80" s="617"/>
      <c r="G80" s="617"/>
      <c r="H80" s="466">
        <v>0</v>
      </c>
      <c r="I80" s="477"/>
      <c r="J80" s="477"/>
      <c r="K80" s="1692">
        <f t="shared" si="11"/>
        <v>0</v>
      </c>
      <c r="L80" s="466">
        <v>0</v>
      </c>
    </row>
    <row r="81" spans="1:12" x14ac:dyDescent="0.2">
      <c r="A81" s="1525" t="s">
        <v>721</v>
      </c>
      <c r="B81" s="615">
        <v>4140</v>
      </c>
      <c r="C81" s="617"/>
      <c r="D81" s="617"/>
      <c r="E81" s="466">
        <v>0</v>
      </c>
      <c r="F81" s="617"/>
      <c r="G81" s="617"/>
      <c r="H81" s="466">
        <v>0</v>
      </c>
      <c r="I81" s="477"/>
      <c r="J81" s="477"/>
      <c r="K81" s="1692">
        <f t="shared" si="11"/>
        <v>0</v>
      </c>
      <c r="L81" s="466">
        <v>300000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722</v>
      </c>
      <c r="B83" s="629">
        <v>4190</v>
      </c>
      <c r="C83" s="617"/>
      <c r="D83" s="617"/>
      <c r="E83" s="466">
        <v>0</v>
      </c>
      <c r="F83" s="617"/>
      <c r="G83" s="617"/>
      <c r="H83" s="466">
        <v>0</v>
      </c>
      <c r="I83" s="477"/>
      <c r="J83" s="477"/>
      <c r="K83" s="1692">
        <f t="shared" si="11"/>
        <v>0</v>
      </c>
      <c r="L83" s="466">
        <v>0</v>
      </c>
    </row>
    <row r="84" spans="1:12" ht="13.5" thickBot="1" x14ac:dyDescent="0.25">
      <c r="A84" s="1689" t="s">
        <v>1565</v>
      </c>
      <c r="B84" s="1699">
        <v>4100</v>
      </c>
      <c r="C84" s="617"/>
      <c r="D84" s="617"/>
      <c r="E84" s="1691">
        <f>SUM(E78:E83)</f>
        <v>0</v>
      </c>
      <c r="F84" s="617"/>
      <c r="G84" s="617"/>
      <c r="H84" s="1691">
        <f>SUM(H78:H83)</f>
        <v>0</v>
      </c>
      <c r="I84" s="477"/>
      <c r="J84" s="477"/>
      <c r="K84" s="1691">
        <f>SUM(K78:K83)</f>
        <v>0</v>
      </c>
      <c r="L84" s="1691">
        <f>SUM(L78:L83)</f>
        <v>875000</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723</v>
      </c>
      <c r="B86" s="638">
        <v>4220</v>
      </c>
      <c r="C86" s="617"/>
      <c r="D86" s="617"/>
      <c r="E86" s="639"/>
      <c r="F86" s="617"/>
      <c r="G86" s="617"/>
      <c r="H86" s="467">
        <v>1044538</v>
      </c>
      <c r="I86" s="477"/>
      <c r="J86" s="477"/>
      <c r="K86" s="1698">
        <f t="shared" ref="K86:K98" si="12">H86</f>
        <v>1044538</v>
      </c>
      <c r="L86" s="530">
        <v>0</v>
      </c>
    </row>
    <row r="87" spans="1:12" ht="14.25" thickTop="1" thickBot="1" x14ac:dyDescent="0.25">
      <c r="A87" s="1534" t="s">
        <v>724</v>
      </c>
      <c r="B87" s="640">
        <v>4230</v>
      </c>
      <c r="C87" s="617"/>
      <c r="D87" s="617"/>
      <c r="E87" s="639"/>
      <c r="F87" s="617"/>
      <c r="G87" s="617"/>
      <c r="H87" s="467">
        <v>0</v>
      </c>
      <c r="I87" s="477"/>
      <c r="J87" s="477"/>
      <c r="K87" s="1698">
        <f t="shared" si="12"/>
        <v>0</v>
      </c>
      <c r="L87" s="530">
        <v>0</v>
      </c>
    </row>
    <row r="88" spans="1:12" ht="12.75" customHeight="1" thickTop="1" thickBot="1" x14ac:dyDescent="0.25">
      <c r="A88" s="1534" t="s">
        <v>789</v>
      </c>
      <c r="B88" s="640">
        <v>4240</v>
      </c>
      <c r="C88" s="617"/>
      <c r="D88" s="617"/>
      <c r="E88" s="639"/>
      <c r="F88" s="617"/>
      <c r="G88" s="617"/>
      <c r="H88" s="467">
        <v>0</v>
      </c>
      <c r="I88" s="477"/>
      <c r="J88" s="477"/>
      <c r="K88" s="1698">
        <f t="shared" si="12"/>
        <v>0</v>
      </c>
      <c r="L88" s="530">
        <v>0</v>
      </c>
    </row>
    <row r="89" spans="1:12" ht="12.75" customHeight="1" thickTop="1" thickBot="1" x14ac:dyDescent="0.25">
      <c r="A89" s="1534" t="s">
        <v>725</v>
      </c>
      <c r="B89" s="640">
        <v>4270</v>
      </c>
      <c r="C89" s="617"/>
      <c r="D89" s="617"/>
      <c r="E89" s="639"/>
      <c r="F89" s="617"/>
      <c r="G89" s="617"/>
      <c r="H89" s="467">
        <v>0</v>
      </c>
      <c r="I89" s="477"/>
      <c r="J89" s="477"/>
      <c r="K89" s="1698">
        <f t="shared" si="12"/>
        <v>0</v>
      </c>
      <c r="L89" s="530">
        <v>0</v>
      </c>
    </row>
    <row r="90" spans="1:12" ht="12.75" customHeight="1" thickTop="1" thickBot="1" x14ac:dyDescent="0.25">
      <c r="A90" s="1534" t="s">
        <v>710</v>
      </c>
      <c r="B90" s="640">
        <v>4280</v>
      </c>
      <c r="C90" s="617"/>
      <c r="D90" s="617"/>
      <c r="E90" s="639"/>
      <c r="F90" s="617"/>
      <c r="G90" s="617"/>
      <c r="H90" s="467">
        <v>0</v>
      </c>
      <c r="I90" s="477"/>
      <c r="J90" s="477"/>
      <c r="K90" s="1698">
        <f t="shared" si="12"/>
        <v>0</v>
      </c>
      <c r="L90" s="530">
        <v>0</v>
      </c>
    </row>
    <row r="91" spans="1:12" ht="12.75" customHeight="1" thickTop="1" thickBot="1" x14ac:dyDescent="0.25">
      <c r="A91" s="1534" t="s">
        <v>711</v>
      </c>
      <c r="B91" s="640">
        <v>4290</v>
      </c>
      <c r="C91" s="617"/>
      <c r="D91" s="617"/>
      <c r="E91" s="639"/>
      <c r="F91" s="617"/>
      <c r="G91" s="617"/>
      <c r="H91" s="467">
        <v>0</v>
      </c>
      <c r="I91" s="477"/>
      <c r="J91" s="477"/>
      <c r="K91" s="1698">
        <f t="shared" si="12"/>
        <v>0</v>
      </c>
      <c r="L91" s="530">
        <v>0</v>
      </c>
    </row>
    <row r="92" spans="1:12" ht="14.25" thickTop="1" thickBot="1" x14ac:dyDescent="0.25">
      <c r="A92" s="1701" t="s">
        <v>1641</v>
      </c>
      <c r="B92" s="1699">
        <v>4200</v>
      </c>
      <c r="C92" s="617"/>
      <c r="D92" s="617"/>
      <c r="E92" s="639"/>
      <c r="F92" s="617"/>
      <c r="G92" s="617"/>
      <c r="H92" s="1691">
        <f>SUM(H85:H91)</f>
        <v>1044538</v>
      </c>
      <c r="I92" s="477"/>
      <c r="J92" s="477"/>
      <c r="K92" s="1698">
        <f t="shared" si="12"/>
        <v>1044538</v>
      </c>
      <c r="L92" s="1691">
        <f>SUM(L85:L91)</f>
        <v>0</v>
      </c>
    </row>
    <row r="93" spans="1:12" ht="14.25" thickTop="1" thickBot="1" x14ac:dyDescent="0.25">
      <c r="A93" s="1533" t="s">
        <v>712</v>
      </c>
      <c r="B93" s="641">
        <v>4310</v>
      </c>
      <c r="C93" s="617"/>
      <c r="D93" s="617"/>
      <c r="E93" s="639"/>
      <c r="F93" s="617"/>
      <c r="G93" s="617"/>
      <c r="H93" s="642">
        <v>0</v>
      </c>
      <c r="I93" s="477"/>
      <c r="J93" s="477"/>
      <c r="K93" s="1698">
        <f t="shared" si="12"/>
        <v>0</v>
      </c>
      <c r="L93" s="532">
        <v>0</v>
      </c>
    </row>
    <row r="94" spans="1:12" ht="12.75" customHeight="1" thickTop="1" thickBot="1" x14ac:dyDescent="0.25">
      <c r="A94" s="1534" t="s">
        <v>713</v>
      </c>
      <c r="B94" s="640">
        <v>4320</v>
      </c>
      <c r="C94" s="617"/>
      <c r="D94" s="617"/>
      <c r="E94" s="639"/>
      <c r="F94" s="617"/>
      <c r="G94" s="617"/>
      <c r="H94" s="467">
        <v>0</v>
      </c>
      <c r="I94" s="477"/>
      <c r="J94" s="477"/>
      <c r="K94" s="1698">
        <f t="shared" si="12"/>
        <v>0</v>
      </c>
      <c r="L94" s="530">
        <v>0</v>
      </c>
    </row>
    <row r="95" spans="1:12" ht="15" customHeight="1" thickTop="1" thickBot="1" x14ac:dyDescent="0.25">
      <c r="A95" s="1534" t="s">
        <v>1568</v>
      </c>
      <c r="B95" s="640">
        <v>4330</v>
      </c>
      <c r="C95" s="617"/>
      <c r="D95" s="617"/>
      <c r="E95" s="639"/>
      <c r="F95" s="617"/>
      <c r="G95" s="617"/>
      <c r="H95" s="467">
        <v>0</v>
      </c>
      <c r="I95" s="477"/>
      <c r="J95" s="477"/>
      <c r="K95" s="1698">
        <f t="shared" si="12"/>
        <v>0</v>
      </c>
      <c r="L95" s="530">
        <v>0</v>
      </c>
    </row>
    <row r="96" spans="1:12" ht="14.25" thickTop="1" thickBot="1" x14ac:dyDescent="0.25">
      <c r="A96" s="1534" t="s">
        <v>714</v>
      </c>
      <c r="B96" s="640">
        <v>4340</v>
      </c>
      <c r="C96" s="617"/>
      <c r="D96" s="617"/>
      <c r="E96" s="639"/>
      <c r="F96" s="617"/>
      <c r="G96" s="617"/>
      <c r="H96" s="467">
        <v>0</v>
      </c>
      <c r="I96" s="477"/>
      <c r="J96" s="477"/>
      <c r="K96" s="1698">
        <f t="shared" si="12"/>
        <v>0</v>
      </c>
      <c r="L96" s="530">
        <v>0</v>
      </c>
    </row>
    <row r="97" spans="1:14" ht="12.75" customHeight="1" thickTop="1" thickBot="1" x14ac:dyDescent="0.25">
      <c r="A97" s="1534" t="s">
        <v>787</v>
      </c>
      <c r="B97" s="640">
        <v>4370</v>
      </c>
      <c r="C97" s="617"/>
      <c r="D97" s="617"/>
      <c r="E97" s="639"/>
      <c r="F97" s="617"/>
      <c r="G97" s="617"/>
      <c r="H97" s="467">
        <v>0</v>
      </c>
      <c r="I97" s="477"/>
      <c r="J97" s="477"/>
      <c r="K97" s="1698">
        <f t="shared" si="12"/>
        <v>0</v>
      </c>
      <c r="L97" s="530">
        <v>0</v>
      </c>
    </row>
    <row r="98" spans="1:14" ht="14.25" thickTop="1" thickBot="1" x14ac:dyDescent="0.25">
      <c r="A98" s="1534" t="s">
        <v>788</v>
      </c>
      <c r="B98" s="640">
        <v>4380</v>
      </c>
      <c r="C98" s="617"/>
      <c r="D98" s="617"/>
      <c r="E98" s="643"/>
      <c r="F98" s="617"/>
      <c r="G98" s="617"/>
      <c r="H98" s="467">
        <v>0</v>
      </c>
      <c r="I98" s="477"/>
      <c r="J98" s="477"/>
      <c r="K98" s="1698">
        <f t="shared" si="12"/>
        <v>0</v>
      </c>
      <c r="L98" s="530">
        <v>0</v>
      </c>
    </row>
    <row r="99" spans="1:14" ht="14.25" thickTop="1" thickBot="1" x14ac:dyDescent="0.25">
      <c r="A99" s="1534" t="s">
        <v>385</v>
      </c>
      <c r="B99" s="640">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0</v>
      </c>
      <c r="F102" s="617"/>
      <c r="G102" s="617"/>
      <c r="H102" s="1698">
        <f>SUM(H84,H92,H100,H101)</f>
        <v>1044538</v>
      </c>
      <c r="I102" s="477"/>
      <c r="J102" s="477"/>
      <c r="K102" s="1698">
        <f>SUM(K84,K92,K100,K101)</f>
        <v>1044538</v>
      </c>
      <c r="L102" s="1698">
        <f>SUM(L84,L92,L100,L101)</f>
        <v>875000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21287643</v>
      </c>
      <c r="D114" s="1691">
        <f t="shared" ref="D114:K114" si="13">SUM(D33,D74,D75,D102,D112,D113)</f>
        <v>4267395</v>
      </c>
      <c r="E114" s="1691">
        <f t="shared" si="13"/>
        <v>5008487</v>
      </c>
      <c r="F114" s="1691">
        <f t="shared" si="13"/>
        <v>1064359</v>
      </c>
      <c r="G114" s="1691">
        <f t="shared" si="13"/>
        <v>113450</v>
      </c>
      <c r="H114" s="1691">
        <f>SUM(H33,H74,H75,H102,H112,H113)</f>
        <v>1829747</v>
      </c>
      <c r="I114" s="1691">
        <f t="shared" si="13"/>
        <v>874324</v>
      </c>
      <c r="J114" s="1691">
        <f t="shared" si="13"/>
        <v>0</v>
      </c>
      <c r="K114" s="1691">
        <f t="shared" si="13"/>
        <v>34445405</v>
      </c>
      <c r="L114" s="1691">
        <f>SUM(L33,L74,L75,L102,L112,L113)</f>
        <v>34966079</v>
      </c>
    </row>
    <row r="115" spans="1:14" ht="13.5" thickTop="1" x14ac:dyDescent="0.2">
      <c r="A115" s="2174" t="s">
        <v>1053</v>
      </c>
      <c r="B115" s="2175"/>
      <c r="C115" s="619"/>
      <c r="D115" s="619"/>
      <c r="E115" s="619"/>
      <c r="F115" s="619"/>
      <c r="G115" s="619"/>
      <c r="H115" s="619"/>
      <c r="I115" s="619"/>
      <c r="J115" s="619"/>
      <c r="K115" s="1705">
        <f>'Revenues 9-14'!C275-'Expenditures 15-22'!K114</f>
        <v>4096465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123170</v>
      </c>
      <c r="D124" s="466">
        <v>9083</v>
      </c>
      <c r="E124" s="466">
        <v>3525545</v>
      </c>
      <c r="F124" s="466">
        <v>1092140</v>
      </c>
      <c r="G124" s="466">
        <v>2084133</v>
      </c>
      <c r="H124" s="466">
        <v>0</v>
      </c>
      <c r="I124" s="467">
        <v>73470</v>
      </c>
      <c r="J124" s="467">
        <v>0</v>
      </c>
      <c r="K124" s="1691">
        <f>SUM(C124:J124)</f>
        <v>6907541</v>
      </c>
      <c r="L124" s="466">
        <v>8110400</v>
      </c>
    </row>
    <row r="125" spans="1:14" ht="14.25" thickTop="1" thickBot="1" x14ac:dyDescent="0.25">
      <c r="A125" s="1525" t="s">
        <v>1010</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743</v>
      </c>
      <c r="B127" s="1690" t="s">
        <v>35</v>
      </c>
      <c r="C127" s="1691">
        <f>SUM(C122:C126)</f>
        <v>123170</v>
      </c>
      <c r="D127" s="1691">
        <f t="shared" ref="D127:L127" si="14">SUM(D122:D126)</f>
        <v>9083</v>
      </c>
      <c r="E127" s="1691">
        <f t="shared" si="14"/>
        <v>3525545</v>
      </c>
      <c r="F127" s="1691">
        <f t="shared" si="14"/>
        <v>1092140</v>
      </c>
      <c r="G127" s="1691">
        <f t="shared" si="14"/>
        <v>2084133</v>
      </c>
      <c r="H127" s="1691">
        <f t="shared" si="14"/>
        <v>0</v>
      </c>
      <c r="I127" s="1691">
        <f t="shared" si="14"/>
        <v>73470</v>
      </c>
      <c r="J127" s="1691">
        <f t="shared" si="14"/>
        <v>0</v>
      </c>
      <c r="K127" s="1691">
        <f t="shared" si="14"/>
        <v>6907541</v>
      </c>
      <c r="L127" s="1691">
        <f t="shared" si="14"/>
        <v>8110400</v>
      </c>
    </row>
    <row r="128" spans="1:14" ht="12.75" customHeight="1" thickTop="1" x14ac:dyDescent="0.2">
      <c r="A128" s="1532" t="s">
        <v>1037</v>
      </c>
      <c r="B128" s="656" t="s">
        <v>595</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865</v>
      </c>
      <c r="B129" s="1708" t="s">
        <v>590</v>
      </c>
      <c r="C129" s="1698">
        <f>SUM(C120,C127,C128)</f>
        <v>123170</v>
      </c>
      <c r="D129" s="1698">
        <f t="shared" ref="D129:L129" si="15">SUM(D120,D127,D128)</f>
        <v>9083</v>
      </c>
      <c r="E129" s="1698">
        <f t="shared" si="15"/>
        <v>3525545</v>
      </c>
      <c r="F129" s="1698">
        <f t="shared" si="15"/>
        <v>1092140</v>
      </c>
      <c r="G129" s="1698">
        <f t="shared" si="15"/>
        <v>2084133</v>
      </c>
      <c r="H129" s="1698">
        <f t="shared" si="15"/>
        <v>0</v>
      </c>
      <c r="I129" s="1698">
        <f t="shared" si="15"/>
        <v>73470</v>
      </c>
      <c r="J129" s="1698">
        <f t="shared" si="15"/>
        <v>0</v>
      </c>
      <c r="K129" s="1698">
        <f t="shared" si="15"/>
        <v>6907541</v>
      </c>
      <c r="L129" s="1698">
        <f t="shared" si="15"/>
        <v>8110400</v>
      </c>
    </row>
    <row r="130" spans="1:14" ht="15.75" customHeight="1" thickTop="1" thickBot="1" x14ac:dyDescent="0.25">
      <c r="A130" s="1631" t="s">
        <v>1096</v>
      </c>
      <c r="B130" s="1632" t="s">
        <v>596</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v>0</v>
      </c>
      <c r="F133" s="468"/>
      <c r="G133" s="468"/>
      <c r="H133" s="642">
        <v>0</v>
      </c>
      <c r="I133" s="468"/>
      <c r="J133" s="468"/>
      <c r="K133" s="1843">
        <f>SUM(E133,H133)</f>
        <v>0</v>
      </c>
      <c r="L133" s="642">
        <v>0</v>
      </c>
      <c r="M133" s="206"/>
      <c r="N133" s="206"/>
    </row>
    <row r="134" spans="1:14" x14ac:dyDescent="0.2">
      <c r="A134" s="1525" t="s">
        <v>322</v>
      </c>
      <c r="B134" s="615">
        <v>4120</v>
      </c>
      <c r="C134" s="617"/>
      <c r="D134" s="617"/>
      <c r="E134" s="478">
        <v>0</v>
      </c>
      <c r="F134" s="617"/>
      <c r="G134" s="617"/>
      <c r="H134" s="481">
        <v>106357</v>
      </c>
      <c r="I134" s="477"/>
      <c r="J134" s="617"/>
      <c r="K134" s="1693">
        <f>SUM(E134,H134)</f>
        <v>106357</v>
      </c>
      <c r="L134" s="481">
        <v>0</v>
      </c>
    </row>
    <row r="135" spans="1:14" x14ac:dyDescent="0.2">
      <c r="A135" s="1525" t="s">
        <v>721</v>
      </c>
      <c r="B135" s="615">
        <v>4140</v>
      </c>
      <c r="C135" s="617"/>
      <c r="D135" s="617"/>
      <c r="E135" s="467">
        <v>0</v>
      </c>
      <c r="F135" s="617"/>
      <c r="G135" s="617"/>
      <c r="H135" s="466">
        <v>0</v>
      </c>
      <c r="I135" s="477"/>
      <c r="J135" s="617"/>
      <c r="K135" s="1693">
        <f>SUM(E135,H135)</f>
        <v>0</v>
      </c>
      <c r="L135" s="466">
        <v>0</v>
      </c>
    </row>
    <row r="136" spans="1:14" x14ac:dyDescent="0.2">
      <c r="A136" s="1529" t="s">
        <v>722</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106357</v>
      </c>
      <c r="I137" s="477"/>
      <c r="J137" s="617"/>
      <c r="K137" s="1691">
        <f>SUM(K133:K136)</f>
        <v>106357</v>
      </c>
      <c r="L137" s="1691">
        <f>SUM(L133:L136)</f>
        <v>0</v>
      </c>
    </row>
    <row r="138" spans="1:14" ht="12.75" customHeight="1" thickTop="1" thickBot="1" x14ac:dyDescent="0.25">
      <c r="A138" s="1531" t="s">
        <v>98</v>
      </c>
      <c r="B138" s="644" t="s">
        <v>988</v>
      </c>
      <c r="C138" s="617"/>
      <c r="D138" s="617"/>
      <c r="E138" s="479"/>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106357</v>
      </c>
      <c r="I139" s="477"/>
      <c r="J139" s="617"/>
      <c r="K139" s="1693">
        <f>SUM(K137,K138)</f>
        <v>106357</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91" t="s">
        <v>641</v>
      </c>
      <c r="B151" s="2171"/>
      <c r="C151" s="1691">
        <f>SUM(C129,C130,C139,C149,C150)</f>
        <v>123170</v>
      </c>
      <c r="D151" s="1691">
        <f t="shared" ref="D151:K151" si="16">SUM(D129,D130,D139,D149,D150)</f>
        <v>9083</v>
      </c>
      <c r="E151" s="1691">
        <f t="shared" si="16"/>
        <v>3525545</v>
      </c>
      <c r="F151" s="1691">
        <f t="shared" si="16"/>
        <v>1092140</v>
      </c>
      <c r="G151" s="1691">
        <f t="shared" si="16"/>
        <v>2084133</v>
      </c>
      <c r="H151" s="1691">
        <f t="shared" si="16"/>
        <v>106357</v>
      </c>
      <c r="I151" s="1691">
        <f t="shared" si="16"/>
        <v>73470</v>
      </c>
      <c r="J151" s="1691">
        <f t="shared" si="16"/>
        <v>0</v>
      </c>
      <c r="K151" s="1691">
        <f t="shared" si="16"/>
        <v>7013898</v>
      </c>
      <c r="L151" s="1691">
        <f>SUM(L129,L130,L139,L149,L150)</f>
        <v>8110400</v>
      </c>
    </row>
    <row r="152" spans="1:14" ht="12.75" customHeight="1" thickTop="1" x14ac:dyDescent="0.2">
      <c r="A152" s="2194" t="s">
        <v>1240</v>
      </c>
      <c r="B152" s="2195"/>
      <c r="C152" s="619"/>
      <c r="D152" s="619"/>
      <c r="E152" s="619"/>
      <c r="F152" s="619"/>
      <c r="G152" s="619"/>
      <c r="H152" s="619"/>
      <c r="I152" s="619"/>
      <c r="J152" s="617"/>
      <c r="K152" s="1705">
        <f>'Revenues 9-14'!D275-'Expenditures 15-22'!K151</f>
        <v>810191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v>0</v>
      </c>
      <c r="I157" s="617"/>
      <c r="J157" s="617"/>
      <c r="K157" s="1692">
        <f>H157</f>
        <v>0</v>
      </c>
      <c r="L157" s="467">
        <v>0</v>
      </c>
      <c r="M157" s="620"/>
      <c r="N157" s="620"/>
    </row>
    <row r="158" spans="1:14" s="621" customFormat="1" ht="12" x14ac:dyDescent="0.2">
      <c r="A158" s="1848" t="s">
        <v>322</v>
      </c>
      <c r="B158" s="1849" t="s">
        <v>1959</v>
      </c>
      <c r="C158" s="617"/>
      <c r="D158" s="617"/>
      <c r="E158" s="617"/>
      <c r="F158" s="617"/>
      <c r="G158" s="617"/>
      <c r="H158" s="467">
        <v>0</v>
      </c>
      <c r="I158" s="617"/>
      <c r="J158" s="617"/>
      <c r="K158" s="1692">
        <f>H158</f>
        <v>0</v>
      </c>
      <c r="L158" s="467">
        <v>0</v>
      </c>
      <c r="M158" s="620"/>
      <c r="N158" s="620"/>
    </row>
    <row r="159" spans="1:14" s="621" customFormat="1" ht="12" x14ac:dyDescent="0.2">
      <c r="A159" s="1848" t="s">
        <v>1960</v>
      </c>
      <c r="B159" s="1849" t="s">
        <v>579</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5602021</v>
      </c>
      <c r="I169" s="617"/>
      <c r="J169" s="617"/>
      <c r="K169" s="1692">
        <f>SUM(C169:H169)</f>
        <v>5602021</v>
      </c>
      <c r="L169" s="657">
        <v>5918949</v>
      </c>
    </row>
    <row r="170" spans="1:14" ht="33.75" customHeight="1" x14ac:dyDescent="0.2">
      <c r="A170" s="670" t="s">
        <v>1769</v>
      </c>
      <c r="B170" s="672" t="s">
        <v>31</v>
      </c>
      <c r="C170" s="617"/>
      <c r="D170" s="617"/>
      <c r="E170" s="617"/>
      <c r="F170" s="617"/>
      <c r="G170" s="617"/>
      <c r="H170" s="569">
        <v>2113515</v>
      </c>
      <c r="I170" s="617"/>
      <c r="J170" s="617"/>
      <c r="K170" s="1692">
        <f>SUM(C170:J170)</f>
        <v>2113515</v>
      </c>
      <c r="L170" s="569">
        <v>1798910</v>
      </c>
    </row>
    <row r="171" spans="1:14" ht="15.75" customHeight="1" x14ac:dyDescent="0.2">
      <c r="A171" s="622" t="s">
        <v>790</v>
      </c>
      <c r="B171" s="673" t="s">
        <v>86</v>
      </c>
      <c r="C171" s="617"/>
      <c r="D171" s="617"/>
      <c r="E171" s="466">
        <v>0</v>
      </c>
      <c r="F171" s="617"/>
      <c r="G171" s="617"/>
      <c r="H171" s="569">
        <v>0</v>
      </c>
      <c r="I171" s="477"/>
      <c r="J171" s="617"/>
      <c r="K171" s="1692">
        <f>SUM(C171:J171)</f>
        <v>0</v>
      </c>
      <c r="L171" s="569">
        <v>2500</v>
      </c>
    </row>
    <row r="172" spans="1:14" ht="12.75" customHeight="1" thickBot="1" x14ac:dyDescent="0.25">
      <c r="A172" s="1689" t="s">
        <v>659</v>
      </c>
      <c r="B172" s="1690" t="s">
        <v>513</v>
      </c>
      <c r="C172" s="617"/>
      <c r="D172" s="617"/>
      <c r="E172" s="1698">
        <f>SUM(E168,E169,E170,E171)</f>
        <v>0</v>
      </c>
      <c r="F172" s="617"/>
      <c r="G172" s="617"/>
      <c r="H172" s="1698">
        <f>SUM(H168,H169,H170,H171)</f>
        <v>7715536</v>
      </c>
      <c r="I172" s="639"/>
      <c r="J172" s="617"/>
      <c r="K172" s="1698">
        <f>SUM(K168,K169,K170,K171)</f>
        <v>7715536</v>
      </c>
      <c r="L172" s="1698">
        <f>SUM(L168,L169,L170,L171)</f>
        <v>7720359</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7715536</v>
      </c>
      <c r="I174" s="639"/>
      <c r="J174" s="617"/>
      <c r="K174" s="1698">
        <f>SUM(K160,K172,K173)</f>
        <v>7715536</v>
      </c>
      <c r="L174" s="1698">
        <f>SUM(L160,L172,L173)</f>
        <v>7720359</v>
      </c>
    </row>
    <row r="175" spans="1:14" ht="13.5" thickTop="1" x14ac:dyDescent="0.2">
      <c r="A175" s="2174" t="s">
        <v>1053</v>
      </c>
      <c r="B175" s="2175"/>
      <c r="C175" s="617"/>
      <c r="D175" s="617"/>
      <c r="E175" s="617"/>
      <c r="F175" s="617"/>
      <c r="G175" s="617"/>
      <c r="H175" s="619"/>
      <c r="I175" s="617"/>
      <c r="J175" s="617"/>
      <c r="K175" s="1705">
        <f>'Revenues 9-14'!E275-'Expenditures 15-22'!K174</f>
        <v>-754307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14174</v>
      </c>
      <c r="D182" s="466">
        <v>2207</v>
      </c>
      <c r="E182" s="466">
        <v>2512659</v>
      </c>
      <c r="F182" s="466">
        <v>191083</v>
      </c>
      <c r="G182" s="466">
        <v>55750</v>
      </c>
      <c r="H182" s="466">
        <v>0</v>
      </c>
      <c r="I182" s="467">
        <v>0</v>
      </c>
      <c r="J182" s="467">
        <v>0</v>
      </c>
      <c r="K182" s="1692">
        <f>SUM(C182:J182)</f>
        <v>2775873</v>
      </c>
      <c r="L182" s="466">
        <v>2776200</v>
      </c>
    </row>
    <row r="183" spans="1:14" ht="12.75" customHeight="1" thickBot="1" x14ac:dyDescent="0.25">
      <c r="A183" s="1530" t="s">
        <v>1037</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865</v>
      </c>
      <c r="B184" s="1690" t="s">
        <v>590</v>
      </c>
      <c r="C184" s="1698">
        <f>SUM(C180,C182,C183)</f>
        <v>14174</v>
      </c>
      <c r="D184" s="1698">
        <f t="shared" ref="D184:J184" si="17">SUM(D180,D182,D183)</f>
        <v>2207</v>
      </c>
      <c r="E184" s="1698">
        <f t="shared" si="17"/>
        <v>2512659</v>
      </c>
      <c r="F184" s="1698">
        <f t="shared" si="17"/>
        <v>191083</v>
      </c>
      <c r="G184" s="1698">
        <f t="shared" si="17"/>
        <v>55750</v>
      </c>
      <c r="H184" s="1698">
        <f t="shared" si="17"/>
        <v>0</v>
      </c>
      <c r="I184" s="1698">
        <f t="shared" si="17"/>
        <v>0</v>
      </c>
      <c r="J184" s="1698">
        <f t="shared" si="17"/>
        <v>0</v>
      </c>
      <c r="K184" s="1698">
        <f>SUM(K180,K182,K183)</f>
        <v>2775873</v>
      </c>
      <c r="L184" s="1698">
        <f>SUM(L180, L182:L183)</f>
        <v>2776200</v>
      </c>
    </row>
    <row r="185" spans="1:14" ht="15.75" customHeight="1" thickTop="1" thickBot="1" x14ac:dyDescent="0.25">
      <c r="A185" s="1643" t="s">
        <v>996</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v>0</v>
      </c>
      <c r="F188" s="617"/>
      <c r="G188" s="617"/>
      <c r="H188" s="466">
        <v>0</v>
      </c>
      <c r="I188" s="477"/>
      <c r="J188" s="617"/>
      <c r="K188" s="1692">
        <f t="shared" ref="K188:K193" si="18">SUM(E188,H188)</f>
        <v>0</v>
      </c>
      <c r="L188" s="466">
        <v>0</v>
      </c>
    </row>
    <row r="189" spans="1:14" x14ac:dyDescent="0.2">
      <c r="A189" s="1525" t="s">
        <v>322</v>
      </c>
      <c r="B189" s="615">
        <v>4120</v>
      </c>
      <c r="C189" s="617"/>
      <c r="D189" s="617"/>
      <c r="E189" s="466">
        <v>0</v>
      </c>
      <c r="F189" s="617"/>
      <c r="G189" s="617"/>
      <c r="H189" s="466">
        <v>0</v>
      </c>
      <c r="I189" s="477"/>
      <c r="J189" s="617"/>
      <c r="K189" s="1692">
        <f t="shared" si="18"/>
        <v>0</v>
      </c>
      <c r="L189" s="466">
        <v>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v>0</v>
      </c>
      <c r="F195" s="617"/>
      <c r="G195" s="617"/>
      <c r="H195" s="657">
        <v>0</v>
      </c>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1770</v>
      </c>
      <c r="B206" s="673" t="s">
        <v>31</v>
      </c>
      <c r="C206" s="617"/>
      <c r="D206" s="617"/>
      <c r="E206" s="617"/>
      <c r="F206" s="617"/>
      <c r="G206" s="617"/>
      <c r="H206" s="466">
        <v>0</v>
      </c>
      <c r="I206" s="617"/>
      <c r="J206" s="617"/>
      <c r="K206" s="1692">
        <f>SUM(H206)</f>
        <v>0</v>
      </c>
      <c r="L206" s="466">
        <v>0</v>
      </c>
    </row>
    <row r="207" spans="1:14" ht="15.75" customHeight="1" x14ac:dyDescent="0.2">
      <c r="A207" s="622" t="s">
        <v>790</v>
      </c>
      <c r="B207" s="673"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14174</v>
      </c>
      <c r="D210" s="1691">
        <f>SUM(D184,D185)</f>
        <v>2207</v>
      </c>
      <c r="E210" s="1691">
        <f>SUM(E184,E185,E196)</f>
        <v>2512659</v>
      </c>
      <c r="F210" s="1691">
        <f>SUM(F184,F185)</f>
        <v>191083</v>
      </c>
      <c r="G210" s="1691">
        <f>SUM(G184,G185)</f>
        <v>55750</v>
      </c>
      <c r="H210" s="1691">
        <f>SUM(H184,H185,H196,H208,H209)</f>
        <v>0</v>
      </c>
      <c r="I210" s="1691">
        <f>SUM(I184,I185)</f>
        <v>0</v>
      </c>
      <c r="J210" s="1691">
        <f>SUM(J184,J185)</f>
        <v>0</v>
      </c>
      <c r="K210" s="1692">
        <f>SUM(K184,K185,K196,K208,K209)</f>
        <v>2775873</v>
      </c>
      <c r="L210" s="1691">
        <f>SUM(L184,L185,L196,L208,L209)</f>
        <v>2776200</v>
      </c>
    </row>
    <row r="211" spans="1:14" ht="13.5" thickTop="1" x14ac:dyDescent="0.2">
      <c r="A211" s="2174" t="s">
        <v>1053</v>
      </c>
      <c r="B211" s="2175"/>
      <c r="C211" s="619"/>
      <c r="D211" s="619"/>
      <c r="E211" s="619"/>
      <c r="F211" s="619"/>
      <c r="G211" s="619"/>
      <c r="H211" s="619"/>
      <c r="I211" s="617"/>
      <c r="J211" s="617"/>
      <c r="K211" s="1705">
        <f>'Revenues 9-14'!F275-'Expenditures 15-22'!K210</f>
        <v>671178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159989</v>
      </c>
      <c r="E215" s="617"/>
      <c r="F215" s="617"/>
      <c r="G215" s="617"/>
      <c r="H215" s="617"/>
      <c r="I215" s="617"/>
      <c r="J215" s="617"/>
      <c r="K215" s="1692">
        <f>D215</f>
        <v>159989</v>
      </c>
      <c r="L215" s="466">
        <v>154900</v>
      </c>
    </row>
    <row r="216" spans="1:14" x14ac:dyDescent="0.2">
      <c r="A216" s="1525" t="s">
        <v>165</v>
      </c>
      <c r="B216" s="615" t="s">
        <v>1024</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221167</v>
      </c>
      <c r="E217" s="617"/>
      <c r="F217" s="617"/>
      <c r="G217" s="617"/>
      <c r="H217" s="617"/>
      <c r="I217" s="617"/>
      <c r="J217" s="617"/>
      <c r="K217" s="1692">
        <f t="shared" si="19"/>
        <v>221167</v>
      </c>
      <c r="L217" s="466">
        <v>227000</v>
      </c>
    </row>
    <row r="218" spans="1:14" x14ac:dyDescent="0.2">
      <c r="A218" s="1525" t="s">
        <v>296</v>
      </c>
      <c r="B218" s="615" t="s">
        <v>1025</v>
      </c>
      <c r="C218" s="617"/>
      <c r="D218" s="467">
        <v>0</v>
      </c>
      <c r="E218" s="617"/>
      <c r="F218" s="617"/>
      <c r="G218" s="617"/>
      <c r="H218" s="617"/>
      <c r="I218" s="617"/>
      <c r="J218" s="617"/>
      <c r="K218" s="1692">
        <f t="shared" si="19"/>
        <v>0</v>
      </c>
      <c r="L218" s="466">
        <v>0</v>
      </c>
    </row>
    <row r="219" spans="1:14" x14ac:dyDescent="0.2">
      <c r="A219" s="1525" t="s">
        <v>297</v>
      </c>
      <c r="B219" s="615">
        <v>1250</v>
      </c>
      <c r="C219" s="617"/>
      <c r="D219" s="466">
        <v>0</v>
      </c>
      <c r="E219" s="617"/>
      <c r="F219" s="617"/>
      <c r="G219" s="617"/>
      <c r="H219" s="617"/>
      <c r="I219" s="617"/>
      <c r="J219" s="617"/>
      <c r="K219" s="1692">
        <f t="shared" si="19"/>
        <v>0</v>
      </c>
      <c r="L219" s="466">
        <v>0</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0</v>
      </c>
      <c r="E222" s="617"/>
      <c r="F222" s="617"/>
      <c r="G222" s="617"/>
      <c r="H222" s="617"/>
      <c r="I222" s="617"/>
      <c r="J222" s="617"/>
      <c r="K222" s="1692">
        <f t="shared" si="19"/>
        <v>0</v>
      </c>
      <c r="L222" s="466">
        <v>0</v>
      </c>
    </row>
    <row r="223" spans="1:14" x14ac:dyDescent="0.2">
      <c r="A223" s="1525" t="s">
        <v>1020</v>
      </c>
      <c r="B223" s="615">
        <v>1500</v>
      </c>
      <c r="C223" s="617"/>
      <c r="D223" s="466">
        <v>87897</v>
      </c>
      <c r="E223" s="617"/>
      <c r="F223" s="617"/>
      <c r="G223" s="617"/>
      <c r="H223" s="617"/>
      <c r="I223" s="617"/>
      <c r="J223" s="617"/>
      <c r="K223" s="1692">
        <f t="shared" si="19"/>
        <v>87897</v>
      </c>
      <c r="L223" s="466">
        <v>83100</v>
      </c>
    </row>
    <row r="224" spans="1:14" x14ac:dyDescent="0.2">
      <c r="A224" s="1525" t="s">
        <v>1021</v>
      </c>
      <c r="B224" s="615">
        <v>1600</v>
      </c>
      <c r="C224" s="617"/>
      <c r="D224" s="466">
        <v>0</v>
      </c>
      <c r="E224" s="617"/>
      <c r="F224" s="617"/>
      <c r="G224" s="617"/>
      <c r="H224" s="617"/>
      <c r="I224" s="617"/>
      <c r="J224" s="617"/>
      <c r="K224" s="1692">
        <f t="shared" si="19"/>
        <v>0</v>
      </c>
      <c r="L224" s="466">
        <v>600</v>
      </c>
    </row>
    <row r="225" spans="1:12" x14ac:dyDescent="0.2">
      <c r="A225" s="1525" t="s">
        <v>1044</v>
      </c>
      <c r="B225" s="615">
        <v>1650</v>
      </c>
      <c r="C225" s="617"/>
      <c r="D225" s="466">
        <v>0</v>
      </c>
      <c r="E225" s="617"/>
      <c r="F225" s="617"/>
      <c r="G225" s="617"/>
      <c r="H225" s="617"/>
      <c r="I225" s="617"/>
      <c r="J225" s="617"/>
      <c r="K225" s="1692">
        <f t="shared" si="19"/>
        <v>0</v>
      </c>
      <c r="L225" s="466">
        <v>0</v>
      </c>
    </row>
    <row r="226" spans="1:12" x14ac:dyDescent="0.2">
      <c r="A226" s="1525" t="s">
        <v>748</v>
      </c>
      <c r="B226" s="615" t="s">
        <v>164</v>
      </c>
      <c r="C226" s="617"/>
      <c r="D226" s="467">
        <v>4598</v>
      </c>
      <c r="E226" s="617"/>
      <c r="F226" s="617"/>
      <c r="G226" s="617"/>
      <c r="H226" s="617"/>
      <c r="I226" s="617"/>
      <c r="J226" s="617"/>
      <c r="K226" s="1692">
        <f t="shared" si="19"/>
        <v>4598</v>
      </c>
      <c r="L226" s="466">
        <v>4600</v>
      </c>
    </row>
    <row r="227" spans="1:12" x14ac:dyDescent="0.2">
      <c r="A227" s="1525" t="s">
        <v>1148</v>
      </c>
      <c r="B227" s="615">
        <v>1800</v>
      </c>
      <c r="C227" s="617"/>
      <c r="D227" s="466">
        <v>0</v>
      </c>
      <c r="E227" s="617"/>
      <c r="F227" s="617"/>
      <c r="G227" s="617"/>
      <c r="H227" s="617"/>
      <c r="I227" s="617"/>
      <c r="J227" s="617"/>
      <c r="K227" s="1692">
        <f t="shared" si="19"/>
        <v>0</v>
      </c>
      <c r="L227" s="466">
        <v>0</v>
      </c>
    </row>
    <row r="228" spans="1:12" x14ac:dyDescent="0.2">
      <c r="A228" s="1525" t="s">
        <v>1149</v>
      </c>
      <c r="B228" s="615">
        <v>1900</v>
      </c>
      <c r="C228" s="617"/>
      <c r="D228" s="466">
        <v>887</v>
      </c>
      <c r="E228" s="617"/>
      <c r="F228" s="617"/>
      <c r="G228" s="617"/>
      <c r="H228" s="617"/>
      <c r="I228" s="617"/>
      <c r="J228" s="617"/>
      <c r="K228" s="1692">
        <f t="shared" si="19"/>
        <v>887</v>
      </c>
      <c r="L228" s="466">
        <v>1000</v>
      </c>
    </row>
    <row r="229" spans="1:12" ht="12.75" customHeight="1" thickBot="1" x14ac:dyDescent="0.25">
      <c r="A229" s="1689" t="s">
        <v>739</v>
      </c>
      <c r="B229" s="1696" t="s">
        <v>591</v>
      </c>
      <c r="C229" s="617"/>
      <c r="D229" s="1691">
        <f>SUM(D215:D228)</f>
        <v>474538</v>
      </c>
      <c r="E229" s="617"/>
      <c r="F229" s="617"/>
      <c r="G229" s="617"/>
      <c r="H229" s="617"/>
      <c r="I229" s="617"/>
      <c r="J229" s="617"/>
      <c r="K229" s="1691">
        <f>SUM(K215:K228)</f>
        <v>474538</v>
      </c>
      <c r="L229" s="1691">
        <f>SUM(L215:L228)</f>
        <v>471200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39971</v>
      </c>
      <c r="E232" s="617"/>
      <c r="F232" s="617"/>
      <c r="G232" s="617"/>
      <c r="H232" s="617"/>
      <c r="I232" s="617"/>
      <c r="J232" s="617"/>
      <c r="K232" s="1692">
        <f t="shared" ref="K232:K237" si="20">D232</f>
        <v>39971</v>
      </c>
      <c r="L232" s="466">
        <v>39500</v>
      </c>
    </row>
    <row r="233" spans="1:12" x14ac:dyDescent="0.2">
      <c r="A233" s="1525" t="s">
        <v>1151</v>
      </c>
      <c r="B233" s="615">
        <v>2120</v>
      </c>
      <c r="C233" s="617"/>
      <c r="D233" s="466">
        <v>40260</v>
      </c>
      <c r="E233" s="617"/>
      <c r="F233" s="617"/>
      <c r="G233" s="617"/>
      <c r="H233" s="617"/>
      <c r="I233" s="617"/>
      <c r="J233" s="617"/>
      <c r="K233" s="1692">
        <f t="shared" si="20"/>
        <v>40260</v>
      </c>
      <c r="L233" s="466">
        <v>42800</v>
      </c>
    </row>
    <row r="234" spans="1:12" x14ac:dyDescent="0.2">
      <c r="A234" s="1525" t="s">
        <v>207</v>
      </c>
      <c r="B234" s="615">
        <v>2130</v>
      </c>
      <c r="C234" s="617"/>
      <c r="D234" s="466">
        <v>17575</v>
      </c>
      <c r="E234" s="617"/>
      <c r="F234" s="617"/>
      <c r="G234" s="617"/>
      <c r="H234" s="617"/>
      <c r="I234" s="617"/>
      <c r="J234" s="617"/>
      <c r="K234" s="1692">
        <f t="shared" si="20"/>
        <v>17575</v>
      </c>
      <c r="L234" s="466">
        <v>16300</v>
      </c>
    </row>
    <row r="235" spans="1:12" x14ac:dyDescent="0.2">
      <c r="A235" s="1525" t="s">
        <v>208</v>
      </c>
      <c r="B235" s="615">
        <v>2140</v>
      </c>
      <c r="C235" s="617"/>
      <c r="D235" s="466">
        <v>0</v>
      </c>
      <c r="E235" s="617"/>
      <c r="F235" s="617"/>
      <c r="G235" s="617"/>
      <c r="H235" s="617"/>
      <c r="I235" s="617"/>
      <c r="J235" s="617"/>
      <c r="K235" s="1692">
        <f t="shared" si="20"/>
        <v>0</v>
      </c>
      <c r="L235" s="466">
        <v>0</v>
      </c>
    </row>
    <row r="236" spans="1:12" x14ac:dyDescent="0.2">
      <c r="A236" s="1525" t="s">
        <v>209</v>
      </c>
      <c r="B236" s="615">
        <v>2150</v>
      </c>
      <c r="C236" s="617"/>
      <c r="D236" s="466">
        <v>4735</v>
      </c>
      <c r="E236" s="617"/>
      <c r="F236" s="617"/>
      <c r="G236" s="617"/>
      <c r="H236" s="617"/>
      <c r="I236" s="617"/>
      <c r="J236" s="617"/>
      <c r="K236" s="1692">
        <f t="shared" si="20"/>
        <v>4735</v>
      </c>
      <c r="L236" s="466">
        <v>5200</v>
      </c>
    </row>
    <row r="237" spans="1:12" x14ac:dyDescent="0.2">
      <c r="A237" s="1525" t="s">
        <v>167</v>
      </c>
      <c r="B237" s="615">
        <v>2190</v>
      </c>
      <c r="C237" s="617"/>
      <c r="D237" s="466">
        <v>0</v>
      </c>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102541</v>
      </c>
      <c r="E238" s="617"/>
      <c r="F238" s="617"/>
      <c r="G238" s="617"/>
      <c r="H238" s="617"/>
      <c r="I238" s="617"/>
      <c r="J238" s="617"/>
      <c r="K238" s="1691">
        <f>SUM(K232:K237)</f>
        <v>102541</v>
      </c>
      <c r="L238" s="1691">
        <f>SUM(L232:L237)</f>
        <v>103800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3583</v>
      </c>
      <c r="E240" s="617"/>
      <c r="F240" s="617"/>
      <c r="G240" s="617"/>
      <c r="H240" s="617"/>
      <c r="I240" s="617"/>
      <c r="J240" s="617"/>
      <c r="K240" s="1693">
        <f>D240</f>
        <v>3583</v>
      </c>
      <c r="L240" s="481">
        <v>1800</v>
      </c>
    </row>
    <row r="241" spans="1:12" x14ac:dyDescent="0.2">
      <c r="A241" s="1525" t="s">
        <v>869</v>
      </c>
      <c r="B241" s="615">
        <v>2220</v>
      </c>
      <c r="C241" s="617"/>
      <c r="D241" s="466">
        <v>20725</v>
      </c>
      <c r="E241" s="617"/>
      <c r="F241" s="617"/>
      <c r="G241" s="617"/>
      <c r="H241" s="617"/>
      <c r="I241" s="617"/>
      <c r="J241" s="617"/>
      <c r="K241" s="1693">
        <f>D241</f>
        <v>20725</v>
      </c>
      <c r="L241" s="466">
        <v>21800</v>
      </c>
    </row>
    <row r="242" spans="1:12" x14ac:dyDescent="0.2">
      <c r="A242" s="1525" t="s">
        <v>870</v>
      </c>
      <c r="B242" s="615">
        <v>2230</v>
      </c>
      <c r="C242" s="617"/>
      <c r="D242" s="466">
        <v>439</v>
      </c>
      <c r="E242" s="617"/>
      <c r="F242" s="617"/>
      <c r="G242" s="617"/>
      <c r="H242" s="617"/>
      <c r="I242" s="617"/>
      <c r="J242" s="617"/>
      <c r="K242" s="1693">
        <f>D242</f>
        <v>439</v>
      </c>
      <c r="L242" s="466">
        <v>3000</v>
      </c>
    </row>
    <row r="243" spans="1:12" ht="12.75" customHeight="1" thickBot="1" x14ac:dyDescent="0.25">
      <c r="A243" s="1715" t="s">
        <v>582</v>
      </c>
      <c r="B243" s="1716">
        <v>2200</v>
      </c>
      <c r="C243" s="617"/>
      <c r="D243" s="1691">
        <f>SUM(D240:D242)</f>
        <v>24747</v>
      </c>
      <c r="E243" s="617"/>
      <c r="F243" s="617"/>
      <c r="G243" s="617"/>
      <c r="H243" s="617"/>
      <c r="I243" s="617"/>
      <c r="J243" s="617"/>
      <c r="K243" s="1691">
        <f>SUM(K240:K242)</f>
        <v>24747</v>
      </c>
      <c r="L243" s="1691">
        <f>SUM(L240:L242)</f>
        <v>26600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0</v>
      </c>
      <c r="E245" s="617"/>
      <c r="F245" s="617"/>
      <c r="G245" s="617"/>
      <c r="H245" s="617"/>
      <c r="I245" s="617"/>
      <c r="J245" s="617"/>
      <c r="K245" s="1693">
        <f>D245</f>
        <v>0</v>
      </c>
      <c r="L245" s="481">
        <v>0</v>
      </c>
    </row>
    <row r="246" spans="1:12" x14ac:dyDescent="0.2">
      <c r="A246" s="1525" t="s">
        <v>872</v>
      </c>
      <c r="B246" s="615">
        <v>2320</v>
      </c>
      <c r="C246" s="617"/>
      <c r="D246" s="466">
        <v>17597</v>
      </c>
      <c r="E246" s="617"/>
      <c r="F246" s="617"/>
      <c r="G246" s="617"/>
      <c r="H246" s="617"/>
      <c r="I246" s="617"/>
      <c r="J246" s="617"/>
      <c r="K246" s="1693">
        <f t="shared" ref="K246:K256" si="21">D246</f>
        <v>17597</v>
      </c>
      <c r="L246" s="466">
        <v>17300</v>
      </c>
    </row>
    <row r="247" spans="1:12" x14ac:dyDescent="0.2">
      <c r="A247" s="1525" t="s">
        <v>873</v>
      </c>
      <c r="B247" s="615">
        <v>2330</v>
      </c>
      <c r="C247" s="617"/>
      <c r="D247" s="466">
        <v>0</v>
      </c>
      <c r="E247" s="617"/>
      <c r="F247" s="617"/>
      <c r="G247" s="617"/>
      <c r="H247" s="617"/>
      <c r="I247" s="617"/>
      <c r="J247" s="617"/>
      <c r="K247" s="1693">
        <f t="shared" si="21"/>
        <v>0</v>
      </c>
      <c r="L247" s="466">
        <v>0</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1908</v>
      </c>
      <c r="B249" s="684" t="s">
        <v>300</v>
      </c>
      <c r="C249" s="617"/>
      <c r="D249" s="474">
        <v>0</v>
      </c>
      <c r="E249" s="617"/>
      <c r="F249" s="617"/>
      <c r="G249" s="617"/>
      <c r="H249" s="617"/>
      <c r="I249" s="617"/>
      <c r="J249" s="617"/>
      <c r="K249" s="1693">
        <f t="shared" si="21"/>
        <v>0</v>
      </c>
      <c r="L249" s="466">
        <v>0</v>
      </c>
    </row>
    <row r="250" spans="1:12" x14ac:dyDescent="0.2">
      <c r="A250" s="1526" t="s">
        <v>1909</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4" t="s">
        <v>305</v>
      </c>
      <c r="C254" s="617"/>
      <c r="D254" s="474">
        <v>0</v>
      </c>
      <c r="E254" s="617"/>
      <c r="F254" s="617"/>
      <c r="G254" s="617"/>
      <c r="H254" s="617"/>
      <c r="I254" s="617"/>
      <c r="J254" s="617"/>
      <c r="K254" s="1693">
        <f t="shared" si="21"/>
        <v>0</v>
      </c>
      <c r="L254" s="466">
        <v>0</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17597</v>
      </c>
      <c r="E257" s="617"/>
      <c r="F257" s="617"/>
      <c r="G257" s="617"/>
      <c r="H257" s="617"/>
      <c r="I257" s="617"/>
      <c r="J257" s="617"/>
      <c r="K257" s="1691">
        <f>SUM(K245:K256)</f>
        <v>17597</v>
      </c>
      <c r="L257" s="1691">
        <f>SUM(L245:L256)</f>
        <v>17300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54434</v>
      </c>
      <c r="E259" s="617"/>
      <c r="F259" s="617"/>
      <c r="G259" s="617"/>
      <c r="H259" s="617"/>
      <c r="I259" s="617"/>
      <c r="J259" s="617"/>
      <c r="K259" s="1693">
        <f>D259</f>
        <v>54434</v>
      </c>
      <c r="L259" s="481">
        <v>52300</v>
      </c>
    </row>
    <row r="260" spans="1:14" s="598" customFormat="1" x14ac:dyDescent="0.2">
      <c r="A260" s="1543" t="s">
        <v>1907</v>
      </c>
      <c r="B260" s="629">
        <v>2490</v>
      </c>
      <c r="C260" s="617"/>
      <c r="D260" s="466">
        <v>0</v>
      </c>
      <c r="E260" s="617"/>
      <c r="F260" s="617"/>
      <c r="G260" s="617"/>
      <c r="H260" s="617"/>
      <c r="I260" s="617"/>
      <c r="J260" s="617"/>
      <c r="K260" s="1693">
        <f>D260</f>
        <v>0</v>
      </c>
      <c r="L260" s="466">
        <v>100</v>
      </c>
      <c r="M260" s="210"/>
      <c r="N260" s="210"/>
    </row>
    <row r="261" spans="1:14" ht="12.75" customHeight="1" thickBot="1" x14ac:dyDescent="0.25">
      <c r="A261" s="1713" t="s">
        <v>281</v>
      </c>
      <c r="B261" s="1718" t="s">
        <v>34</v>
      </c>
      <c r="C261" s="617"/>
      <c r="D261" s="1691">
        <f>SUM(D259:D260)</f>
        <v>54434</v>
      </c>
      <c r="E261" s="617"/>
      <c r="F261" s="617"/>
      <c r="G261" s="617"/>
      <c r="H261" s="617"/>
      <c r="I261" s="617"/>
      <c r="J261" s="617"/>
      <c r="K261" s="1691">
        <f>SUM(K259:K260)</f>
        <v>54434</v>
      </c>
      <c r="L261" s="1691">
        <f>SUM(L259:L260)</f>
        <v>52400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2922</v>
      </c>
      <c r="E263" s="617"/>
      <c r="F263" s="617"/>
      <c r="G263" s="617"/>
      <c r="H263" s="617"/>
      <c r="I263" s="617"/>
      <c r="J263" s="617"/>
      <c r="K263" s="1693">
        <f>D263</f>
        <v>2922</v>
      </c>
      <c r="L263" s="481">
        <v>3000</v>
      </c>
    </row>
    <row r="264" spans="1:14" x14ac:dyDescent="0.2">
      <c r="A264" s="1525" t="s">
        <v>483</v>
      </c>
      <c r="B264" s="686">
        <v>2520</v>
      </c>
      <c r="C264" s="617"/>
      <c r="D264" s="466">
        <v>28535</v>
      </c>
      <c r="E264" s="617"/>
      <c r="F264" s="617"/>
      <c r="G264" s="617"/>
      <c r="H264" s="617"/>
      <c r="I264" s="617"/>
      <c r="J264" s="617"/>
      <c r="K264" s="1693">
        <f t="shared" ref="K264:K269" si="22">D264</f>
        <v>28535</v>
      </c>
      <c r="L264" s="466">
        <v>32100</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17465</v>
      </c>
      <c r="E266" s="617"/>
      <c r="F266" s="617"/>
      <c r="G266" s="617"/>
      <c r="H266" s="617"/>
      <c r="I266" s="617"/>
      <c r="J266" s="617"/>
      <c r="K266" s="1693">
        <f t="shared" si="22"/>
        <v>17465</v>
      </c>
      <c r="L266" s="466">
        <v>18000</v>
      </c>
    </row>
    <row r="267" spans="1:14" x14ac:dyDescent="0.2">
      <c r="A267" s="1525" t="s">
        <v>1010</v>
      </c>
      <c r="B267" s="615">
        <v>2550</v>
      </c>
      <c r="C267" s="617"/>
      <c r="D267" s="466">
        <v>555</v>
      </c>
      <c r="E267" s="617"/>
      <c r="F267" s="617"/>
      <c r="G267" s="617"/>
      <c r="H267" s="617"/>
      <c r="I267" s="617"/>
      <c r="J267" s="617"/>
      <c r="K267" s="1693">
        <f t="shared" si="22"/>
        <v>555</v>
      </c>
      <c r="L267" s="466">
        <v>700</v>
      </c>
    </row>
    <row r="268" spans="1:14" x14ac:dyDescent="0.2">
      <c r="A268" s="1525" t="s">
        <v>102</v>
      </c>
      <c r="B268" s="615">
        <v>2560</v>
      </c>
      <c r="C268" s="617"/>
      <c r="D268" s="466">
        <v>0</v>
      </c>
      <c r="E268" s="617"/>
      <c r="F268" s="617"/>
      <c r="G268" s="617"/>
      <c r="H268" s="617"/>
      <c r="I268" s="617"/>
      <c r="J268" s="617"/>
      <c r="K268" s="1693">
        <f t="shared" si="22"/>
        <v>0</v>
      </c>
      <c r="L268" s="466">
        <v>0</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49477</v>
      </c>
      <c r="E270" s="617"/>
      <c r="F270" s="617"/>
      <c r="G270" s="617"/>
      <c r="H270" s="617"/>
      <c r="I270" s="617"/>
      <c r="J270" s="617"/>
      <c r="K270" s="1691">
        <f>SUM(K263:K269)</f>
        <v>49477</v>
      </c>
      <c r="L270" s="1691">
        <f>SUM(L263:L269)</f>
        <v>53800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0</v>
      </c>
      <c r="E274" s="617"/>
      <c r="F274" s="617"/>
      <c r="G274" s="617"/>
      <c r="H274" s="617"/>
      <c r="I274" s="617"/>
      <c r="J274" s="617"/>
      <c r="K274" s="1693">
        <f>D274</f>
        <v>0</v>
      </c>
      <c r="L274" s="466">
        <v>0</v>
      </c>
    </row>
    <row r="275" spans="1:12" x14ac:dyDescent="0.2">
      <c r="A275" s="1525" t="s">
        <v>423</v>
      </c>
      <c r="B275" s="615">
        <v>2640</v>
      </c>
      <c r="C275" s="617"/>
      <c r="D275" s="466">
        <v>41</v>
      </c>
      <c r="E275" s="617"/>
      <c r="F275" s="617"/>
      <c r="G275" s="617"/>
      <c r="H275" s="617"/>
      <c r="I275" s="617"/>
      <c r="J275" s="617"/>
      <c r="K275" s="1693">
        <f>D275</f>
        <v>41</v>
      </c>
      <c r="L275" s="466">
        <v>200</v>
      </c>
    </row>
    <row r="276" spans="1:12" x14ac:dyDescent="0.2">
      <c r="A276" s="1525" t="s">
        <v>424</v>
      </c>
      <c r="B276" s="615">
        <v>2660</v>
      </c>
      <c r="C276" s="617"/>
      <c r="D276" s="466">
        <v>93154</v>
      </c>
      <c r="E276" s="617"/>
      <c r="F276" s="617"/>
      <c r="G276" s="617"/>
      <c r="H276" s="617"/>
      <c r="I276" s="617"/>
      <c r="J276" s="617"/>
      <c r="K276" s="1693">
        <f>D276</f>
        <v>93154</v>
      </c>
      <c r="L276" s="466">
        <v>85200</v>
      </c>
    </row>
    <row r="277" spans="1:12" ht="12.75" customHeight="1" thickBot="1" x14ac:dyDescent="0.25">
      <c r="A277" s="1712" t="s">
        <v>37</v>
      </c>
      <c r="B277" s="1690" t="s">
        <v>36</v>
      </c>
      <c r="C277" s="617"/>
      <c r="D277" s="1691">
        <f>SUM(D272:D276)</f>
        <v>93195</v>
      </c>
      <c r="E277" s="617"/>
      <c r="F277" s="617"/>
      <c r="G277" s="617"/>
      <c r="H277" s="617"/>
      <c r="I277" s="617"/>
      <c r="J277" s="617"/>
      <c r="K277" s="1691">
        <f>SUM(K272:K276)</f>
        <v>93195</v>
      </c>
      <c r="L277" s="1691">
        <f>SUM(L272:L276)</f>
        <v>85400</v>
      </c>
    </row>
    <row r="278" spans="1:12" ht="13.5" customHeight="1" thickTop="1" x14ac:dyDescent="0.2">
      <c r="A278" s="1531" t="s">
        <v>1037</v>
      </c>
      <c r="B278" s="656" t="s">
        <v>595</v>
      </c>
      <c r="C278" s="617"/>
      <c r="D278" s="657">
        <v>0</v>
      </c>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341991</v>
      </c>
      <c r="E279" s="617"/>
      <c r="F279" s="617"/>
      <c r="G279" s="617"/>
      <c r="H279" s="617"/>
      <c r="I279" s="617"/>
      <c r="J279" s="617"/>
      <c r="K279" s="1698">
        <f>SUM(K238,K243,K257,K261,K270,K277,K278)</f>
        <v>341991</v>
      </c>
      <c r="L279" s="1698">
        <f>SUM(L238,L243,L257,L261,L270,L277,L278)</f>
        <v>339300</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v>0</v>
      </c>
      <c r="E282" s="617"/>
      <c r="F282" s="617"/>
      <c r="G282" s="617"/>
      <c r="H282" s="617"/>
      <c r="I282" s="617"/>
      <c r="J282" s="617"/>
      <c r="K282" s="1692">
        <f>D282</f>
        <v>0</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1">
        <f>SUM(D229,D279,D280,D285)</f>
        <v>816529</v>
      </c>
      <c r="E295" s="617"/>
      <c r="F295" s="617"/>
      <c r="G295" s="617"/>
      <c r="H295" s="1691">
        <f>H293</f>
        <v>0</v>
      </c>
      <c r="I295" s="617"/>
      <c r="J295" s="617"/>
      <c r="K295" s="1691">
        <f>SUM(K229,K279,K280,K285,K293,K294)</f>
        <v>816529</v>
      </c>
      <c r="L295" s="1691">
        <f>SUM(L229,L279,L280,L285,L293,L294)</f>
        <v>810500</v>
      </c>
    </row>
    <row r="296" spans="1:14" ht="13.5" thickTop="1" x14ac:dyDescent="0.2">
      <c r="A296" s="2174" t="s">
        <v>1053</v>
      </c>
      <c r="B296" s="2175"/>
      <c r="C296" s="617"/>
      <c r="D296" s="619"/>
      <c r="E296" s="617"/>
      <c r="F296" s="617"/>
      <c r="G296" s="617"/>
      <c r="H296" s="688"/>
      <c r="I296" s="617"/>
      <c r="J296" s="617"/>
      <c r="K296" s="1705">
        <f>'Revenues 9-14'!G275-'Expenditures 15-22'!K295</f>
        <v>23986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v>0</v>
      </c>
      <c r="D301" s="466">
        <v>0</v>
      </c>
      <c r="E301" s="466">
        <v>0</v>
      </c>
      <c r="F301" s="466">
        <v>0</v>
      </c>
      <c r="G301" s="466">
        <v>0</v>
      </c>
      <c r="H301" s="466">
        <v>0</v>
      </c>
      <c r="I301" s="467">
        <v>0</v>
      </c>
      <c r="J301" s="467">
        <v>0</v>
      </c>
      <c r="K301" s="1692">
        <f>SUM(C301:J301)</f>
        <v>0</v>
      </c>
      <c r="L301" s="467">
        <v>0</v>
      </c>
    </row>
    <row r="302" spans="1:14" ht="13.5" customHeight="1" x14ac:dyDescent="0.2">
      <c r="A302" s="1538" t="s">
        <v>1037</v>
      </c>
      <c r="B302" s="615" t="s">
        <v>595</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v>0</v>
      </c>
      <c r="F306" s="617"/>
      <c r="G306" s="617"/>
      <c r="H306" s="467">
        <v>0</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5" t="s">
        <v>1053</v>
      </c>
      <c r="B313" s="2186"/>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1908</v>
      </c>
      <c r="B320" s="699" t="s">
        <v>300</v>
      </c>
      <c r="C320" s="467">
        <v>0</v>
      </c>
      <c r="D320" s="467">
        <v>0</v>
      </c>
      <c r="E320" s="467">
        <v>72570</v>
      </c>
      <c r="F320" s="467">
        <v>0</v>
      </c>
      <c r="G320" s="467">
        <v>0</v>
      </c>
      <c r="H320" s="467">
        <v>0</v>
      </c>
      <c r="I320" s="467">
        <v>0</v>
      </c>
      <c r="J320" s="467">
        <v>0</v>
      </c>
      <c r="K320" s="1692">
        <f t="shared" ref="K320:K327" si="24">SUM(C320:J320)</f>
        <v>72570</v>
      </c>
      <c r="L320" s="467">
        <v>99500</v>
      </c>
      <c r="M320" s="666"/>
      <c r="N320" s="666"/>
    </row>
    <row r="321" spans="1:14" s="675" customFormat="1" x14ac:dyDescent="0.2">
      <c r="A321" s="1540" t="s">
        <v>318</v>
      </c>
      <c r="B321" s="698" t="s">
        <v>301</v>
      </c>
      <c r="C321" s="467">
        <v>0</v>
      </c>
      <c r="D321" s="467">
        <v>0</v>
      </c>
      <c r="E321" s="467">
        <v>0</v>
      </c>
      <c r="F321" s="467">
        <v>0</v>
      </c>
      <c r="G321" s="467">
        <v>0</v>
      </c>
      <c r="H321" s="467">
        <v>0</v>
      </c>
      <c r="I321" s="467">
        <v>0</v>
      </c>
      <c r="J321" s="467">
        <v>0</v>
      </c>
      <c r="K321" s="1692">
        <f t="shared" si="24"/>
        <v>0</v>
      </c>
      <c r="L321" s="467">
        <v>0</v>
      </c>
      <c r="M321" s="666"/>
      <c r="N321" s="666"/>
    </row>
    <row r="322" spans="1:14" s="675" customFormat="1" x14ac:dyDescent="0.2">
      <c r="A322" s="1540" t="s">
        <v>256</v>
      </c>
      <c r="B322" s="698" t="s">
        <v>302</v>
      </c>
      <c r="C322" s="467">
        <v>0</v>
      </c>
      <c r="D322" s="467">
        <v>0</v>
      </c>
      <c r="E322" s="467">
        <v>0</v>
      </c>
      <c r="F322" s="467">
        <v>0</v>
      </c>
      <c r="G322" s="467">
        <v>0</v>
      </c>
      <c r="H322" s="467">
        <v>0</v>
      </c>
      <c r="I322" s="467">
        <v>0</v>
      </c>
      <c r="J322" s="467">
        <v>0</v>
      </c>
      <c r="K322" s="1692">
        <f t="shared" si="24"/>
        <v>0</v>
      </c>
      <c r="L322" s="467">
        <v>0</v>
      </c>
      <c r="M322" s="666"/>
      <c r="N322" s="666"/>
    </row>
    <row r="323" spans="1:14" s="675" customFormat="1" x14ac:dyDescent="0.2">
      <c r="A323" s="1540" t="s">
        <v>726</v>
      </c>
      <c r="B323" s="698" t="s">
        <v>303</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304</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1087</v>
      </c>
      <c r="B325" s="699" t="s">
        <v>305</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1088</v>
      </c>
      <c r="B326" s="698" t="s">
        <v>306</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1028</v>
      </c>
      <c r="B327" s="698" t="s">
        <v>307</v>
      </c>
      <c r="C327" s="467">
        <v>0</v>
      </c>
      <c r="D327" s="467">
        <v>0</v>
      </c>
      <c r="E327" s="467">
        <v>0</v>
      </c>
      <c r="F327" s="467">
        <v>0</v>
      </c>
      <c r="G327" s="467">
        <v>0</v>
      </c>
      <c r="H327" s="467">
        <v>0</v>
      </c>
      <c r="I327" s="467">
        <v>0</v>
      </c>
      <c r="J327" s="467">
        <v>0</v>
      </c>
      <c r="K327" s="1692">
        <f t="shared" si="24"/>
        <v>0</v>
      </c>
      <c r="L327" s="467">
        <v>0</v>
      </c>
      <c r="M327" s="666"/>
      <c r="N327" s="666"/>
    </row>
    <row r="328" spans="1:14" s="675" customFormat="1" x14ac:dyDescent="0.2">
      <c r="A328" s="1541" t="s">
        <v>492</v>
      </c>
      <c r="B328" s="691" t="s">
        <v>1194</v>
      </c>
      <c r="C328" s="474">
        <v>0</v>
      </c>
      <c r="D328" s="474">
        <v>0</v>
      </c>
      <c r="E328" s="474">
        <v>189814</v>
      </c>
      <c r="F328" s="474">
        <v>0</v>
      </c>
      <c r="G328" s="474">
        <v>0</v>
      </c>
      <c r="H328" s="474">
        <v>0</v>
      </c>
      <c r="I328" s="474">
        <v>0</v>
      </c>
      <c r="J328" s="474">
        <v>0</v>
      </c>
      <c r="K328" s="1720">
        <f>SUM(C328:J328)</f>
        <v>189814</v>
      </c>
      <c r="L328" s="474">
        <v>222000</v>
      </c>
      <c r="M328" s="666"/>
      <c r="N328" s="666"/>
    </row>
    <row r="329" spans="1:14" s="675" customFormat="1" x14ac:dyDescent="0.2">
      <c r="A329" s="1541" t="s">
        <v>1195</v>
      </c>
      <c r="B329" s="691" t="s">
        <v>1196</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262384</v>
      </c>
      <c r="F330" s="1691">
        <f t="shared" si="25"/>
        <v>0</v>
      </c>
      <c r="G330" s="1691">
        <f t="shared" si="25"/>
        <v>0</v>
      </c>
      <c r="H330" s="1691">
        <f t="shared" si="25"/>
        <v>0</v>
      </c>
      <c r="I330" s="1691">
        <f t="shared" si="25"/>
        <v>0</v>
      </c>
      <c r="J330" s="1691">
        <f t="shared" si="25"/>
        <v>0</v>
      </c>
      <c r="K330" s="1691">
        <f>SUM(K319:K329)</f>
        <v>262384</v>
      </c>
      <c r="L330" s="1691">
        <f>SUM(L319:L329)</f>
        <v>321500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322</v>
      </c>
      <c r="B333" s="1849" t="s">
        <v>1959</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v>0</v>
      </c>
      <c r="I337" s="639"/>
      <c r="J337" s="639"/>
      <c r="K337" s="1692">
        <f>H337</f>
        <v>0</v>
      </c>
      <c r="L337" s="478">
        <v>0</v>
      </c>
    </row>
    <row r="338" spans="1:14" ht="12.75" customHeight="1" x14ac:dyDescent="0.2">
      <c r="A338" s="1539" t="s">
        <v>1232</v>
      </c>
      <c r="B338" s="691" t="s">
        <v>638</v>
      </c>
      <c r="C338" s="639"/>
      <c r="D338" s="639"/>
      <c r="E338" s="639"/>
      <c r="F338" s="639"/>
      <c r="G338" s="639"/>
      <c r="H338" s="478">
        <v>0</v>
      </c>
      <c r="I338" s="639"/>
      <c r="J338" s="639"/>
      <c r="K338" s="1692">
        <f>H338</f>
        <v>0</v>
      </c>
      <c r="L338" s="478">
        <v>0</v>
      </c>
    </row>
    <row r="339" spans="1:14" x14ac:dyDescent="0.2">
      <c r="A339" s="1525" t="s">
        <v>957</v>
      </c>
      <c r="B339" s="629">
        <v>5150</v>
      </c>
      <c r="C339" s="639"/>
      <c r="D339" s="639"/>
      <c r="E339" s="639"/>
      <c r="F339" s="639"/>
      <c r="G339" s="639"/>
      <c r="H339" s="467">
        <v>0</v>
      </c>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262384</v>
      </c>
      <c r="F342" s="1691">
        <f>SUM(F330)</f>
        <v>0</v>
      </c>
      <c r="G342" s="1691">
        <f>SUM(G330)</f>
        <v>0</v>
      </c>
      <c r="H342" s="1691">
        <f>SUM(H330,H334,H340)</f>
        <v>0</v>
      </c>
      <c r="I342" s="1691">
        <f>SUM(I330)</f>
        <v>0</v>
      </c>
      <c r="J342" s="1691">
        <f>SUM(J330)</f>
        <v>0</v>
      </c>
      <c r="K342" s="1691">
        <f>SUM(K330,K334,K340)</f>
        <v>262384</v>
      </c>
      <c r="L342" s="1698">
        <f>SUM(L330,L340,L341)</f>
        <v>321500</v>
      </c>
    </row>
    <row r="343" spans="1:14" ht="12.75" customHeight="1" thickTop="1" x14ac:dyDescent="0.2">
      <c r="A343" s="2187" t="s">
        <v>1053</v>
      </c>
      <c r="B343" s="2188"/>
      <c r="C343" s="617"/>
      <c r="D343" s="617"/>
      <c r="E343" s="617"/>
      <c r="F343" s="617"/>
      <c r="G343" s="617"/>
      <c r="H343" s="617"/>
      <c r="I343" s="617"/>
      <c r="J343" s="617"/>
      <c r="K343" s="1705">
        <f>'Revenues 9-14'!J275-'Expenditures 15-22'!K342</f>
        <v>45066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2">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v>0</v>
      </c>
      <c r="I354" s="702"/>
      <c r="J354" s="617"/>
      <c r="K354" s="1720">
        <f>H354</f>
        <v>0</v>
      </c>
      <c r="L354" s="471">
        <v>0</v>
      </c>
    </row>
    <row r="355" spans="1:14" ht="12.75" customHeight="1" x14ac:dyDescent="0.2">
      <c r="A355" s="1534" t="s">
        <v>1966</v>
      </c>
      <c r="B355" s="691" t="s">
        <v>1959</v>
      </c>
      <c r="C355" s="617"/>
      <c r="D355" s="617"/>
      <c r="E355" s="617"/>
      <c r="F355" s="617"/>
      <c r="G355" s="617"/>
      <c r="H355" s="467">
        <v>0</v>
      </c>
      <c r="I355" s="702"/>
      <c r="J355" s="617"/>
      <c r="K355" s="1764">
        <f>H355</f>
        <v>0</v>
      </c>
      <c r="L355" s="467">
        <v>0</v>
      </c>
    </row>
    <row r="356" spans="1:14" ht="12.75" customHeight="1" x14ac:dyDescent="0.2">
      <c r="A356" s="1856" t="s">
        <v>722</v>
      </c>
      <c r="B356" s="684" t="s">
        <v>579</v>
      </c>
      <c r="C356" s="617"/>
      <c r="D356" s="617"/>
      <c r="E356" s="617"/>
      <c r="F356" s="617"/>
      <c r="G356" s="617"/>
      <c r="H356" s="479">
        <v>0</v>
      </c>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4" t="s">
        <v>1053</v>
      </c>
      <c r="B368" s="2175"/>
      <c r="C368" s="655"/>
      <c r="D368" s="655"/>
      <c r="E368" s="627"/>
      <c r="F368" s="627"/>
      <c r="G368" s="627"/>
      <c r="H368" s="627"/>
      <c r="I368" s="627"/>
      <c r="J368" s="624"/>
      <c r="K368" s="1692">
        <f>'Revenues 9-14'!K275-'Expenditures 15-22'!K367</f>
        <v>64443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V31" sqref="V3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1" t="s">
        <v>1905</v>
      </c>
      <c r="B2" s="1549" t="s">
        <v>2037</v>
      </c>
      <c r="C2" s="715" t="s">
        <v>1910</v>
      </c>
      <c r="D2" s="715" t="s">
        <v>1911</v>
      </c>
      <c r="E2" s="715" t="s">
        <v>1912</v>
      </c>
      <c r="F2" s="715" t="s">
        <v>1913</v>
      </c>
    </row>
    <row r="3" spans="1:6" ht="12" customHeight="1" x14ac:dyDescent="0.2">
      <c r="A3" s="2202"/>
      <c r="B3" s="1546"/>
      <c r="C3" s="1547"/>
      <c r="D3" s="1548" t="s">
        <v>274</v>
      </c>
      <c r="E3" s="1547"/>
      <c r="F3" s="1548" t="s">
        <v>275</v>
      </c>
    </row>
    <row r="4" spans="1:6" ht="13.7" customHeight="1" x14ac:dyDescent="0.2">
      <c r="A4" s="716" t="s">
        <v>1217</v>
      </c>
      <c r="B4" s="1770">
        <f>'Revenues 9-14'!C5</f>
        <v>27147379</v>
      </c>
      <c r="C4" s="1545">
        <v>14332979</v>
      </c>
      <c r="D4" s="1773">
        <f>B4-C4</f>
        <v>12814400</v>
      </c>
      <c r="E4" s="1545">
        <v>26769231</v>
      </c>
      <c r="F4" s="1773">
        <f>E4-C4</f>
        <v>12436252</v>
      </c>
    </row>
    <row r="5" spans="1:6" ht="13.7" customHeight="1" x14ac:dyDescent="0.2">
      <c r="A5" s="716" t="s">
        <v>925</v>
      </c>
      <c r="B5" s="1771">
        <f>'Revenues 9-14'!D5</f>
        <v>5985841</v>
      </c>
      <c r="C5" s="585">
        <v>3182366</v>
      </c>
      <c r="D5" s="1774">
        <f t="shared" ref="D5:D18" si="0">B5-C5</f>
        <v>2803475</v>
      </c>
      <c r="E5" s="585">
        <v>5943600</v>
      </c>
      <c r="F5" s="1774">
        <f>E5-C5</f>
        <v>2761234</v>
      </c>
    </row>
    <row r="6" spans="1:6" ht="13.7" customHeight="1" x14ac:dyDescent="0.2">
      <c r="A6" s="716" t="s">
        <v>431</v>
      </c>
      <c r="B6" s="1771">
        <f>'Revenues 9-14'!E5</f>
        <v>6946986</v>
      </c>
      <c r="C6" s="585">
        <v>3701656</v>
      </c>
      <c r="D6" s="1774">
        <f t="shared" si="0"/>
        <v>3245330</v>
      </c>
      <c r="E6" s="585">
        <v>6913461</v>
      </c>
      <c r="F6" s="1774">
        <f t="shared" ref="F6:F18" si="1">E6-C6</f>
        <v>3211805</v>
      </c>
    </row>
    <row r="7" spans="1:6" ht="13.7" customHeight="1" x14ac:dyDescent="0.2">
      <c r="A7" s="716" t="s">
        <v>157</v>
      </c>
      <c r="B7" s="1771">
        <f>'Revenues 9-14'!F5</f>
        <v>1622652</v>
      </c>
      <c r="C7" s="585">
        <v>896673</v>
      </c>
      <c r="D7" s="1774">
        <f t="shared" si="0"/>
        <v>725979</v>
      </c>
      <c r="E7" s="585">
        <v>1674686</v>
      </c>
      <c r="F7" s="1774">
        <f t="shared" si="1"/>
        <v>778013</v>
      </c>
    </row>
    <row r="8" spans="1:6" ht="13.7" customHeight="1" x14ac:dyDescent="0.2">
      <c r="A8" s="716" t="s">
        <v>1241</v>
      </c>
      <c r="B8" s="1771">
        <f>'Revenues 9-14'!G5</f>
        <v>88723</v>
      </c>
      <c r="C8" s="585">
        <v>31654</v>
      </c>
      <c r="D8" s="1774">
        <f t="shared" si="0"/>
        <v>57069</v>
      </c>
      <c r="E8" s="585">
        <v>59119</v>
      </c>
      <c r="F8" s="1774">
        <f t="shared" si="1"/>
        <v>27465</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60417</v>
      </c>
      <c r="C10" s="585">
        <v>31654</v>
      </c>
      <c r="D10" s="1774">
        <f t="shared" si="0"/>
        <v>28763</v>
      </c>
      <c r="E10" s="585">
        <v>59119</v>
      </c>
      <c r="F10" s="1774">
        <f t="shared" si="1"/>
        <v>27465</v>
      </c>
    </row>
    <row r="11" spans="1:6" x14ac:dyDescent="0.2">
      <c r="A11" s="716" t="s">
        <v>429</v>
      </c>
      <c r="B11" s="1771">
        <f>'Revenues 9-14'!J5</f>
        <v>263908</v>
      </c>
      <c r="C11" s="585">
        <v>129071</v>
      </c>
      <c r="D11" s="1774">
        <f t="shared" si="0"/>
        <v>134837</v>
      </c>
      <c r="E11" s="585">
        <v>241061</v>
      </c>
      <c r="F11" s="1774">
        <f t="shared" si="1"/>
        <v>111990</v>
      </c>
    </row>
    <row r="12" spans="1:6" ht="13.7" customHeight="1" x14ac:dyDescent="0.2">
      <c r="A12" s="716" t="s">
        <v>159</v>
      </c>
      <c r="B12" s="1771">
        <f>'Revenues 9-14'!K5</f>
        <v>64189</v>
      </c>
      <c r="C12" s="585">
        <v>29984</v>
      </c>
      <c r="D12" s="1774">
        <f t="shared" si="0"/>
        <v>34205</v>
      </c>
      <c r="E12" s="585">
        <v>56001</v>
      </c>
      <c r="F12" s="1774">
        <f t="shared" si="1"/>
        <v>26017</v>
      </c>
    </row>
    <row r="13" spans="1:6" ht="13.7" customHeight="1" x14ac:dyDescent="0.2">
      <c r="A13" s="716" t="s">
        <v>993</v>
      </c>
      <c r="B13" s="1771">
        <f>SUM('Revenues 9-14'!C6:D6)</f>
        <v>101550</v>
      </c>
      <c r="C13" s="585">
        <v>55390</v>
      </c>
      <c r="D13" s="1774">
        <f t="shared" si="0"/>
        <v>46160</v>
      </c>
      <c r="E13" s="585">
        <v>103449</v>
      </c>
      <c r="F13" s="1774">
        <f t="shared" si="1"/>
        <v>48059</v>
      </c>
    </row>
    <row r="14" spans="1:6" ht="13.7" customHeight="1" x14ac:dyDescent="0.2">
      <c r="A14" s="716" t="s">
        <v>430</v>
      </c>
      <c r="B14" s="1771">
        <f>SUM('Revenues 9-14'!C7:D7,'Revenues 9-14'!F7:H7)</f>
        <v>495737</v>
      </c>
      <c r="C14" s="585">
        <f>222060+37485</f>
        <v>259545</v>
      </c>
      <c r="D14" s="1774">
        <f t="shared" si="0"/>
        <v>236192</v>
      </c>
      <c r="E14" s="585">
        <f>414735+70009</f>
        <v>484744</v>
      </c>
      <c r="F14" s="1774">
        <f t="shared" si="1"/>
        <v>225199</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377411</v>
      </c>
      <c r="C16" s="585">
        <v>284829</v>
      </c>
      <c r="D16" s="1774">
        <f t="shared" si="0"/>
        <v>92582</v>
      </c>
      <c r="E16" s="585">
        <v>531966</v>
      </c>
      <c r="F16" s="1774">
        <f t="shared" si="1"/>
        <v>247137</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43154793</v>
      </c>
      <c r="C19" s="1772">
        <f>SUM(C4:C18)</f>
        <v>22935801</v>
      </c>
      <c r="D19" s="1772">
        <f>SUM(D4:D18)</f>
        <v>20218992</v>
      </c>
      <c r="E19" s="1772">
        <f>SUM(E4:E18)</f>
        <v>42836437</v>
      </c>
      <c r="F19" s="1772">
        <f>SUM(F4:F18)</f>
        <v>19900636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0"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7" t="s">
        <v>2038</v>
      </c>
      <c r="D2" s="724" t="s">
        <v>2045</v>
      </c>
      <c r="E2" s="724" t="s">
        <v>2046</v>
      </c>
      <c r="F2" s="1907"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6">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4" t="s">
        <v>652</v>
      </c>
      <c r="B15" s="2215"/>
      <c r="C15" s="1776">
        <f>SUM(C6:C14)</f>
        <v>0</v>
      </c>
      <c r="D15" s="1776">
        <f>SUM(D6:D14)</f>
        <v>0</v>
      </c>
      <c r="E15" s="1776">
        <f>SUM(E6:E14)</f>
        <v>0</v>
      </c>
      <c r="F15" s="1776">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6">
        <f>SUM(C17+D17)-E17</f>
        <v>0</v>
      </c>
    </row>
    <row r="18" spans="1:11" ht="12.75" customHeight="1" thickTop="1" thickBot="1" x14ac:dyDescent="0.25">
      <c r="A18" s="2209" t="s">
        <v>6</v>
      </c>
      <c r="B18" s="2210"/>
      <c r="C18" s="727"/>
      <c r="D18" s="585"/>
      <c r="E18" s="727"/>
      <c r="F18" s="1776">
        <f>SUM(C18+D18)-E18</f>
        <v>0</v>
      </c>
    </row>
    <row r="19" spans="1:11" ht="12.75" customHeight="1" thickTop="1" thickBot="1" x14ac:dyDescent="0.25">
      <c r="A19" s="2209" t="s">
        <v>406</v>
      </c>
      <c r="B19" s="2210"/>
      <c r="C19" s="727"/>
      <c r="D19" s="585"/>
      <c r="E19" s="727"/>
      <c r="F19" s="1776">
        <f>SUM(C19+D19)-E19</f>
        <v>0</v>
      </c>
    </row>
    <row r="20" spans="1:11" ht="12.75" customHeight="1" thickTop="1" thickBot="1" x14ac:dyDescent="0.25">
      <c r="A20" s="2209" t="s">
        <v>468</v>
      </c>
      <c r="B20" s="2210"/>
      <c r="C20" s="727"/>
      <c r="D20" s="585"/>
      <c r="E20" s="727"/>
      <c r="F20" s="1776">
        <f>SUM(C20+D20)-E20</f>
        <v>0</v>
      </c>
    </row>
    <row r="21" spans="1:11" ht="14.25" thickTop="1" thickBot="1" x14ac:dyDescent="0.25">
      <c r="A21" s="2214" t="s">
        <v>653</v>
      </c>
      <c r="B21" s="2215"/>
      <c r="C21" s="1776">
        <f>SUM(C17:C20)</f>
        <v>0</v>
      </c>
      <c r="D21" s="1776">
        <f>SUM(D17:D20)</f>
        <v>0</v>
      </c>
      <c r="E21" s="1776">
        <f>SUM(E17:E20)</f>
        <v>0</v>
      </c>
      <c r="F21" s="1776">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6">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6">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6">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0"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t="s">
        <v>2094</v>
      </c>
      <c r="B31" s="734">
        <v>36861</v>
      </c>
      <c r="C31" s="735">
        <v>40104335</v>
      </c>
      <c r="D31" s="736">
        <v>6</v>
      </c>
      <c r="E31" s="735">
        <v>6126875</v>
      </c>
      <c r="F31" s="735"/>
      <c r="G31" s="735"/>
      <c r="H31" s="735">
        <v>1623200</v>
      </c>
      <c r="I31" s="1777">
        <f>((E31+F31)-H31)+G31</f>
        <v>4503675</v>
      </c>
      <c r="J31" s="735">
        <v>412848</v>
      </c>
      <c r="K31" s="737"/>
    </row>
    <row r="32" spans="1:11" ht="12" customHeight="1" x14ac:dyDescent="0.2">
      <c r="A32" s="733" t="s">
        <v>2095</v>
      </c>
      <c r="B32" s="734">
        <v>41921</v>
      </c>
      <c r="C32" s="735">
        <v>3140000</v>
      </c>
      <c r="D32" s="736">
        <v>3</v>
      </c>
      <c r="E32" s="735">
        <v>530243</v>
      </c>
      <c r="F32" s="735"/>
      <c r="G32" s="735"/>
      <c r="H32" s="735">
        <v>314846</v>
      </c>
      <c r="I32" s="1777">
        <f>((E32+F32)-H32)+G32</f>
        <v>215397</v>
      </c>
      <c r="J32" s="735">
        <v>215397</v>
      </c>
      <c r="K32" s="737"/>
    </row>
    <row r="33" spans="1:11" ht="12" customHeight="1" x14ac:dyDescent="0.2">
      <c r="A33" s="733" t="s">
        <v>2096</v>
      </c>
      <c r="B33" s="734">
        <v>42229</v>
      </c>
      <c r="C33" s="735">
        <v>523127</v>
      </c>
      <c r="D33" s="736">
        <v>8</v>
      </c>
      <c r="E33" s="735">
        <v>256866</v>
      </c>
      <c r="F33" s="735"/>
      <c r="G33" s="735"/>
      <c r="H33" s="735">
        <v>133525</v>
      </c>
      <c r="I33" s="1777">
        <f t="shared" ref="I33:I48" si="1">((E33+F33)-H33)+G33</f>
        <v>123341</v>
      </c>
      <c r="J33" s="735">
        <v>123341</v>
      </c>
      <c r="K33" s="737"/>
    </row>
    <row r="34" spans="1:11" ht="12" customHeight="1" x14ac:dyDescent="0.2">
      <c r="A34" s="733" t="s">
        <v>2097</v>
      </c>
      <c r="B34" s="734">
        <v>42475</v>
      </c>
      <c r="C34" s="735">
        <v>125844</v>
      </c>
      <c r="D34" s="736">
        <v>8</v>
      </c>
      <c r="E34" s="735">
        <v>84078</v>
      </c>
      <c r="F34" s="735"/>
      <c r="G34" s="735"/>
      <c r="H34" s="735">
        <v>41944</v>
      </c>
      <c r="I34" s="1777">
        <f t="shared" si="1"/>
        <v>42134</v>
      </c>
      <c r="J34" s="735">
        <v>42134</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43893306</v>
      </c>
      <c r="D49" s="746"/>
      <c r="E49" s="1777">
        <f t="shared" ref="E49:J49" si="2">SUM(E31:E48)</f>
        <v>6998062</v>
      </c>
      <c r="F49" s="1777">
        <f t="shared" si="2"/>
        <v>0</v>
      </c>
      <c r="G49" s="1777">
        <f t="shared" si="2"/>
        <v>0</v>
      </c>
      <c r="H49" s="1777">
        <f t="shared" si="2"/>
        <v>2113515</v>
      </c>
      <c r="I49" s="1777">
        <f t="shared" si="2"/>
        <v>4884547</v>
      </c>
      <c r="J49" s="1777">
        <f t="shared" si="2"/>
        <v>793720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t="s">
        <v>2098</v>
      </c>
      <c r="G52" s="2206"/>
      <c r="H52" s="737"/>
      <c r="I52" s="737"/>
      <c r="J52" s="747"/>
    </row>
    <row r="53" spans="1:11" ht="11.25" customHeight="1" x14ac:dyDescent="0.2">
      <c r="A53" s="751" t="s">
        <v>969</v>
      </c>
      <c r="B53" s="752" t="s">
        <v>1008</v>
      </c>
      <c r="C53" s="747"/>
      <c r="D53" s="738"/>
      <c r="E53" s="750" t="s">
        <v>518</v>
      </c>
      <c r="F53" s="2207" t="s">
        <v>2099</v>
      </c>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52" bottom="0.25" header="0.38"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1"/>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v>35495</v>
      </c>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f>+'Revenues 9-14'!C7+'Revenues 9-14'!D7+'Revenues 9-14'!F7+'Revenues 9-14'!G7</f>
        <v>495737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64550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60746</v>
      </c>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8"/>
      <c r="G12" s="1779">
        <f>SUM(G5:G11)</f>
        <v>0</v>
      </c>
      <c r="H12" s="1779">
        <f>SUM(H5:H11)</f>
        <v>495737</v>
      </c>
      <c r="I12" s="1779">
        <f>SUM(I5:I11)</f>
        <v>0</v>
      </c>
      <c r="J12" s="1779">
        <f>SUM(J5:J11)</f>
        <v>0</v>
      </c>
      <c r="K12" s="1779">
        <f>SUM(K5:K11)</f>
        <v>125296</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502728</v>
      </c>
      <c r="I14" s="772"/>
      <c r="J14" s="774"/>
      <c r="K14" s="766">
        <v>125296</v>
      </c>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0"/>
      <c r="G21" s="793"/>
      <c r="H21" s="797"/>
      <c r="I21" s="797"/>
      <c r="J21" s="1781">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2"/>
      <c r="G23" s="1779">
        <f>SUM(G14:G16,G21,G22)</f>
        <v>0</v>
      </c>
      <c r="H23" s="1779">
        <f>SUM(H14:H16,H21,H22)</f>
        <v>502728</v>
      </c>
      <c r="I23" s="1779">
        <f>SUM(I14:I16,I21,I22)</f>
        <v>0</v>
      </c>
      <c r="J23" s="1779">
        <f>SUM(J14:J16,J21,J22)</f>
        <v>0</v>
      </c>
      <c r="K23" s="1779">
        <f>SUM(K14:K16,K21,K22)</f>
        <v>125296</v>
      </c>
    </row>
    <row r="24" spans="1:11" ht="14.25" thickTop="1" thickBot="1" x14ac:dyDescent="0.25">
      <c r="A24" s="2266" t="s">
        <v>2026</v>
      </c>
      <c r="B24" s="2265"/>
      <c r="C24" s="2265"/>
      <c r="D24" s="2265"/>
      <c r="E24" s="2265"/>
      <c r="F24" s="1783"/>
      <c r="G24" s="1784">
        <f>SUM(G3,G12)-G23</f>
        <v>0</v>
      </c>
      <c r="H24" s="1784">
        <f>SUM(H3,H12)-H23</f>
        <v>28504</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28504</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gridLine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V31" sqref="V3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7280608</v>
      </c>
      <c r="D5" s="842"/>
      <c r="E5" s="842"/>
      <c r="F5" s="1781">
        <f>(C5+D5)-E5</f>
        <v>7280608</v>
      </c>
      <c r="G5" s="838"/>
      <c r="H5" s="843"/>
      <c r="I5" s="843"/>
      <c r="J5" s="843"/>
      <c r="K5" s="794"/>
      <c r="L5" s="1790">
        <f>F5-K5</f>
        <v>7280608</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71904801</v>
      </c>
      <c r="D8" s="845">
        <v>1646990</v>
      </c>
      <c r="E8" s="845"/>
      <c r="F8" s="1781">
        <f>(C8+D8)-E8</f>
        <v>73551791</v>
      </c>
      <c r="G8" s="844">
        <v>50</v>
      </c>
      <c r="H8" s="766">
        <v>25352984</v>
      </c>
      <c r="I8" s="766">
        <v>1438096</v>
      </c>
      <c r="J8" s="766"/>
      <c r="K8" s="1790">
        <f>(H8+I8)-J8</f>
        <v>26791080</v>
      </c>
      <c r="L8" s="1790">
        <f>F8-K8</f>
        <v>46760711</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17348971</v>
      </c>
      <c r="D10" s="847">
        <v>667608</v>
      </c>
      <c r="E10" s="847"/>
      <c r="F10" s="1785">
        <f>(C10+D10)-E10</f>
        <v>18016579</v>
      </c>
      <c r="G10" s="844">
        <v>20</v>
      </c>
      <c r="H10" s="848">
        <v>7403570</v>
      </c>
      <c r="I10" s="848">
        <v>798426</v>
      </c>
      <c r="J10" s="848"/>
      <c r="K10" s="1790">
        <f>(H10+I10)-J10</f>
        <v>8201996</v>
      </c>
      <c r="L10" s="1790">
        <f>F10-K10</f>
        <v>9814583</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21805306</v>
      </c>
      <c r="D12" s="845">
        <v>160463</v>
      </c>
      <c r="E12" s="845"/>
      <c r="F12" s="1781">
        <f>(C12+D12)-E12</f>
        <v>21965769</v>
      </c>
      <c r="G12" s="844">
        <v>10</v>
      </c>
      <c r="H12" s="766">
        <v>18861264</v>
      </c>
      <c r="I12" s="766">
        <f>523985+1523</f>
        <v>525508</v>
      </c>
      <c r="J12" s="766"/>
      <c r="K12" s="1790">
        <f>(H12+I12)-J12</f>
        <v>19386772</v>
      </c>
      <c r="L12" s="1790">
        <f>F12-K12</f>
        <v>2578997</v>
      </c>
    </row>
    <row r="13" spans="1:14" ht="14.25" thickTop="1" thickBot="1" x14ac:dyDescent="0.25">
      <c r="A13" s="849" t="s">
        <v>1184</v>
      </c>
      <c r="B13" s="841">
        <v>252</v>
      </c>
      <c r="C13" s="845">
        <v>122732</v>
      </c>
      <c r="D13" s="845">
        <v>55750</v>
      </c>
      <c r="E13" s="845"/>
      <c r="F13" s="1781">
        <f>(C13+D13)-E13</f>
        <v>178482</v>
      </c>
      <c r="G13" s="844">
        <v>5</v>
      </c>
      <c r="H13" s="766">
        <v>122732</v>
      </c>
      <c r="I13" s="766"/>
      <c r="J13" s="766"/>
      <c r="K13" s="1790">
        <f>(H13+I13)-J13</f>
        <v>122732</v>
      </c>
      <c r="L13" s="1790">
        <f>F13-K13</f>
        <v>55750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v>277478</v>
      </c>
      <c r="D15" s="845"/>
      <c r="E15" s="845">
        <v>277478</v>
      </c>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118739896</v>
      </c>
      <c r="D16" s="1781">
        <f>SUM(D3,D5:D6,D8:D10,D12:D15)</f>
        <v>2530811</v>
      </c>
      <c r="E16" s="1781">
        <f>SUM(E3,E5:E6,E8:E10,E12:E15)</f>
        <v>277478</v>
      </c>
      <c r="F16" s="1781">
        <f>SUM(F3,F5:F6,F8:F10,F12:F15)</f>
        <v>120993229</v>
      </c>
      <c r="G16" s="844"/>
      <c r="H16" s="1781">
        <f>SUM(H3,H6,H8:H10,H12:H14,)</f>
        <v>51740550</v>
      </c>
      <c r="I16" s="1781">
        <f>SUM(I3,I6,I8:I10,I12:I14,)</f>
        <v>2762030</v>
      </c>
      <c r="J16" s="1781">
        <f>SUM(J3,J6,J8:J10,J12:J14,)</f>
        <v>0</v>
      </c>
      <c r="K16" s="1781">
        <f>(H16+I16)-J16</f>
        <v>54502580</v>
      </c>
      <c r="L16" s="1781">
        <f>F16-K16</f>
        <v>66490649</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947794</v>
      </c>
      <c r="G17" s="838">
        <v>10</v>
      </c>
      <c r="H17" s="770"/>
      <c r="I17" s="1790">
        <f>F17/G17</f>
        <v>94779.4</v>
      </c>
      <c r="J17" s="770"/>
      <c r="K17" s="796"/>
      <c r="L17" s="796"/>
    </row>
    <row r="18" spans="1:12" ht="14.25" thickTop="1" thickBot="1" x14ac:dyDescent="0.25">
      <c r="A18" s="1788" t="s">
        <v>706</v>
      </c>
      <c r="B18" s="1789"/>
      <c r="C18" s="772"/>
      <c r="D18" s="772"/>
      <c r="E18" s="772"/>
      <c r="F18" s="851"/>
      <c r="G18" s="852"/>
      <c r="H18" s="774"/>
      <c r="I18" s="1781">
        <f>SUM(I16,I17)</f>
        <v>2856809.4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gridLine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V31" sqref="V31"/>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34445405</v>
      </c>
      <c r="G8" s="866"/>
    </row>
    <row r="9" spans="1:7" x14ac:dyDescent="0.2">
      <c r="A9" s="870" t="s">
        <v>480</v>
      </c>
      <c r="B9" s="871" t="s">
        <v>1989</v>
      </c>
      <c r="C9" s="872"/>
      <c r="D9" s="870" t="s">
        <v>522</v>
      </c>
      <c r="E9" s="869"/>
      <c r="F9" s="1933">
        <f>'Expenditures 15-22'!K151</f>
        <v>7013898</v>
      </c>
      <c r="G9" s="873"/>
    </row>
    <row r="10" spans="1:7" x14ac:dyDescent="0.2">
      <c r="A10" s="870" t="s">
        <v>520</v>
      </c>
      <c r="B10" s="871" t="s">
        <v>1990</v>
      </c>
      <c r="C10" s="872"/>
      <c r="D10" s="870" t="s">
        <v>522</v>
      </c>
      <c r="E10" s="869"/>
      <c r="F10" s="1933">
        <f>'Expenditures 15-22'!K174</f>
        <v>7715536</v>
      </c>
      <c r="G10" s="873"/>
    </row>
    <row r="11" spans="1:7" x14ac:dyDescent="0.2">
      <c r="A11" s="870" t="s">
        <v>481</v>
      </c>
      <c r="B11" s="871" t="s">
        <v>1991</v>
      </c>
      <c r="C11" s="872"/>
      <c r="D11" s="870" t="s">
        <v>522</v>
      </c>
      <c r="E11" s="869"/>
      <c r="F11" s="1933">
        <f>'Expenditures 15-22'!K210</f>
        <v>2775873</v>
      </c>
      <c r="G11" s="873"/>
    </row>
    <row r="12" spans="1:7" x14ac:dyDescent="0.2">
      <c r="A12" s="870" t="s">
        <v>482</v>
      </c>
      <c r="B12" s="871" t="s">
        <v>1992</v>
      </c>
      <c r="C12" s="872"/>
      <c r="D12" s="870" t="s">
        <v>522</v>
      </c>
      <c r="E12" s="869"/>
      <c r="F12" s="1933">
        <f>'Expenditures 15-22'!K295</f>
        <v>816529</v>
      </c>
      <c r="G12" s="873"/>
    </row>
    <row r="13" spans="1:7" x14ac:dyDescent="0.2">
      <c r="A13" s="870" t="s">
        <v>108</v>
      </c>
      <c r="B13" s="871" t="s">
        <v>1993</v>
      </c>
      <c r="C13" s="872"/>
      <c r="D13" s="870" t="s">
        <v>522</v>
      </c>
      <c r="E13" s="869"/>
      <c r="F13" s="1933">
        <f>'Expenditures 15-22'!K342</f>
        <v>262384</v>
      </c>
      <c r="G13" s="874"/>
    </row>
    <row r="14" spans="1:7" ht="12" customHeight="1" thickBot="1" x14ac:dyDescent="0.25">
      <c r="A14" s="1791"/>
      <c r="B14" s="1792"/>
      <c r="C14" s="1793"/>
      <c r="D14" s="1794" t="s">
        <v>522</v>
      </c>
      <c r="E14" s="1795" t="s">
        <v>1015</v>
      </c>
      <c r="F14" s="1796">
        <f>SUM(F8:F13)</f>
        <v>53029625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1286</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1044538</v>
      </c>
      <c r="G53" s="866"/>
    </row>
    <row r="54" spans="1:7" x14ac:dyDescent="0.2">
      <c r="A54" s="870" t="s">
        <v>479</v>
      </c>
      <c r="B54" s="870" t="s">
        <v>1552</v>
      </c>
      <c r="C54" s="890" t="s">
        <v>1039</v>
      </c>
      <c r="D54" s="886" t="s">
        <v>1157</v>
      </c>
      <c r="E54" s="869"/>
      <c r="F54" s="1937">
        <f>'Expenditures 15-22'!G114</f>
        <v>113450</v>
      </c>
      <c r="G54" s="866"/>
    </row>
    <row r="55" spans="1:7" x14ac:dyDescent="0.2">
      <c r="A55" s="870" t="s">
        <v>479</v>
      </c>
      <c r="B55" s="870" t="s">
        <v>1553</v>
      </c>
      <c r="C55" s="890" t="s">
        <v>1039</v>
      </c>
      <c r="D55" s="886" t="s">
        <v>309</v>
      </c>
      <c r="E55" s="869"/>
      <c r="F55" s="1937">
        <f>'Expenditures 15-22'!I114</f>
        <v>874324</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106357</v>
      </c>
      <c r="G57" s="866"/>
    </row>
    <row r="58" spans="1:7" x14ac:dyDescent="0.2">
      <c r="A58" s="870" t="s">
        <v>480</v>
      </c>
      <c r="B58" s="870" t="s">
        <v>1995</v>
      </c>
      <c r="C58" s="887" t="s">
        <v>1039</v>
      </c>
      <c r="D58" s="886" t="s">
        <v>1157</v>
      </c>
      <c r="E58" s="869"/>
      <c r="F58" s="1939">
        <f>'Expenditures 15-22'!G151</f>
        <v>2084133</v>
      </c>
      <c r="G58" s="866"/>
    </row>
    <row r="59" spans="1:7" x14ac:dyDescent="0.2">
      <c r="A59" s="894" t="s">
        <v>480</v>
      </c>
      <c r="B59" s="857" t="s">
        <v>1996</v>
      </c>
      <c r="C59" s="895" t="s">
        <v>1039</v>
      </c>
      <c r="D59" s="857" t="s">
        <v>309</v>
      </c>
      <c r="F59" s="1940">
        <f>'Expenditures 15-22'!I151</f>
        <v>73470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2113515</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55750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6466823</v>
      </c>
      <c r="G76" s="866"/>
    </row>
    <row r="77" spans="1:8" s="894" customFormat="1" ht="12" customHeight="1" thickTop="1" thickBot="1" x14ac:dyDescent="0.25">
      <c r="A77" s="1800"/>
      <c r="B77" s="1797"/>
      <c r="C77" s="1793"/>
      <c r="D77" s="1798" t="s">
        <v>2012</v>
      </c>
      <c r="E77" s="1795"/>
      <c r="F77" s="1801">
        <f>(F14-F76)</f>
        <v>46562802</v>
      </c>
      <c r="G77" s="870"/>
    </row>
    <row r="78" spans="1:8" s="894" customFormat="1" ht="12" customHeight="1" thickTop="1" x14ac:dyDescent="0.2">
      <c r="A78" s="1802"/>
      <c r="B78" s="1797"/>
      <c r="C78" s="1793"/>
      <c r="D78" s="1798" t="s">
        <v>2059</v>
      </c>
      <c r="E78" s="1795"/>
      <c r="F78" s="899">
        <v>2507.9</v>
      </c>
      <c r="G78" s="900"/>
      <c r="H78" s="870"/>
    </row>
    <row r="79" spans="1:8" s="894" customFormat="1" ht="12" customHeight="1" thickBot="1" x14ac:dyDescent="0.25">
      <c r="A79" s="1803"/>
      <c r="B79" s="1797"/>
      <c r="C79" s="1793"/>
      <c r="D79" s="1798" t="s">
        <v>2013</v>
      </c>
      <c r="E79" s="1795" t="s">
        <v>1015</v>
      </c>
      <c r="F79" s="1804">
        <f>IF(F78&gt;0,F77/F78," Complete Line 78")</f>
        <v>18566.450815423261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821559</v>
      </c>
      <c r="G94" s="913"/>
    </row>
    <row r="95" spans="1:7" x14ac:dyDescent="0.2">
      <c r="A95" s="909" t="s">
        <v>142</v>
      </c>
      <c r="B95" s="909" t="s">
        <v>177</v>
      </c>
      <c r="C95" s="911">
        <v>1700</v>
      </c>
      <c r="D95" s="919" t="str">
        <f>'Revenues 9-14'!A82</f>
        <v>Total District/School Activity Income</v>
      </c>
      <c r="E95" s="907"/>
      <c r="F95" s="1810">
        <f>SUM('Revenues 9-14'!C82,'Revenues 9-14'!D82)</f>
        <v>793912</v>
      </c>
      <c r="G95" s="913"/>
    </row>
    <row r="96" spans="1:7" x14ac:dyDescent="0.2">
      <c r="A96" s="909" t="s">
        <v>479</v>
      </c>
      <c r="B96" s="909" t="s">
        <v>178</v>
      </c>
      <c r="C96" s="911">
        <f>'Revenues 9-14'!B84</f>
        <v>1811</v>
      </c>
      <c r="D96" s="912" t="str">
        <f>'Revenues 9-14'!A84</f>
        <v>Rentals - Regular Textbooks</v>
      </c>
      <c r="E96" s="907"/>
      <c r="F96" s="1810">
        <f>'Revenues 9-14'!C84</f>
        <v>381803</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31653</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121515</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379921</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2652363</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57277</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60746</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1364213</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109739</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4770</v>
      </c>
      <c r="G129" s="931"/>
    </row>
    <row r="130" spans="1:7" x14ac:dyDescent="0.2">
      <c r="A130" s="928" t="s">
        <v>689</v>
      </c>
      <c r="B130" s="928" t="s">
        <v>804</v>
      </c>
      <c r="C130" s="933">
        <v>4300</v>
      </c>
      <c r="D130" s="934" t="str">
        <f>'Revenues 9-14'!A211</f>
        <v>Total Title I</v>
      </c>
      <c r="E130" s="907"/>
      <c r="F130" s="1810">
        <f>SUM('Revenues 9-14'!C211,'Revenues 9-14'!D211,'Revenues 9-14'!F211,'Revenues 9-14'!G211)</f>
        <v>227735</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241684</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1214</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26776</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54575</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13006</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70190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v>780188</v>
      </c>
      <c r="G175" s="928"/>
    </row>
    <row r="176" spans="1:7" x14ac:dyDescent="0.2">
      <c r="A176" s="1942" t="s">
        <v>685</v>
      </c>
      <c r="B176" s="1943" t="s">
        <v>2058</v>
      </c>
      <c r="C176" s="1944">
        <v>3300</v>
      </c>
      <c r="D176" s="1945" t="s">
        <v>2062</v>
      </c>
      <c r="E176" s="907"/>
      <c r="F176" s="1929">
        <v>1019</v>
      </c>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8195858</v>
      </c>
    </row>
    <row r="179" spans="1:7" ht="12" customHeight="1" x14ac:dyDescent="0.2">
      <c r="A179" s="1791"/>
      <c r="B179" s="1805"/>
      <c r="C179" s="1806"/>
      <c r="D179" s="1807" t="s">
        <v>2015</v>
      </c>
      <c r="E179" s="1808"/>
      <c r="F179" s="1810">
        <f>'PCTC-OEPP 27-28'!F77-F178</f>
        <v>38366944</v>
      </c>
    </row>
    <row r="180" spans="1:7" ht="12" customHeight="1" x14ac:dyDescent="0.2">
      <c r="A180" s="1791"/>
      <c r="B180" s="1805"/>
      <c r="C180" s="1806"/>
      <c r="D180" s="1807" t="s">
        <v>1924</v>
      </c>
      <c r="E180" s="1808"/>
      <c r="F180" s="1810">
        <f>'Cap Outlay Deprec 26'!I18</f>
        <v>2856809.4</v>
      </c>
    </row>
    <row r="181" spans="1:7" ht="12" customHeight="1" x14ac:dyDescent="0.2">
      <c r="A181" s="1791"/>
      <c r="B181" s="1805"/>
      <c r="C181" s="1806"/>
      <c r="D181" s="1807" t="s">
        <v>2016</v>
      </c>
      <c r="E181" s="1808"/>
      <c r="F181" s="1810">
        <f>F179+F180</f>
        <v>41223753.399999999</v>
      </c>
    </row>
    <row r="182" spans="1:7" ht="12" customHeight="1" x14ac:dyDescent="0.2">
      <c r="A182" s="1791"/>
      <c r="B182" s="1811"/>
      <c r="C182" s="1806"/>
      <c r="D182" s="1807" t="str">
        <f>D78</f>
        <v>9 Month ADA from District Average Daily Attendance/Prior General State Aid Inquiry 2017-2018</v>
      </c>
      <c r="E182" s="1808"/>
      <c r="F182" s="1812">
        <f>'PCTC-OEPP 27-28'!F78</f>
        <v>2507.9</v>
      </c>
      <c r="G182" s="931"/>
    </row>
    <row r="183" spans="1:7" ht="12" customHeight="1" thickBot="1" x14ac:dyDescent="0.25">
      <c r="A183" s="1791"/>
      <c r="B183" s="1811"/>
      <c r="C183" s="1806"/>
      <c r="D183" s="1807" t="s">
        <v>2017</v>
      </c>
      <c r="E183" s="1808" t="s">
        <v>1626</v>
      </c>
      <c r="F183" s="1813">
        <f>F181/F182</f>
        <v>16437.558674588301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41"/>
  <sheetViews>
    <sheetView showGridLines="0" zoomScale="90" zoomScaleNormal="90" workbookViewId="0">
      <pane ySplit="16" topLeftCell="A17" activePane="bottomLeft" state="frozen"/>
      <selection activeCell="V31" sqref="V31"/>
      <selection pane="bottomLeft" activeCell="V31" sqref="V31"/>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5" t="s">
        <v>1926</v>
      </c>
      <c r="B6" s="1556"/>
      <c r="C6" s="1556"/>
      <c r="D6" s="1556"/>
      <c r="E6" s="1556"/>
      <c r="F6" s="1556"/>
      <c r="G6" s="1557"/>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8" t="s">
        <v>1927</v>
      </c>
      <c r="B10" s="1559"/>
      <c r="C10" s="1559"/>
      <c r="D10" s="1559"/>
      <c r="E10" s="1559"/>
      <c r="F10" s="1559"/>
      <c r="G10" s="1560"/>
    </row>
    <row r="11" spans="1:7" ht="17.25" customHeight="1" x14ac:dyDescent="0.25">
      <c r="A11" s="2294" t="s">
        <v>1941</v>
      </c>
      <c r="B11" s="2295"/>
      <c r="C11" s="2295"/>
      <c r="D11" s="2295"/>
      <c r="E11" s="2295"/>
      <c r="F11" s="2295"/>
      <c r="G11" s="2296"/>
    </row>
    <row r="12" spans="1:7" ht="15" customHeight="1" x14ac:dyDescent="0.25">
      <c r="A12" s="1558" t="s">
        <v>1932</v>
      </c>
      <c r="B12" s="1559"/>
      <c r="C12" s="1559"/>
      <c r="D12" s="1559"/>
      <c r="E12" s="1559"/>
      <c r="F12" s="1559"/>
      <c r="G12" s="1560"/>
    </row>
    <row r="13" spans="1:7" ht="32.25" customHeight="1" x14ac:dyDescent="0.25">
      <c r="A13" s="2285" t="s">
        <v>1933</v>
      </c>
      <c r="B13" s="2286"/>
      <c r="C13" s="2286"/>
      <c r="D13" s="2286"/>
      <c r="E13" s="2286"/>
      <c r="F13" s="2286"/>
      <c r="G13" s="2287"/>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2135</v>
      </c>
      <c r="B17" s="1956" t="s">
        <v>2122</v>
      </c>
      <c r="C17" s="1957" t="s">
        <v>2123</v>
      </c>
      <c r="D17" s="1866">
        <v>51089</v>
      </c>
      <c r="E17" s="1561">
        <f t="shared" ref="E17:E141" si="1">IF(D17&lt;=25000,D17,IF(D17&gt;25000,25000,0))</f>
        <v>25000</v>
      </c>
      <c r="F17" s="1814">
        <f t="shared" si="0"/>
        <v>25000</v>
      </c>
      <c r="G17" s="1815">
        <f>IF(F17=0,0,D17-F17)</f>
        <v>26089</v>
      </c>
      <c r="H17" s="1668"/>
    </row>
    <row r="18" spans="1:8" x14ac:dyDescent="0.25">
      <c r="A18" s="1955" t="s">
        <v>2136</v>
      </c>
      <c r="B18" s="1956" t="s">
        <v>2124</v>
      </c>
      <c r="C18" s="1957" t="s">
        <v>2125</v>
      </c>
      <c r="D18" s="1866">
        <v>379839</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354839</v>
      </c>
    </row>
    <row r="19" spans="1:8" x14ac:dyDescent="0.25">
      <c r="A19" s="1955" t="s">
        <v>2136</v>
      </c>
      <c r="B19" s="1956" t="s">
        <v>2124</v>
      </c>
      <c r="C19" s="1957" t="s">
        <v>2126</v>
      </c>
      <c r="D19" s="1866">
        <v>153797</v>
      </c>
      <c r="E19" s="1561">
        <f t="shared" si="2"/>
        <v>25000</v>
      </c>
      <c r="F19" s="1814">
        <f t="shared" si="3"/>
        <v>25000</v>
      </c>
      <c r="G19" s="1815">
        <f t="shared" si="4"/>
        <v>128797</v>
      </c>
    </row>
    <row r="20" spans="1:8" x14ac:dyDescent="0.25">
      <c r="A20" s="1955" t="s">
        <v>2136</v>
      </c>
      <c r="B20" s="1956" t="s">
        <v>2124</v>
      </c>
      <c r="C20" s="1957" t="s">
        <v>2105</v>
      </c>
      <c r="D20" s="1866">
        <v>2068360</v>
      </c>
      <c r="E20" s="1561">
        <f t="shared" si="2"/>
        <v>25000</v>
      </c>
      <c r="F20" s="1814">
        <f t="shared" si="3"/>
        <v>25000</v>
      </c>
      <c r="G20" s="1815">
        <f t="shared" si="4"/>
        <v>2043360</v>
      </c>
    </row>
    <row r="21" spans="1:8" x14ac:dyDescent="0.25">
      <c r="A21" s="1955" t="s">
        <v>2136</v>
      </c>
      <c r="B21" s="1956" t="s">
        <v>2124</v>
      </c>
      <c r="C21" s="1957" t="s">
        <v>2127</v>
      </c>
      <c r="D21" s="1866">
        <v>112008</v>
      </c>
      <c r="E21" s="1561">
        <f t="shared" si="2"/>
        <v>25000</v>
      </c>
      <c r="F21" s="1814">
        <f t="shared" si="3"/>
        <v>25000</v>
      </c>
      <c r="G21" s="1815">
        <f t="shared" si="4"/>
        <v>87008</v>
      </c>
    </row>
    <row r="22" spans="1:8" x14ac:dyDescent="0.25">
      <c r="A22" s="1955" t="s">
        <v>2136</v>
      </c>
      <c r="B22" s="1956" t="s">
        <v>2124</v>
      </c>
      <c r="C22" s="1957" t="s">
        <v>2137</v>
      </c>
      <c r="D22" s="1866">
        <v>100800</v>
      </c>
      <c r="E22" s="1561">
        <f t="shared" si="2"/>
        <v>25000</v>
      </c>
      <c r="F22" s="1814">
        <f t="shared" si="3"/>
        <v>25000</v>
      </c>
      <c r="G22" s="1815">
        <f t="shared" si="4"/>
        <v>75800</v>
      </c>
    </row>
    <row r="23" spans="1:8" x14ac:dyDescent="0.25">
      <c r="A23" s="1955" t="s">
        <v>2136</v>
      </c>
      <c r="B23" s="1956" t="s">
        <v>2124</v>
      </c>
      <c r="C23" s="1957" t="s">
        <v>2128</v>
      </c>
      <c r="D23" s="1866">
        <v>48723</v>
      </c>
      <c r="E23" s="1561">
        <f t="shared" si="2"/>
        <v>25000</v>
      </c>
      <c r="F23" s="1814">
        <f t="shared" si="3"/>
        <v>25000</v>
      </c>
      <c r="G23" s="1815">
        <f t="shared" si="4"/>
        <v>23723</v>
      </c>
    </row>
    <row r="24" spans="1:8" x14ac:dyDescent="0.25">
      <c r="A24" s="1955" t="s">
        <v>2135</v>
      </c>
      <c r="B24" s="1956" t="s">
        <v>2129</v>
      </c>
      <c r="C24" s="1957" t="s">
        <v>2130</v>
      </c>
      <c r="D24" s="1866">
        <v>709997</v>
      </c>
      <c r="E24" s="1561">
        <f t="shared" si="2"/>
        <v>25000</v>
      </c>
      <c r="F24" s="1814">
        <f t="shared" si="3"/>
        <v>25000</v>
      </c>
      <c r="G24" s="1815">
        <f t="shared" si="4"/>
        <v>684997</v>
      </c>
    </row>
    <row r="25" spans="1:8" x14ac:dyDescent="0.25">
      <c r="A25" s="1955" t="s">
        <v>2138</v>
      </c>
      <c r="B25" s="1956" t="s">
        <v>2131</v>
      </c>
      <c r="C25" s="1957" t="s">
        <v>2132</v>
      </c>
      <c r="D25" s="1866">
        <v>28200</v>
      </c>
      <c r="E25" s="1561">
        <f t="shared" si="2"/>
        <v>25000</v>
      </c>
      <c r="F25" s="1814">
        <f t="shared" si="3"/>
        <v>25000</v>
      </c>
      <c r="G25" s="1815">
        <f t="shared" si="4"/>
        <v>3200</v>
      </c>
    </row>
    <row r="26" spans="1:8" x14ac:dyDescent="0.25">
      <c r="A26" s="1955" t="s">
        <v>2138</v>
      </c>
      <c r="B26" s="1956" t="s">
        <v>2131</v>
      </c>
      <c r="C26" s="1957" t="s">
        <v>2133</v>
      </c>
      <c r="D26" s="1866">
        <v>36591</v>
      </c>
      <c r="E26" s="1561">
        <f t="shared" si="2"/>
        <v>25000</v>
      </c>
      <c r="F26" s="1814">
        <f t="shared" si="3"/>
        <v>25000</v>
      </c>
      <c r="G26" s="1815">
        <f t="shared" si="4"/>
        <v>11591</v>
      </c>
    </row>
    <row r="27" spans="1:8" x14ac:dyDescent="0.25">
      <c r="A27" s="1955" t="s">
        <v>2138</v>
      </c>
      <c r="B27" s="1956" t="s">
        <v>2131</v>
      </c>
      <c r="C27" s="1957" t="s">
        <v>2134</v>
      </c>
      <c r="D27" s="1866">
        <v>72091</v>
      </c>
      <c r="E27" s="1561">
        <f t="shared" si="2"/>
        <v>25000</v>
      </c>
      <c r="F27" s="1814">
        <f t="shared" si="3"/>
        <v>25000</v>
      </c>
      <c r="G27" s="1815">
        <f t="shared" si="4"/>
        <v>47091</v>
      </c>
    </row>
    <row r="28" spans="1:8" x14ac:dyDescent="0.25">
      <c r="A28" s="1674"/>
      <c r="B28" s="1867"/>
      <c r="C28" s="1675"/>
      <c r="D28" s="1866"/>
      <c r="E28" s="1561">
        <f t="shared" si="2"/>
        <v>0</v>
      </c>
      <c r="F28" s="1814">
        <f t="shared" si="3"/>
        <v>0</v>
      </c>
      <c r="G28" s="1815">
        <f t="shared" si="4"/>
        <v>0</v>
      </c>
    </row>
    <row r="29" spans="1:8" x14ac:dyDescent="0.25">
      <c r="A29" s="1955"/>
      <c r="B29" s="1956"/>
      <c r="C29" s="1957"/>
      <c r="D29" s="1866"/>
      <c r="E29" s="1561">
        <f t="shared" si="2"/>
        <v>0</v>
      </c>
      <c r="F29" s="1814">
        <f t="shared" si="3"/>
        <v>0</v>
      </c>
      <c r="G29" s="1815">
        <f t="shared" si="4"/>
        <v>0</v>
      </c>
    </row>
    <row r="30" spans="1:8" x14ac:dyDescent="0.25">
      <c r="A30" s="1955"/>
      <c r="B30" s="1956"/>
      <c r="C30" s="1957"/>
      <c r="D30" s="1866"/>
      <c r="E30" s="1561">
        <f t="shared" si="2"/>
        <v>0</v>
      </c>
      <c r="F30" s="1814">
        <f t="shared" si="3"/>
        <v>0</v>
      </c>
      <c r="G30" s="1815">
        <f t="shared" si="4"/>
        <v>0</v>
      </c>
    </row>
    <row r="31" spans="1:8" x14ac:dyDescent="0.25">
      <c r="A31" s="1955"/>
      <c r="B31" s="1956"/>
      <c r="C31" s="1957"/>
      <c r="D31" s="1866"/>
      <c r="E31" s="1561">
        <f t="shared" si="2"/>
        <v>0</v>
      </c>
      <c r="F31" s="1814">
        <f t="shared" si="3"/>
        <v>0</v>
      </c>
      <c r="G31" s="1815">
        <f t="shared" si="4"/>
        <v>0</v>
      </c>
    </row>
    <row r="32" spans="1:8" x14ac:dyDescent="0.25">
      <c r="A32" s="1955"/>
      <c r="B32" s="1956"/>
      <c r="C32" s="1957"/>
      <c r="D32" s="1866"/>
      <c r="E32" s="1561">
        <f t="shared" si="2"/>
        <v>0</v>
      </c>
      <c r="F32" s="1814">
        <f t="shared" si="3"/>
        <v>0</v>
      </c>
      <c r="G32" s="1815">
        <f t="shared" si="4"/>
        <v>0</v>
      </c>
    </row>
    <row r="33" spans="1:7" x14ac:dyDescent="0.25">
      <c r="A33" s="1955"/>
      <c r="B33" s="1956"/>
      <c r="C33" s="1957"/>
      <c r="D33" s="1866"/>
      <c r="E33" s="1561">
        <f t="shared" si="2"/>
        <v>0</v>
      </c>
      <c r="F33" s="1814">
        <f t="shared" si="3"/>
        <v>0</v>
      </c>
      <c r="G33" s="1815">
        <f t="shared" si="4"/>
        <v>0</v>
      </c>
    </row>
    <row r="34" spans="1:7" x14ac:dyDescent="0.25">
      <c r="A34" s="1955"/>
      <c r="B34" s="1956"/>
      <c r="C34" s="1957"/>
      <c r="D34" s="1866"/>
      <c r="E34" s="1561">
        <f t="shared" si="2"/>
        <v>0</v>
      </c>
      <c r="F34" s="1814">
        <f t="shared" si="3"/>
        <v>0</v>
      </c>
      <c r="G34" s="1815">
        <f t="shared" si="4"/>
        <v>0</v>
      </c>
    </row>
    <row r="35" spans="1:7" x14ac:dyDescent="0.25">
      <c r="A35" s="1955"/>
      <c r="B35" s="1956"/>
      <c r="C35" s="1957"/>
      <c r="D35" s="1866"/>
      <c r="E35" s="1561">
        <f t="shared" si="2"/>
        <v>0</v>
      </c>
      <c r="F35" s="1814">
        <f t="shared" si="3"/>
        <v>0</v>
      </c>
      <c r="G35" s="1815">
        <f t="shared" si="4"/>
        <v>0</v>
      </c>
    </row>
    <row r="36" spans="1:7" x14ac:dyDescent="0.25">
      <c r="A36" s="1955"/>
      <c r="B36" s="1956"/>
      <c r="C36" s="1957"/>
      <c r="D36" s="1866"/>
      <c r="E36" s="1561">
        <f t="shared" si="2"/>
        <v>0</v>
      </c>
      <c r="F36" s="1814">
        <f t="shared" si="3"/>
        <v>0</v>
      </c>
      <c r="G36" s="1815">
        <f t="shared" si="4"/>
        <v>0</v>
      </c>
    </row>
    <row r="37" spans="1:7" x14ac:dyDescent="0.25">
      <c r="A37" s="1955"/>
      <c r="B37" s="1956"/>
      <c r="C37" s="1957"/>
      <c r="D37" s="1866"/>
      <c r="E37" s="1561">
        <f t="shared" si="2"/>
        <v>0</v>
      </c>
      <c r="F37" s="1814">
        <f t="shared" si="3"/>
        <v>0</v>
      </c>
      <c r="G37" s="1815">
        <f t="shared" si="4"/>
        <v>0</v>
      </c>
    </row>
    <row r="38" spans="1:7" x14ac:dyDescent="0.25">
      <c r="A38" s="1955"/>
      <c r="B38" s="1958"/>
      <c r="C38" s="1957"/>
      <c r="D38" s="1866"/>
      <c r="E38" s="1561">
        <f t="shared" si="2"/>
        <v>0</v>
      </c>
      <c r="F38" s="1814">
        <f t="shared" si="3"/>
        <v>0</v>
      </c>
      <c r="G38" s="1815">
        <f t="shared" si="4"/>
        <v>0</v>
      </c>
    </row>
    <row r="39" spans="1:7" x14ac:dyDescent="0.25">
      <c r="A39" s="1955"/>
      <c r="B39" s="1958"/>
      <c r="C39" s="1957"/>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3761495</v>
      </c>
      <c r="E141" s="1562">
        <f t="shared" si="1"/>
        <v>25000</v>
      </c>
      <c r="F141" s="1816">
        <f>SUM(F17:F140)</f>
        <v>275000</v>
      </c>
      <c r="G141" s="1817">
        <f>SUM(G17:G140)</f>
        <v>3486495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4770</v>
      </c>
      <c r="F10" s="975"/>
      <c r="G10" s="976"/>
      <c r="H10" s="162"/>
      <c r="I10" s="162"/>
    </row>
    <row r="11" spans="1:9" s="669" customFormat="1" ht="22.5" customHeight="1" x14ac:dyDescent="0.2">
      <c r="A11" s="2305" t="s">
        <v>1945</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24021837</v>
      </c>
      <c r="F19" s="1821"/>
      <c r="G19" s="1823">
        <f>'Expenditures 15-22'!K33-SUM('Expenditures 15-22'!G33,'Expenditures 15-22'!I33)+'Expenditures 15-22'!D229</f>
        <v>24021837</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2553982</v>
      </c>
      <c r="F21" s="1824"/>
      <c r="G21" s="1827">
        <f>'Expenditures 15-22'!K42-SUM('Expenditures 15-22'!G42,'Expenditures 15-22'!I42)+'Expenditures 15-22'!K120-SUM('Expenditures 15-22'!G120,'Expenditures 15-22'!I120)+'Expenditures 15-22'!K180-SUM('Expenditures 15-22'!G180,'Expenditures 15-22'!I180)+'Expenditures 15-22'!D238</f>
        <v>2553982</v>
      </c>
      <c r="H21" s="988"/>
      <c r="I21" s="162"/>
    </row>
    <row r="22" spans="1:9" s="669" customFormat="1" ht="12" customHeight="1" x14ac:dyDescent="0.2">
      <c r="A22" s="995" t="s">
        <v>585</v>
      </c>
      <c r="B22" s="996"/>
      <c r="C22" s="994">
        <v>2200</v>
      </c>
      <c r="D22" s="1824"/>
      <c r="E22" s="1826">
        <f>'Expenditures 15-22'!K47-SUM('Expenditures 15-22'!G47,'Expenditures 15-22'!I47)+'Expenditures 15-22'!D243</f>
        <v>1409985</v>
      </c>
      <c r="F22" s="1824"/>
      <c r="G22" s="1827">
        <f>'Expenditures 15-22'!K47-SUM('Expenditures 15-22'!G47,'Expenditures 15-22'!I47)+'Expenditures 15-22'!D243</f>
        <v>1409985</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686346</v>
      </c>
      <c r="F23" s="1824"/>
      <c r="G23" s="1826">
        <f>'Expenditures 15-22'!K53-SUM('Expenditures 15-22'!G53,'Expenditures 15-22'!I53)+'Expenditures 15-22'!D257+'Expenditures 15-22'!K330-SUM('Expenditures 15-22'!G330,'Expenditures 15-22'!I330)</f>
        <v>686346</v>
      </c>
      <c r="H23" s="988"/>
      <c r="I23" s="162"/>
    </row>
    <row r="24" spans="1:9" s="669" customFormat="1" ht="12" customHeight="1" x14ac:dyDescent="0.2">
      <c r="A24" s="995" t="s">
        <v>587</v>
      </c>
      <c r="B24" s="996"/>
      <c r="C24" s="994">
        <v>2400</v>
      </c>
      <c r="D24" s="1824"/>
      <c r="E24" s="1826">
        <f>'Expenditures 15-22'!K57-SUM('Expenditures 15-22'!G57,'Expenditures 15-22'!I57)+'Expenditures 15-22'!D261</f>
        <v>1760827</v>
      </c>
      <c r="F24" s="1824"/>
      <c r="G24" s="1827">
        <f>'Expenditures 15-22'!K57-SUM('Expenditures 15-22'!G57,'Expenditures 15-22'!I57)+'Expenditures 15-22'!D261</f>
        <v>1760827</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235757</v>
      </c>
      <c r="E26" s="1826">
        <f>'Expenditures 15-22'!K122-SUM('Expenditures 15-22'!G122,'Expenditures 15-22'!I122)+E7</f>
        <v>0</v>
      </c>
      <c r="F26" s="1826">
        <f>'Expenditures 15-22'!K59-SUM('Expenditures 15-22'!G59,'Expenditures 15-22'!I59)+'Expenditures 15-22'!D263-E7</f>
        <v>235757</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451541</v>
      </c>
      <c r="E27" s="1826">
        <f>E8</f>
        <v>0</v>
      </c>
      <c r="F27" s="1826">
        <f>'Expenditures 15-22'!K60-SUM('Expenditures 15-22'!G60,'Expenditures 15-22'!I60)+'Expenditures 15-22'!D264-E8</f>
        <v>451541</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5147242</v>
      </c>
      <c r="F28" s="1828">
        <f>'Expenditures 15-22'!K61-SUM('Expenditures 15-22'!G61,'Expenditures 15-22'!I61)+'Expenditures 15-22'!K124-SUM('Expenditures 15-22'!G124,'Expenditures 15-22'!I124)+'Expenditures 15-22'!D266-E9</f>
        <v>5147242</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2720678</v>
      </c>
      <c r="F29" s="1824"/>
      <c r="G29" s="1827">
        <f>'Expenditures 15-22'!K62-SUM('Expenditures 15-22'!G62,'Expenditures 15-22'!I62)+'Expenditures 15-22'!K125-SUM('Expenditures 15-22'!G125,'Expenditures 15-22'!I125)+'Expenditures 15-22'!K182-SUM('Expenditures 15-22'!G182,'Expenditures 15-22'!I182)+'Expenditures 15-22'!D267</f>
        <v>2720678</v>
      </c>
      <c r="H29" s="986"/>
    </row>
    <row r="30" spans="1:9" ht="12" customHeight="1" x14ac:dyDescent="0.2">
      <c r="A30" s="995" t="s">
        <v>102</v>
      </c>
      <c r="B30" s="998"/>
      <c r="C30" s="994">
        <v>2560</v>
      </c>
      <c r="D30" s="1824"/>
      <c r="E30" s="1826">
        <f>'Expenditures 15-22'!K63-SUM('Expenditures 15-22'!G63,'Expenditures 15-22'!I63)+'Expenditures 15-22'!D268-E10</f>
        <v>707953</v>
      </c>
      <c r="F30" s="1824"/>
      <c r="G30" s="1826">
        <f>'Expenditures 15-22'!K63-SUM('Expenditures 15-22'!G63,'Expenditures 15-22'!I63)+'Expenditures 15-22'!D268-E10</f>
        <v>707953</v>
      </c>
    </row>
    <row r="31" spans="1:9" ht="12" customHeight="1" x14ac:dyDescent="0.2">
      <c r="A31" s="995" t="s">
        <v>103</v>
      </c>
      <c r="B31" s="998"/>
      <c r="C31" s="994">
        <v>2570</v>
      </c>
      <c r="D31" s="1826">
        <f>'Expenditures 15-22'!K64-SUM('Expenditures 15-22'!G64,'Expenditures 15-22'!I64)+'Expenditures 15-22'!D269-E12</f>
        <v>180</v>
      </c>
      <c r="E31" s="1826">
        <f>E12</f>
        <v>0</v>
      </c>
      <c r="F31" s="1826">
        <f>'Expenditures 15-22'!K64-SUM('Expenditures 15-22'!G64,'Expenditures 15-22'!I64)+'Expenditures 15-22'!D269-E12</f>
        <v>180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13184</v>
      </c>
      <c r="F35" s="1824"/>
      <c r="G35" s="1826">
        <f>'Expenditures 15-22'!K69-SUM('Expenditures 15-22'!G69,'Expenditures 15-22'!I69)+'Expenditures 15-22'!D274</f>
        <v>13184</v>
      </c>
    </row>
    <row r="36" spans="1:7" ht="12" customHeight="1" x14ac:dyDescent="0.2">
      <c r="A36" s="995" t="s">
        <v>423</v>
      </c>
      <c r="B36" s="998"/>
      <c r="C36" s="994">
        <v>2640</v>
      </c>
      <c r="D36" s="1826">
        <f>'Expenditures 15-22'!K70-SUM('Expenditures 15-22'!G70,'Expenditures 15-22'!I70)+'Expenditures 15-22'!D275-E13</f>
        <v>10726</v>
      </c>
      <c r="E36" s="1826">
        <f>E13</f>
        <v>0</v>
      </c>
      <c r="F36" s="1826">
        <f>'Expenditures 15-22'!K70-SUM('Expenditures 15-22'!G70,'Expenditures 15-22'!I70)+'Expenditures 15-22'!D275-E13</f>
        <v>10726</v>
      </c>
      <c r="G36" s="1826">
        <f>E13</f>
        <v>0</v>
      </c>
    </row>
    <row r="37" spans="1:7" ht="12" customHeight="1" x14ac:dyDescent="0.2">
      <c r="A37" s="995" t="s">
        <v>424</v>
      </c>
      <c r="B37" s="998"/>
      <c r="C37" s="994">
        <v>2660</v>
      </c>
      <c r="D37" s="1826">
        <f>'Expenditures 15-22'!K71-SUM('Expenditures 15-22'!G71,'Expenditures 15-22'!I71)+'Expenditures 15-22'!D276-E14</f>
        <v>1237059</v>
      </c>
      <c r="E37" s="1826">
        <f>E14</f>
        <v>0</v>
      </c>
      <c r="F37" s="1826">
        <f>'Expenditures 15-22'!K71-SUM('Expenditures 15-22'!G71,'Expenditures 15-22'!I71)+'Expenditures 15-22'!D276-E14</f>
        <v>1237059</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-3486495</v>
      </c>
      <c r="F40" s="1824"/>
      <c r="G40" s="1828">
        <f>-'Contracts Paid in CY 29'!G141</f>
        <v>-3486495</v>
      </c>
    </row>
    <row r="41" spans="1:7" ht="12" customHeight="1" x14ac:dyDescent="0.2">
      <c r="A41" s="999" t="s">
        <v>158</v>
      </c>
      <c r="B41" s="1000"/>
      <c r="C41" s="1001"/>
      <c r="D41" s="1828">
        <f>SUM(D19:D39)</f>
        <v>1935263</v>
      </c>
      <c r="E41" s="1828">
        <f>SUM(E19:E40)</f>
        <v>35535539</v>
      </c>
      <c r="F41" s="1828">
        <f>SUM(F19:F39)</f>
        <v>7082505</v>
      </c>
      <c r="G41" s="1828">
        <f>SUM(G19:G40)</f>
        <v>30388297</v>
      </c>
    </row>
    <row r="42" spans="1:7" x14ac:dyDescent="0.2">
      <c r="A42" s="988"/>
      <c r="B42" s="162"/>
      <c r="C42" s="1002"/>
      <c r="D42" s="2303" t="s">
        <v>543</v>
      </c>
      <c r="E42" s="2304"/>
      <c r="F42" s="1003" t="s">
        <v>544</v>
      </c>
      <c r="G42" s="1004"/>
    </row>
    <row r="43" spans="1:7" ht="12" customHeight="1" x14ac:dyDescent="0.2">
      <c r="A43" s="988"/>
      <c r="B43" s="162"/>
      <c r="C43" s="1002"/>
      <c r="D43" s="1829" t="s">
        <v>493</v>
      </c>
      <c r="E43" s="1830">
        <f>D41</f>
        <v>1935263</v>
      </c>
      <c r="F43" s="1829" t="s">
        <v>495</v>
      </c>
      <c r="G43" s="1830">
        <f>F41</f>
        <v>7082505</v>
      </c>
    </row>
    <row r="44" spans="1:7" ht="12" customHeight="1" x14ac:dyDescent="0.2">
      <c r="A44" s="988"/>
      <c r="B44" s="162"/>
      <c r="C44" s="1002"/>
      <c r="D44" s="1829" t="s">
        <v>494</v>
      </c>
      <c r="E44" s="1830">
        <f>E41</f>
        <v>35535539</v>
      </c>
      <c r="F44" s="1829" t="s">
        <v>494</v>
      </c>
      <c r="G44" s="1830">
        <f>G41</f>
        <v>30388297</v>
      </c>
    </row>
    <row r="45" spans="1:7" ht="12" customHeight="1" x14ac:dyDescent="0.2">
      <c r="A45" s="988"/>
      <c r="B45" s="162"/>
      <c r="C45" s="162"/>
      <c r="D45" s="1831" t="s">
        <v>1063</v>
      </c>
      <c r="E45" s="1832">
        <f>(E43/E44)</f>
        <v>5.4459930944061381E-2</v>
      </c>
      <c r="F45" s="1831" t="s">
        <v>1063</v>
      </c>
      <c r="G45" s="1832">
        <f>(G43/G44)</f>
        <v>0.2330668612327963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8" activePane="bottomLeft" state="frozen"/>
      <selection activeCell="V31" sqref="V31"/>
      <selection pane="bottomLeft" activeCell="V31" sqref="V31"/>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2" t="s">
        <v>1446</v>
      </c>
      <c r="B1" s="2322"/>
      <c r="C1" s="2322"/>
      <c r="D1" s="2322"/>
      <c r="E1" s="2322"/>
      <c r="F1" s="2322"/>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3" t="s">
        <v>1627</v>
      </c>
      <c r="B5" s="2324"/>
      <c r="C5" s="2325"/>
      <c r="D5" s="2325"/>
      <c r="E5" s="2325"/>
      <c r="F5" s="2325"/>
    </row>
    <row r="6" spans="1:10" ht="12" customHeight="1" x14ac:dyDescent="0.25">
      <c r="A6" s="1873"/>
      <c r="B6" s="1874"/>
      <c r="C6" s="2326" t="str">
        <f>COVER!A17</f>
        <v>CHSD 117</v>
      </c>
      <c r="D6" s="2326"/>
      <c r="E6" s="2326"/>
      <c r="F6" s="1875"/>
    </row>
    <row r="7" spans="1:10" ht="11.25" customHeight="1" thickBot="1" x14ac:dyDescent="0.3">
      <c r="A7" s="1873"/>
      <c r="B7" s="1874"/>
      <c r="C7" s="2327">
        <f>COVER!A13</f>
        <v>34049117016</v>
      </c>
      <c r="D7" s="2327"/>
      <c r="E7" s="2327"/>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954"/>
      <c r="H11" s="1901">
        <f>IF(C11="X",5,0)</f>
        <v>0</v>
      </c>
      <c r="I11" s="1901">
        <f>IF(D11="X",5,0)</f>
        <v>0</v>
      </c>
      <c r="J11" s="1901">
        <f>IF(E11="X",5,0)</f>
        <v>0</v>
      </c>
    </row>
    <row r="12" spans="1:10" ht="12" customHeight="1" x14ac:dyDescent="0.2">
      <c r="A12" s="1886" t="s">
        <v>1451</v>
      </c>
      <c r="B12" s="1887"/>
      <c r="C12" s="1888" t="s">
        <v>2082</v>
      </c>
      <c r="D12" s="1888" t="s">
        <v>2082</v>
      </c>
      <c r="E12" s="1891" t="s">
        <v>2082</v>
      </c>
      <c r="F12" s="1890" t="s">
        <v>2100</v>
      </c>
      <c r="H12" s="1901">
        <f t="shared" ref="H12:H33" si="0">IF(C12="X",5,0)</f>
        <v>5</v>
      </c>
      <c r="I12" s="1901">
        <f t="shared" ref="I12:I33" si="1">IF(D12="X",5,0)</f>
        <v>5</v>
      </c>
      <c r="J12" s="1901">
        <f t="shared" ref="J12:J33" si="2">IF(E12="X",5,0)</f>
        <v>5</v>
      </c>
    </row>
    <row r="13" spans="1:10" ht="12" customHeight="1" x14ac:dyDescent="0.2">
      <c r="A13" s="1886" t="s">
        <v>1452</v>
      </c>
      <c r="B13" s="1887"/>
      <c r="C13" s="1888" t="s">
        <v>2082</v>
      </c>
      <c r="D13" s="1888" t="s">
        <v>2082</v>
      </c>
      <c r="E13" s="1891" t="s">
        <v>2082</v>
      </c>
      <c r="F13" s="1890" t="s">
        <v>2101</v>
      </c>
      <c r="H13" s="1901">
        <f t="shared" si="0"/>
        <v>5</v>
      </c>
      <c r="I13" s="1901">
        <f t="shared" si="1"/>
        <v>5</v>
      </c>
      <c r="J13" s="1901">
        <f t="shared" si="2"/>
        <v>5</v>
      </c>
    </row>
    <row r="14" spans="1:10" ht="12" customHeight="1" x14ac:dyDescent="0.2">
      <c r="A14" s="1886" t="s">
        <v>1453</v>
      </c>
      <c r="B14" s="1887"/>
      <c r="C14" s="1888" t="s">
        <v>2082</v>
      </c>
      <c r="D14" s="1888" t="s">
        <v>2082</v>
      </c>
      <c r="E14" s="1891" t="s">
        <v>2082</v>
      </c>
      <c r="F14" s="1890" t="s">
        <v>2102</v>
      </c>
      <c r="H14" s="1901">
        <f t="shared" si="0"/>
        <v>5</v>
      </c>
      <c r="I14" s="1901">
        <f t="shared" si="1"/>
        <v>5</v>
      </c>
      <c r="J14" s="1901">
        <f t="shared" si="2"/>
        <v>5</v>
      </c>
    </row>
    <row r="15" spans="1:10" ht="12" customHeight="1" x14ac:dyDescent="0.2">
      <c r="A15" s="1886" t="s">
        <v>1454</v>
      </c>
      <c r="B15" s="1887"/>
      <c r="C15" s="1888" t="s">
        <v>2082</v>
      </c>
      <c r="D15" s="1888" t="s">
        <v>2082</v>
      </c>
      <c r="E15" s="1891" t="s">
        <v>2082</v>
      </c>
      <c r="F15" s="1890" t="s">
        <v>2103</v>
      </c>
      <c r="H15" s="1901">
        <f t="shared" si="0"/>
        <v>5</v>
      </c>
      <c r="I15" s="1901">
        <f t="shared" si="1"/>
        <v>5</v>
      </c>
      <c r="J15" s="1901">
        <f t="shared" si="2"/>
        <v>5</v>
      </c>
    </row>
    <row r="16" spans="1:10" ht="12" customHeight="1" x14ac:dyDescent="0.2">
      <c r="A16" s="1886" t="s">
        <v>1455</v>
      </c>
      <c r="B16" s="1887"/>
      <c r="C16" s="1888" t="s">
        <v>2082</v>
      </c>
      <c r="D16" s="1888" t="s">
        <v>2082</v>
      </c>
      <c r="E16" s="1891" t="s">
        <v>2082</v>
      </c>
      <c r="F16" s="1890" t="s">
        <v>2104</v>
      </c>
      <c r="H16" s="1901">
        <f t="shared" si="0"/>
        <v>5</v>
      </c>
      <c r="I16" s="1901">
        <f t="shared" si="1"/>
        <v>5</v>
      </c>
      <c r="J16" s="1901">
        <f t="shared" si="2"/>
        <v>5</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t="s">
        <v>2082</v>
      </c>
      <c r="D18" s="1888" t="s">
        <v>2082</v>
      </c>
      <c r="E18" s="1891" t="s">
        <v>2082</v>
      </c>
      <c r="F18" s="1890" t="s">
        <v>2105</v>
      </c>
      <c r="H18" s="1901">
        <f t="shared" si="0"/>
        <v>5</v>
      </c>
      <c r="I18" s="1901">
        <f t="shared" si="1"/>
        <v>5</v>
      </c>
      <c r="J18" s="1901">
        <f t="shared" si="2"/>
        <v>5</v>
      </c>
    </row>
    <row r="19" spans="1:12" ht="12" customHeight="1" x14ac:dyDescent="0.2">
      <c r="A19" s="1886" t="s">
        <v>1608</v>
      </c>
      <c r="B19" s="1887"/>
      <c r="C19" s="1888" t="s">
        <v>2082</v>
      </c>
      <c r="D19" s="1888" t="s">
        <v>2082</v>
      </c>
      <c r="E19" s="1891" t="s">
        <v>2082</v>
      </c>
      <c r="F19" s="1890" t="s">
        <v>2106</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2082</v>
      </c>
      <c r="D21" s="1888" t="s">
        <v>2082</v>
      </c>
      <c r="E21" s="1891" t="s">
        <v>2082</v>
      </c>
      <c r="F21" s="1890" t="s">
        <v>2107</v>
      </c>
      <c r="H21" s="1901">
        <f t="shared" si="0"/>
        <v>5</v>
      </c>
      <c r="I21" s="1901">
        <f t="shared" si="1"/>
        <v>5</v>
      </c>
      <c r="J21" s="1901">
        <f t="shared" si="2"/>
        <v>5</v>
      </c>
    </row>
    <row r="22" spans="1:12" ht="12" customHeight="1" x14ac:dyDescent="0.2">
      <c r="A22" s="1886" t="s">
        <v>1611</v>
      </c>
      <c r="B22" s="1887"/>
      <c r="C22" s="1888" t="s">
        <v>2082</v>
      </c>
      <c r="D22" s="1888" t="s">
        <v>2082</v>
      </c>
      <c r="E22" s="1891" t="s">
        <v>2082</v>
      </c>
      <c r="F22" s="1890" t="s">
        <v>2108</v>
      </c>
      <c r="H22" s="1901">
        <f t="shared" si="0"/>
        <v>5</v>
      </c>
      <c r="I22" s="1901">
        <f t="shared" si="1"/>
        <v>5</v>
      </c>
      <c r="J22" s="1901">
        <f t="shared" si="2"/>
        <v>5</v>
      </c>
    </row>
    <row r="23" spans="1:12" ht="12" customHeight="1" x14ac:dyDescent="0.2">
      <c r="A23" s="1886" t="s">
        <v>1612</v>
      </c>
      <c r="B23" s="1887"/>
      <c r="C23" s="1888" t="s">
        <v>2082</v>
      </c>
      <c r="D23" s="1888" t="s">
        <v>2082</v>
      </c>
      <c r="E23" s="1891" t="s">
        <v>2082</v>
      </c>
      <c r="F23" s="1890" t="s">
        <v>2109</v>
      </c>
      <c r="H23" s="1901">
        <f t="shared" si="0"/>
        <v>5</v>
      </c>
      <c r="I23" s="1901">
        <f t="shared" si="1"/>
        <v>5</v>
      </c>
      <c r="J23" s="1901">
        <f t="shared" si="2"/>
        <v>5</v>
      </c>
    </row>
    <row r="24" spans="1:12" ht="12" customHeight="1" x14ac:dyDescent="0.2">
      <c r="A24" s="1886" t="s">
        <v>1613</v>
      </c>
      <c r="B24" s="1887"/>
      <c r="C24" s="1888" t="s">
        <v>2082</v>
      </c>
      <c r="D24" s="1888" t="s">
        <v>2082</v>
      </c>
      <c r="E24" s="1891" t="s">
        <v>2082</v>
      </c>
      <c r="F24" s="1890" t="s">
        <v>2110</v>
      </c>
      <c r="H24" s="1901">
        <f t="shared" si="0"/>
        <v>5</v>
      </c>
      <c r="I24" s="1901">
        <f t="shared" si="1"/>
        <v>5</v>
      </c>
      <c r="J24" s="1901">
        <f t="shared" si="2"/>
        <v>5</v>
      </c>
    </row>
    <row r="25" spans="1:12" ht="12" customHeight="1" x14ac:dyDescent="0.2">
      <c r="A25" s="1886" t="s">
        <v>1614</v>
      </c>
      <c r="B25" s="1887"/>
      <c r="C25" s="1888" t="s">
        <v>2082</v>
      </c>
      <c r="D25" s="1888" t="s">
        <v>2082</v>
      </c>
      <c r="E25" s="1891" t="s">
        <v>2082</v>
      </c>
      <c r="F25" s="1890" t="s">
        <v>2111</v>
      </c>
      <c r="H25" s="1901">
        <f t="shared" si="0"/>
        <v>5</v>
      </c>
      <c r="I25" s="1901">
        <f t="shared" si="1"/>
        <v>5</v>
      </c>
      <c r="J25" s="1901">
        <f t="shared" si="2"/>
        <v>5</v>
      </c>
    </row>
    <row r="26" spans="1:12" ht="12" customHeight="1" x14ac:dyDescent="0.2">
      <c r="A26" s="1886" t="s">
        <v>1615</v>
      </c>
      <c r="B26" s="1887"/>
      <c r="C26" s="1888" t="s">
        <v>2082</v>
      </c>
      <c r="D26" s="1888" t="s">
        <v>2082</v>
      </c>
      <c r="E26" s="1891" t="s">
        <v>2082</v>
      </c>
      <c r="F26" s="1890" t="s">
        <v>2112</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2082</v>
      </c>
      <c r="D28" s="1888" t="s">
        <v>2082</v>
      </c>
      <c r="E28" s="1891" t="s">
        <v>2082</v>
      </c>
      <c r="F28" s="1890" t="s">
        <v>2105</v>
      </c>
      <c r="H28" s="1901">
        <f t="shared" si="0"/>
        <v>5</v>
      </c>
      <c r="I28" s="1901">
        <f t="shared" si="1"/>
        <v>5</v>
      </c>
      <c r="J28" s="1901">
        <f t="shared" si="2"/>
        <v>5</v>
      </c>
    </row>
    <row r="29" spans="1:12" ht="12" customHeight="1" x14ac:dyDescent="0.2">
      <c r="A29" s="1886" t="s">
        <v>1618</v>
      </c>
      <c r="B29" s="1887"/>
      <c r="C29" s="1888" t="s">
        <v>2082</v>
      </c>
      <c r="D29" s="1888" t="s">
        <v>2082</v>
      </c>
      <c r="E29" s="1891" t="s">
        <v>2082</v>
      </c>
      <c r="F29" s="1890" t="s">
        <v>2113</v>
      </c>
      <c r="H29" s="1901">
        <f t="shared" si="0"/>
        <v>5</v>
      </c>
      <c r="I29" s="1901">
        <f t="shared" si="1"/>
        <v>5</v>
      </c>
      <c r="J29" s="1901">
        <f t="shared" si="2"/>
        <v>5</v>
      </c>
    </row>
    <row r="30" spans="1:12" ht="12" customHeight="1" x14ac:dyDescent="0.2">
      <c r="A30" s="1886" t="s">
        <v>1619</v>
      </c>
      <c r="B30" s="1887"/>
      <c r="C30" s="1888" t="s">
        <v>2082</v>
      </c>
      <c r="D30" s="1888" t="s">
        <v>2082</v>
      </c>
      <c r="E30" s="1891" t="s">
        <v>2082</v>
      </c>
      <c r="F30" s="1890" t="s">
        <v>2114</v>
      </c>
      <c r="H30" s="1901">
        <f t="shared" si="0"/>
        <v>5</v>
      </c>
      <c r="I30" s="1901">
        <f t="shared" si="1"/>
        <v>5</v>
      </c>
      <c r="J30" s="1901">
        <f t="shared" si="2"/>
        <v>5</v>
      </c>
    </row>
    <row r="31" spans="1:12" ht="12" customHeight="1" x14ac:dyDescent="0.2">
      <c r="A31" s="1886" t="s">
        <v>1620</v>
      </c>
      <c r="B31" s="1887"/>
      <c r="C31" s="1888" t="s">
        <v>2082</v>
      </c>
      <c r="D31" s="1888" t="s">
        <v>2082</v>
      </c>
      <c r="E31" s="1891" t="s">
        <v>2082</v>
      </c>
      <c r="F31" s="1890" t="s">
        <v>2115</v>
      </c>
      <c r="H31" s="1901">
        <f t="shared" si="0"/>
        <v>5</v>
      </c>
      <c r="I31" s="1901">
        <f t="shared" si="1"/>
        <v>5</v>
      </c>
      <c r="J31" s="1901">
        <f t="shared" si="2"/>
        <v>5</v>
      </c>
      <c r="L31" s="1892"/>
    </row>
    <row r="32" spans="1:12" ht="12" customHeight="1" x14ac:dyDescent="0.2">
      <c r="A32" s="1886" t="s">
        <v>1621</v>
      </c>
      <c r="B32" s="1887"/>
      <c r="C32" s="1888" t="s">
        <v>2082</v>
      </c>
      <c r="D32" s="1888" t="s">
        <v>2082</v>
      </c>
      <c r="E32" s="1891" t="s">
        <v>2082</v>
      </c>
      <c r="F32" s="1890" t="s">
        <v>2116</v>
      </c>
      <c r="H32" s="1901">
        <f t="shared" si="0"/>
        <v>5</v>
      </c>
      <c r="I32" s="1901">
        <f t="shared" si="1"/>
        <v>5</v>
      </c>
      <c r="J32" s="1901">
        <f t="shared" si="2"/>
        <v>5</v>
      </c>
    </row>
    <row r="33" spans="1:11" ht="12" customHeight="1" x14ac:dyDescent="0.2">
      <c r="A33" s="1886" t="s">
        <v>1622</v>
      </c>
      <c r="B33" s="1887"/>
      <c r="C33" s="1888" t="s">
        <v>2082</v>
      </c>
      <c r="D33" s="1888" t="s">
        <v>2082</v>
      </c>
      <c r="E33" s="1891" t="s">
        <v>2082</v>
      </c>
      <c r="F33" s="1890" t="s">
        <v>2121</v>
      </c>
      <c r="H33" s="1901">
        <f t="shared" si="0"/>
        <v>5</v>
      </c>
      <c r="I33" s="1901">
        <f t="shared" si="1"/>
        <v>5</v>
      </c>
      <c r="J33" s="1901">
        <f t="shared" si="2"/>
        <v>5</v>
      </c>
    </row>
    <row r="34" spans="1:11" ht="12" customHeight="1" x14ac:dyDescent="0.25">
      <c r="A34" s="1893"/>
      <c r="B34" s="1893"/>
      <c r="C34" s="1893"/>
      <c r="D34" s="1893"/>
      <c r="E34" s="1893"/>
      <c r="F34" s="1893"/>
      <c r="H34" s="1901">
        <f>SUM(H11:H32)</f>
        <v>90</v>
      </c>
      <c r="I34" s="1901">
        <f>SUM(I11:I32)</f>
        <v>90</v>
      </c>
      <c r="J34" s="1901">
        <f>SUM(J11:J32)</f>
        <v>90</v>
      </c>
      <c r="K34" s="1901">
        <f>SUM(H34:J34)</f>
        <v>270</v>
      </c>
    </row>
    <row r="35" spans="1:11" ht="12" customHeight="1" x14ac:dyDescent="0.2">
      <c r="A35" s="1894" t="s">
        <v>1459</v>
      </c>
      <c r="B35" s="1895"/>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6"/>
      <c r="B39" s="1896"/>
      <c r="C39" s="1896"/>
      <c r="D39" s="1896"/>
      <c r="E39" s="1896"/>
      <c r="F39" s="1896"/>
    </row>
    <row r="40" spans="1:11" s="1893" customFormat="1" ht="12" customHeight="1" x14ac:dyDescent="0.25">
      <c r="A40" s="1897" t="s">
        <v>1458</v>
      </c>
      <c r="B40" s="1898"/>
      <c r="C40" s="2317"/>
      <c r="D40" s="2317"/>
      <c r="E40" s="2317"/>
      <c r="F40" s="2318"/>
      <c r="H40" s="1902"/>
      <c r="I40" s="1902"/>
      <c r="J40" s="1902"/>
      <c r="K40" s="1902"/>
    </row>
    <row r="41" spans="1:11" s="1893" customFormat="1" ht="12" customHeight="1" x14ac:dyDescent="0.25">
      <c r="A41" s="2319"/>
      <c r="B41" s="2320"/>
      <c r="C41" s="2320"/>
      <c r="D41" s="2320"/>
      <c r="E41" s="2320"/>
      <c r="F41" s="2321"/>
      <c r="H41" s="1902"/>
      <c r="I41" s="1902"/>
      <c r="J41" s="1902"/>
      <c r="K41" s="1902"/>
    </row>
    <row r="42" spans="1:11" s="1893" customFormat="1" ht="12" customHeight="1" x14ac:dyDescent="0.25">
      <c r="A42" s="2319"/>
      <c r="B42" s="2320"/>
      <c r="C42" s="2320"/>
      <c r="D42" s="2320"/>
      <c r="E42" s="2320"/>
      <c r="F42" s="2321"/>
      <c r="H42" s="1902"/>
      <c r="I42" s="1902"/>
      <c r="J42" s="1902"/>
      <c r="K42" s="1902"/>
    </row>
    <row r="43" spans="1:11" s="1893" customFormat="1" ht="15" x14ac:dyDescent="0.25">
      <c r="A43" s="2308"/>
      <c r="B43" s="2309"/>
      <c r="C43" s="2309"/>
      <c r="D43" s="2309"/>
      <c r="E43" s="2309"/>
      <c r="F43" s="2310"/>
      <c r="H43" s="1902"/>
      <c r="I43" s="1902"/>
      <c r="J43" s="1902"/>
      <c r="K43" s="1902"/>
    </row>
    <row r="44" spans="1:11" s="1893" customFormat="1" ht="12" hidden="1" customHeight="1" x14ac:dyDescent="0.25">
      <c r="A44" s="2308"/>
      <c r="B44" s="2309"/>
      <c r="C44" s="2309"/>
      <c r="D44" s="2309"/>
      <c r="E44" s="2309"/>
      <c r="F44" s="231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V31" sqref="V3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3"/>
      <c r="C6" s="1663"/>
      <c r="D6" s="1663"/>
      <c r="E6" s="1664"/>
      <c r="F6" s="1016"/>
      <c r="G6" s="1010"/>
      <c r="H6" s="1017" t="s">
        <v>1086</v>
      </c>
      <c r="I6" s="2335" t="str">
        <f>COVER!A17</f>
        <v>CHSD 117</v>
      </c>
      <c r="J6" s="2336"/>
      <c r="Q6" s="1685"/>
    </row>
    <row r="7" spans="1:17" x14ac:dyDescent="0.2">
      <c r="A7" s="2337" t="s">
        <v>924</v>
      </c>
      <c r="B7" s="2338"/>
      <c r="C7" s="2338"/>
      <c r="D7" s="2338"/>
      <c r="E7" s="2339"/>
      <c r="F7" s="1018"/>
      <c r="G7" s="1010"/>
      <c r="H7" s="1017" t="s">
        <v>390</v>
      </c>
      <c r="I7" s="2340">
        <f>COVER!A13</f>
        <v>34049117016</v>
      </c>
      <c r="J7" s="2340"/>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362199</v>
      </c>
      <c r="F12" s="1040"/>
      <c r="G12" s="1833">
        <f t="shared" ref="G12:G18" si="0">SUM(E12:F12)</f>
        <v>362199</v>
      </c>
      <c r="H12" s="1041">
        <v>378100</v>
      </c>
      <c r="I12" s="1040"/>
      <c r="J12" s="1833">
        <f t="shared" ref="J12:J18" si="1">SUM(H12:I12)</f>
        <v>378100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232835</v>
      </c>
      <c r="F15" s="1833">
        <f>'Expenditures 15-22'!K122</f>
        <v>0</v>
      </c>
      <c r="G15" s="1833">
        <f t="shared" si="0"/>
        <v>232835</v>
      </c>
      <c r="H15" s="1041">
        <v>225465</v>
      </c>
      <c r="I15" s="1041"/>
      <c r="J15" s="1833">
        <f t="shared" si="1"/>
        <v>225465</v>
      </c>
    </row>
    <row r="16" spans="1:17" ht="15" customHeight="1" x14ac:dyDescent="0.2">
      <c r="A16" s="1036">
        <v>5</v>
      </c>
      <c r="B16" s="1037" t="s">
        <v>103</v>
      </c>
      <c r="C16" s="1038"/>
      <c r="D16" s="1039">
        <v>2570</v>
      </c>
      <c r="E16" s="1833">
        <f>'Expenditures 15-22'!K64</f>
        <v>180</v>
      </c>
      <c r="F16" s="1040"/>
      <c r="G16" s="1833">
        <f t="shared" si="0"/>
        <v>180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4" t="s">
        <v>7</v>
      </c>
      <c r="C18" s="2345"/>
      <c r="D18" s="2346"/>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595214</v>
      </c>
      <c r="F19" s="1835">
        <f t="shared" si="2"/>
        <v>0</v>
      </c>
      <c r="G19" s="1835">
        <f t="shared" si="2"/>
        <v>595214</v>
      </c>
      <c r="H19" s="1835">
        <f t="shared" si="2"/>
        <v>603565</v>
      </c>
      <c r="I19" s="1835">
        <f t="shared" si="2"/>
        <v>0</v>
      </c>
      <c r="J19" s="1835">
        <f t="shared" si="2"/>
        <v>603565</v>
      </c>
    </row>
    <row r="20" spans="1:10" ht="13.5" thickTop="1" x14ac:dyDescent="0.2">
      <c r="A20" s="1036">
        <v>9</v>
      </c>
      <c r="B20" s="2347" t="s">
        <v>1703</v>
      </c>
      <c r="C20" s="2347"/>
      <c r="D20" s="2348"/>
      <c r="E20" s="1047"/>
      <c r="F20" s="1047"/>
      <c r="G20" s="1047"/>
      <c r="H20" s="1047"/>
      <c r="I20" s="1047"/>
      <c r="J20" s="1836">
        <f>IF(AND(G19&gt;0,J19&gt;0),(((J19-G19)/G19)),"Enter Budget Data")</f>
        <v>1.403024794443679E-2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2077</v>
      </c>
    </row>
    <row r="6" spans="1:2" x14ac:dyDescent="0.2">
      <c r="A6" s="1069">
        <v>2</v>
      </c>
      <c r="B6" s="329" t="s">
        <v>2078</v>
      </c>
    </row>
    <row r="7" spans="1:2" x14ac:dyDescent="0.2">
      <c r="A7" s="1069">
        <v>3</v>
      </c>
      <c r="B7" s="329" t="s">
        <v>2079</v>
      </c>
    </row>
    <row r="8" spans="1:2" x14ac:dyDescent="0.2">
      <c r="A8" s="1069">
        <v>4</v>
      </c>
      <c r="B8" s="329" t="s">
        <v>2139</v>
      </c>
    </row>
    <row r="9" spans="1:2" x14ac:dyDescent="0.2">
      <c r="A9" s="1069">
        <v>5</v>
      </c>
      <c r="B9" s="329" t="s">
        <v>2080</v>
      </c>
    </row>
    <row r="10" spans="1:2" x14ac:dyDescent="0.2">
      <c r="A10" s="1069">
        <v>6</v>
      </c>
      <c r="B10" s="329" t="s">
        <v>2081</v>
      </c>
    </row>
    <row r="11" spans="1:2" x14ac:dyDescent="0.2">
      <c r="A11" s="1069"/>
    </row>
    <row r="12" spans="1:2" x14ac:dyDescent="0.2">
      <c r="A12" s="1069"/>
      <c r="B12" s="329" t="s">
        <v>2117</v>
      </c>
    </row>
    <row r="13" spans="1:2" x14ac:dyDescent="0.2">
      <c r="A13" s="1069"/>
      <c r="B13" s="329" t="s">
        <v>2140</v>
      </c>
    </row>
    <row r="14" spans="1:2" x14ac:dyDescent="0.2">
      <c r="A14" s="1069"/>
      <c r="B14" s="329" t="s">
        <v>2141</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CHSD 117</v>
      </c>
    </row>
    <row r="65" spans="2:2" x14ac:dyDescent="0.2">
      <c r="B65" s="1070">
        <f>COVER!A13</f>
        <v>34049117016</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V31" sqref="V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35" sqref="C3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V31" sqref="V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4"/>
      <c r="H2" s="1074"/>
    </row>
    <row r="3" spans="1:8" ht="57" customHeight="1" x14ac:dyDescent="0.2">
      <c r="A3" s="2368" t="s">
        <v>1786</v>
      </c>
      <c r="B3" s="2369"/>
      <c r="C3" s="2369"/>
      <c r="D3" s="2369"/>
      <c r="E3" s="2369"/>
      <c r="F3" s="2370"/>
      <c r="G3" s="1074"/>
      <c r="H3" s="1074"/>
    </row>
    <row r="4" spans="1:8" ht="14.25" customHeight="1" x14ac:dyDescent="0.2">
      <c r="A4" s="2374" t="s">
        <v>2056</v>
      </c>
      <c r="B4" s="2375"/>
      <c r="C4" s="2375"/>
      <c r="D4" s="2375"/>
      <c r="E4" s="2375"/>
      <c r="F4" s="2376"/>
      <c r="G4" s="1074"/>
      <c r="H4" s="1074"/>
    </row>
    <row r="5" spans="1:8" ht="14.25" customHeight="1" x14ac:dyDescent="0.2">
      <c r="A5" s="2377" t="s">
        <v>2057</v>
      </c>
      <c r="B5" s="2378"/>
      <c r="C5" s="2378"/>
      <c r="D5" s="2378"/>
      <c r="E5" s="2378"/>
      <c r="F5" s="2379"/>
      <c r="G5" s="1074"/>
      <c r="H5" s="1074"/>
    </row>
    <row r="6" spans="1:8" s="1075" customFormat="1" ht="41.25" customHeight="1" x14ac:dyDescent="0.2">
      <c r="A6" s="2371" t="s">
        <v>1792</v>
      </c>
      <c r="B6" s="2372"/>
      <c r="C6" s="2372"/>
      <c r="D6" s="2372"/>
      <c r="E6" s="2372"/>
      <c r="F6" s="2373"/>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38541870</v>
      </c>
      <c r="C8" s="1837">
        <f>'Acct Summary 7-8'!D8</f>
        <v>7824089</v>
      </c>
      <c r="D8" s="1837">
        <f>'Acct Summary 7-8'!F8</f>
        <v>3447051</v>
      </c>
      <c r="E8" s="1837">
        <f>'Acct Summary 7-8'!I8</f>
        <v>63104</v>
      </c>
      <c r="F8" s="1837">
        <f>SUM(B8:E8)</f>
        <v>49876114</v>
      </c>
    </row>
    <row r="9" spans="1:8" s="1079" customFormat="1" ht="14.25" customHeight="1" thickBot="1" x14ac:dyDescent="0.25">
      <c r="A9" s="1078" t="s">
        <v>1436</v>
      </c>
      <c r="B9" s="1838">
        <f>'Acct Summary 7-8'!C17</f>
        <v>34445405</v>
      </c>
      <c r="C9" s="1838">
        <f>'Acct Summary 7-8'!D17</f>
        <v>7013898</v>
      </c>
      <c r="D9" s="1838">
        <f>'Acct Summary 7-8'!F17</f>
        <v>2775873</v>
      </c>
      <c r="E9" s="1837"/>
      <c r="F9" s="1837">
        <f>SUM(B9:E9)</f>
        <v>44235176</v>
      </c>
    </row>
    <row r="10" spans="1:8" s="1079" customFormat="1" ht="14.25" thickTop="1" thickBot="1" x14ac:dyDescent="0.25">
      <c r="A10" s="1080" t="s">
        <v>1437</v>
      </c>
      <c r="B10" s="1839">
        <f>(B8-B9)</f>
        <v>4096465</v>
      </c>
      <c r="C10" s="1839">
        <f>(C8-C9)</f>
        <v>810191</v>
      </c>
      <c r="D10" s="1839">
        <f>(D8-D9)</f>
        <v>671178</v>
      </c>
      <c r="E10" s="1838">
        <f>(E8-E9)</f>
        <v>63104</v>
      </c>
      <c r="F10" s="1840">
        <f>SUM(F8-F9)</f>
        <v>5640938</v>
      </c>
    </row>
    <row r="11" spans="1:8" s="1079" customFormat="1" ht="14.25" thickTop="1" thickBot="1" x14ac:dyDescent="0.25">
      <c r="A11" s="1081" t="s">
        <v>1785</v>
      </c>
      <c r="B11" s="1841">
        <f>'Acct Summary 7-8'!C81</f>
        <v>31277329</v>
      </c>
      <c r="C11" s="1841">
        <f>'Acct Summary 7-8'!D81</f>
        <v>5602787</v>
      </c>
      <c r="D11" s="1841">
        <f>'Acct Summary 7-8'!F81</f>
        <v>1919489</v>
      </c>
      <c r="E11" s="1841">
        <f>'Acct Summary 7-8'!I81</f>
        <v>591030</v>
      </c>
      <c r="F11" s="1842">
        <f>SUM(B11:E11)</f>
        <v>39390635</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10" customFormat="1" ht="51.75" hidden="1" customHeight="1" x14ac:dyDescent="0.2">
      <c r="A16" s="2358" t="s">
        <v>1787</v>
      </c>
      <c r="B16" s="2358"/>
      <c r="C16" s="2358"/>
      <c r="D16" s="2358"/>
      <c r="E16" s="2358"/>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D55" sqref="D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80" t="s">
        <v>686</v>
      </c>
      <c r="B3" s="2381"/>
      <c r="C3" s="2381"/>
      <c r="D3" s="2382"/>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1" t="s">
        <v>1584</v>
      </c>
      <c r="D7" s="2392"/>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5" t="s">
        <v>332</v>
      </c>
      <c r="D21" s="2396"/>
    </row>
    <row r="22" spans="1:10" ht="12.75" x14ac:dyDescent="0.2">
      <c r="A22" s="1139"/>
      <c r="B22" s="1140">
        <v>2</v>
      </c>
      <c r="C22" s="2393" t="s">
        <v>1605</v>
      </c>
      <c r="D22" s="239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7" t="s">
        <v>557</v>
      </c>
      <c r="D43" s="239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9" t="s">
        <v>817</v>
      </c>
      <c r="D56" s="239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9" t="s">
        <v>1797</v>
      </c>
      <c r="D70" s="239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34049117016</v>
      </c>
    </row>
    <row r="3" spans="1:2" x14ac:dyDescent="0.2">
      <c r="A3" t="s">
        <v>1013</v>
      </c>
      <c r="B3" s="138" t="str">
        <f>COVER!A15</f>
        <v>LAKE</v>
      </c>
    </row>
    <row r="4" spans="1:2" x14ac:dyDescent="0.2">
      <c r="A4" t="s">
        <v>1064</v>
      </c>
      <c r="B4" s="138" t="str">
        <f>COVER!A17</f>
        <v>CHSD 117</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4237 GROVE AVENUE</v>
      </c>
    </row>
    <row r="19" spans="1:2" x14ac:dyDescent="0.2">
      <c r="A19" t="s">
        <v>941</v>
      </c>
      <c r="B19" s="138" t="str">
        <f>COVER!T25</f>
        <v>CPAS@EDERCASELLA.COM</v>
      </c>
    </row>
    <row r="20" spans="1:2" x14ac:dyDescent="0.2">
      <c r="A20" t="s">
        <v>942</v>
      </c>
      <c r="B20" s="138" t="str">
        <f>COVER!T19</f>
        <v xml:space="preserve">GURNEE </v>
      </c>
    </row>
    <row r="21" spans="1:2" x14ac:dyDescent="0.2">
      <c r="A21" t="s">
        <v>500</v>
      </c>
      <c r="B21" s="138" t="str">
        <f>COVER!X19</f>
        <v>IL</v>
      </c>
    </row>
    <row r="22" spans="1:2" x14ac:dyDescent="0.2">
      <c r="A22" t="s">
        <v>943</v>
      </c>
      <c r="B22" s="138">
        <f>COVER!Z19</f>
        <v>60031</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31320786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43457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43457</v>
      </c>
      <c r="C91" s="2" t="s">
        <v>594</v>
      </c>
      <c r="D91" s="2" t="str">
        <f t="shared" si="0"/>
        <v>Error?</v>
      </c>
    </row>
    <row r="92" spans="1:4" x14ac:dyDescent="0.2">
      <c r="A92" s="5">
        <v>31</v>
      </c>
      <c r="B92" s="138">
        <f>'Assets-Liab 5-6'!C39</f>
        <v>31277329</v>
      </c>
      <c r="D92" s="2" t="str">
        <f t="shared" si="0"/>
        <v>Error?</v>
      </c>
    </row>
    <row r="93" spans="1:4" x14ac:dyDescent="0.2">
      <c r="A93" s="5">
        <v>32</v>
      </c>
      <c r="B93" s="138">
        <f>'Assets-Liab 5-6'!C41</f>
        <v>31320786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3000000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5602490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-297</v>
      </c>
      <c r="C122" s="2" t="s">
        <v>594</v>
      </c>
      <c r="D122" s="2" t="str">
        <f t="shared" si="0"/>
        <v>Error?</v>
      </c>
    </row>
    <row r="123" spans="1:4" x14ac:dyDescent="0.2">
      <c r="A123" s="5">
        <v>62</v>
      </c>
      <c r="B123" s="138">
        <f>'Assets-Liab 5-6'!D39</f>
        <v>5602787</v>
      </c>
      <c r="D123" s="2" t="str">
        <f t="shared" si="0"/>
        <v>Error?</v>
      </c>
    </row>
    <row r="124" spans="1:4" x14ac:dyDescent="0.2">
      <c r="A124" s="5">
        <v>63</v>
      </c>
      <c r="B124" s="138">
        <f>'Assets-Liab 5-6'!D41</f>
        <v>5602490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3500000</v>
      </c>
      <c r="D129" s="2" t="str">
        <f t="shared" si="1"/>
        <v>Error?</v>
      </c>
    </row>
    <row r="130" spans="1:4" x14ac:dyDescent="0.2">
      <c r="A130" s="5">
        <v>69</v>
      </c>
      <c r="B130" s="138">
        <f>'Assets-Liab 5-6'!E12</f>
        <v>0</v>
      </c>
      <c r="D130" s="2" t="str">
        <f t="shared" si="1"/>
        <v>Error?</v>
      </c>
    </row>
    <row r="131" spans="1:4" x14ac:dyDescent="0.2">
      <c r="A131" s="5">
        <v>70</v>
      </c>
      <c r="B131" s="138">
        <f>'Assets-Liab 5-6'!E13</f>
        <v>4090827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4090827</v>
      </c>
      <c r="D140" s="2" t="str">
        <f t="shared" si="1"/>
        <v>Error?</v>
      </c>
    </row>
    <row r="141" spans="1:4" x14ac:dyDescent="0.2">
      <c r="A141" s="5">
        <v>80</v>
      </c>
      <c r="B141" s="138">
        <f>'Assets-Liab 5-6'!E41</f>
        <v>4090827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1919418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-71</v>
      </c>
      <c r="C169" s="2" t="s">
        <v>594</v>
      </c>
      <c r="D169" s="2" t="str">
        <f t="shared" si="1"/>
        <v>Error?</v>
      </c>
    </row>
    <row r="170" spans="1:4" x14ac:dyDescent="0.2">
      <c r="A170" s="5">
        <v>109</v>
      </c>
      <c r="B170" s="138">
        <f>'Assets-Liab 5-6'!F39</f>
        <v>1919489</v>
      </c>
      <c r="D170" s="2" t="str">
        <f t="shared" si="1"/>
        <v>Error?</v>
      </c>
    </row>
    <row r="171" spans="1:4" x14ac:dyDescent="0.2">
      <c r="A171" s="5">
        <v>110</v>
      </c>
      <c r="B171" s="138">
        <f>'Assets-Liab 5-6'!F41</f>
        <v>1919418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345446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-250</v>
      </c>
      <c r="C188" s="2" t="s">
        <v>594</v>
      </c>
      <c r="D188" s="2" t="str">
        <f t="shared" si="1"/>
        <v>Error?</v>
      </c>
    </row>
    <row r="189" spans="1:4" x14ac:dyDescent="0.2">
      <c r="A189" s="5">
        <v>128</v>
      </c>
      <c r="B189" s="138">
        <f>'Assets-Liab 5-6'!G39</f>
        <v>143418</v>
      </c>
      <c r="D189" s="2" t="str">
        <f t="shared" si="1"/>
        <v>Error?</v>
      </c>
    </row>
    <row r="190" spans="1:4" x14ac:dyDescent="0.2">
      <c r="A190" s="5">
        <v>129</v>
      </c>
      <c r="B190" s="138">
        <f>'Assets-Liab 5-6'!G41</f>
        <v>345446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7280608</v>
      </c>
      <c r="D273" s="2" t="str">
        <f t="shared" si="3"/>
        <v>Error?</v>
      </c>
    </row>
    <row r="274" spans="1:4" x14ac:dyDescent="0.2">
      <c r="A274" s="5">
        <v>213</v>
      </c>
      <c r="B274" s="138">
        <f>'Assets-Liab 5-6'!M17</f>
        <v>73551791</v>
      </c>
      <c r="D274" s="2" t="str">
        <f t="shared" si="3"/>
        <v>Error?</v>
      </c>
    </row>
    <row r="275" spans="1:4" x14ac:dyDescent="0.2">
      <c r="A275" s="5">
        <v>214</v>
      </c>
      <c r="B275" s="138">
        <f>'Assets-Liab 5-6'!M18</f>
        <v>18016579</v>
      </c>
      <c r="D275" s="2" t="str">
        <f t="shared" si="3"/>
        <v>Error?</v>
      </c>
    </row>
    <row r="276" spans="1:4" x14ac:dyDescent="0.2">
      <c r="A276" s="5">
        <v>215</v>
      </c>
      <c r="B276" s="138">
        <f>'Assets-Liab 5-6'!M19</f>
        <v>22144251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120993229</v>
      </c>
      <c r="C279" s="2" t="s">
        <v>594</v>
      </c>
      <c r="D279" s="2" t="str">
        <f t="shared" si="3"/>
        <v>Error?</v>
      </c>
    </row>
    <row r="280" spans="1:4" x14ac:dyDescent="0.2">
      <c r="A280" s="5">
        <v>219</v>
      </c>
      <c r="B280" s="138">
        <f>'Assets-Liab 5-6'!M40</f>
        <v>120993229</v>
      </c>
      <c r="D280" s="2" t="str">
        <f t="shared" si="3"/>
        <v>Error?</v>
      </c>
    </row>
    <row r="281" spans="1:4" x14ac:dyDescent="0.2">
      <c r="A281" s="5">
        <v>220</v>
      </c>
      <c r="B281" s="138">
        <f>'Assets-Liab 5-6'!M41</f>
        <v>120993229</v>
      </c>
      <c r="C281" s="2" t="s">
        <v>594</v>
      </c>
      <c r="D281" s="2" t="str">
        <f t="shared" si="3"/>
        <v>Error?</v>
      </c>
    </row>
    <row r="282" spans="1:4" x14ac:dyDescent="0.2">
      <c r="A282" s="5">
        <v>221</v>
      </c>
      <c r="B282" s="138">
        <f>'Assets-Liab 5-6'!N21</f>
        <v>4090827</v>
      </c>
      <c r="D282" s="2" t="str">
        <f t="shared" si="3"/>
        <v>Error?</v>
      </c>
    </row>
    <row r="283" spans="1:4" x14ac:dyDescent="0.2">
      <c r="A283" s="5">
        <v>222</v>
      </c>
      <c r="B283" s="138">
        <f>'Assets-Liab 5-6'!N22</f>
        <v>793720</v>
      </c>
      <c r="D283" s="2" t="str">
        <f t="shared" si="3"/>
        <v>Error?</v>
      </c>
    </row>
    <row r="284" spans="1:4" x14ac:dyDescent="0.2">
      <c r="A284" s="5">
        <v>223</v>
      </c>
      <c r="B284" s="138">
        <f>'Assets-Liab 5-6'!N23</f>
        <v>4884547</v>
      </c>
      <c r="C284" s="2" t="s">
        <v>594</v>
      </c>
      <c r="D284" s="2" t="str">
        <f t="shared" si="3"/>
        <v>Error?</v>
      </c>
    </row>
    <row r="285" spans="1:4" x14ac:dyDescent="0.2">
      <c r="A285" s="5">
        <v>224</v>
      </c>
      <c r="B285" s="138">
        <f>'Assets-Liab 5-6'!N36</f>
        <v>4884547</v>
      </c>
      <c r="D285" s="2" t="str">
        <f t="shared" si="3"/>
        <v>Error?</v>
      </c>
    </row>
    <row r="286" spans="1:4" x14ac:dyDescent="0.2">
      <c r="A286" s="10">
        <v>225</v>
      </c>
      <c r="D286" s="2" t="str">
        <f t="shared" si="3"/>
        <v>OK</v>
      </c>
    </row>
    <row r="287" spans="1:4" x14ac:dyDescent="0.2">
      <c r="A287" s="5">
        <v>226</v>
      </c>
      <c r="B287" s="138">
        <f>'Assets-Liab 5-6'!N37</f>
        <v>4884547</v>
      </c>
      <c r="C287" s="2" t="s">
        <v>594</v>
      </c>
      <c r="D287" s="2" t="str">
        <f t="shared" si="3"/>
        <v>Error?</v>
      </c>
    </row>
    <row r="288" spans="1:4" x14ac:dyDescent="0.2">
      <c r="A288" s="5">
        <v>227</v>
      </c>
      <c r="B288" s="138">
        <f>'Assets-Liab 5-6'!N41</f>
        <v>4884547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10067575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2453550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16456299</v>
      </c>
      <c r="C720" s="2" t="s">
        <v>594</v>
      </c>
      <c r="D720" s="2" t="str">
        <f t="shared" si="10"/>
        <v>Error?</v>
      </c>
    </row>
    <row r="721" spans="1:4" x14ac:dyDescent="0.2">
      <c r="A721" s="5">
        <v>660</v>
      </c>
      <c r="B721" s="138">
        <f>'Expenditures 15-22'!C36</f>
        <v>713762</v>
      </c>
      <c r="D721" s="2" t="str">
        <f t="shared" si="10"/>
        <v>Error?</v>
      </c>
    </row>
    <row r="722" spans="1:4" x14ac:dyDescent="0.2">
      <c r="A722" s="5">
        <v>661</v>
      </c>
      <c r="B722" s="138">
        <f>'Expenditures 15-22'!C37</f>
        <v>892176</v>
      </c>
      <c r="D722" s="2" t="str">
        <f t="shared" si="10"/>
        <v>Error?</v>
      </c>
    </row>
    <row r="723" spans="1:4" x14ac:dyDescent="0.2">
      <c r="A723" s="5">
        <v>662</v>
      </c>
      <c r="B723" s="138">
        <f>'Expenditures 15-22'!C38</f>
        <v>115139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105842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1826919</v>
      </c>
      <c r="C727" s="2" t="s">
        <v>594</v>
      </c>
      <c r="D727" s="2" t="str">
        <f t="shared" si="10"/>
        <v>Error?</v>
      </c>
    </row>
    <row r="728" spans="1:4" x14ac:dyDescent="0.2">
      <c r="A728" s="5">
        <v>667</v>
      </c>
      <c r="B728" s="138">
        <f>'Expenditures 15-22'!C44</f>
        <v>367575</v>
      </c>
      <c r="D728" s="2" t="str">
        <f t="shared" si="10"/>
        <v>Error?</v>
      </c>
    </row>
    <row r="729" spans="1:4" x14ac:dyDescent="0.2">
      <c r="A729" s="5">
        <v>668</v>
      </c>
      <c r="B729" s="138">
        <f>'Expenditures 15-22'!C45</f>
        <v>273331</v>
      </c>
      <c r="D729" s="2" t="str">
        <f t="shared" si="10"/>
        <v>Error?</v>
      </c>
    </row>
    <row r="730" spans="1:4" x14ac:dyDescent="0.2">
      <c r="A730" s="5">
        <v>669</v>
      </c>
      <c r="B730" s="138">
        <f>'Expenditures 15-22'!C46</f>
        <v>25530</v>
      </c>
      <c r="D730" s="2" t="str">
        <f t="shared" si="10"/>
        <v>Error?</v>
      </c>
    </row>
    <row r="731" spans="1:4" x14ac:dyDescent="0.2">
      <c r="A731" s="5">
        <v>670</v>
      </c>
      <c r="B731" s="138">
        <f>'Expenditures 15-22'!C47</f>
        <v>666436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311876</v>
      </c>
      <c r="D733" s="2" t="str">
        <f t="shared" si="10"/>
        <v>Error?</v>
      </c>
    </row>
    <row r="734" spans="1:4" x14ac:dyDescent="0.2">
      <c r="A734" s="5">
        <v>673</v>
      </c>
      <c r="B734" s="138">
        <f>'Expenditures 15-22'!C53</f>
        <v>311876</v>
      </c>
      <c r="C734" s="2" t="s">
        <v>594</v>
      </c>
      <c r="D734" s="2" t="str">
        <f t="shared" si="10"/>
        <v>Error?</v>
      </c>
    </row>
    <row r="735" spans="1:4" x14ac:dyDescent="0.2">
      <c r="A735" s="5">
        <v>674</v>
      </c>
      <c r="B735" s="138">
        <f>'Expenditures 15-22'!C55</f>
        <v>1007691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1007691</v>
      </c>
      <c r="C737" s="2" t="s">
        <v>594</v>
      </c>
      <c r="D737" s="2" t="str">
        <f t="shared" si="10"/>
        <v>Error?</v>
      </c>
    </row>
    <row r="738" spans="1:4" x14ac:dyDescent="0.2">
      <c r="A738" s="5">
        <v>677</v>
      </c>
      <c r="B738" s="138">
        <f>'Expenditures 15-22'!C59</f>
        <v>201074</v>
      </c>
      <c r="D738" s="2" t="str">
        <f t="shared" si="10"/>
        <v>Error?</v>
      </c>
    </row>
    <row r="739" spans="1:4" x14ac:dyDescent="0.2">
      <c r="A739" s="5">
        <v>678</v>
      </c>
      <c r="B739" s="138">
        <f>'Expenditures 15-22'!C60</f>
        <v>182165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383239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635183</v>
      </c>
      <c r="D751" s="2" t="str">
        <f t="shared" si="10"/>
        <v>Error?</v>
      </c>
    </row>
    <row r="752" spans="1:4" x14ac:dyDescent="0.2">
      <c r="A752" s="10">
        <v>691</v>
      </c>
      <c r="D752" s="2" t="str">
        <f t="shared" si="10"/>
        <v>OK</v>
      </c>
    </row>
    <row r="753" spans="1:4" x14ac:dyDescent="0.2">
      <c r="A753" s="5">
        <v>692</v>
      </c>
      <c r="B753" s="138">
        <f>'Expenditures 15-22'!C72</f>
        <v>635183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4831344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21287643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2212139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154051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3207362</v>
      </c>
      <c r="C778" s="2" t="s">
        <v>594</v>
      </c>
      <c r="D778" s="2" t="str">
        <f t="shared" si="11"/>
        <v>Error?</v>
      </c>
    </row>
    <row r="779" spans="1:4" x14ac:dyDescent="0.2">
      <c r="A779" s="5">
        <v>718</v>
      </c>
      <c r="B779" s="138">
        <f>'Expenditures 15-22'!D36</f>
        <v>196980</v>
      </c>
      <c r="D779" s="2" t="str">
        <f t="shared" si="11"/>
        <v>Error?</v>
      </c>
    </row>
    <row r="780" spans="1:4" x14ac:dyDescent="0.2">
      <c r="A780" s="5">
        <v>719</v>
      </c>
      <c r="B780" s="138">
        <f>'Expenditures 15-22'!D37</f>
        <v>154949</v>
      </c>
      <c r="D780" s="2" t="str">
        <f t="shared" si="11"/>
        <v>Error?</v>
      </c>
    </row>
    <row r="781" spans="1:4" x14ac:dyDescent="0.2">
      <c r="A781" s="5">
        <v>720</v>
      </c>
      <c r="B781" s="138">
        <f>'Expenditures 15-22'!D38</f>
        <v>53278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9819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415026</v>
      </c>
      <c r="C785" s="2" t="s">
        <v>594</v>
      </c>
      <c r="D785" s="2" t="str">
        <f t="shared" si="11"/>
        <v>Error?</v>
      </c>
    </row>
    <row r="786" spans="1:4" x14ac:dyDescent="0.2">
      <c r="A786" s="5">
        <v>725</v>
      </c>
      <c r="B786" s="138">
        <f>'Expenditures 15-22'!D44</f>
        <v>89196</v>
      </c>
      <c r="D786" s="2" t="str">
        <f t="shared" si="11"/>
        <v>Error?</v>
      </c>
    </row>
    <row r="787" spans="1:4" x14ac:dyDescent="0.2">
      <c r="A787" s="5">
        <v>726</v>
      </c>
      <c r="B787" s="138">
        <f>'Expenditures 15-22'!D45</f>
        <v>81159</v>
      </c>
      <c r="D787" s="2" t="str">
        <f t="shared" si="11"/>
        <v>Error?</v>
      </c>
    </row>
    <row r="788" spans="1:4" x14ac:dyDescent="0.2">
      <c r="A788" s="5">
        <v>727</v>
      </c>
      <c r="B788" s="138">
        <f>'Expenditures 15-22'!D46</f>
        <v>60</v>
      </c>
      <c r="D788" s="2" t="str">
        <f t="shared" si="11"/>
        <v>Error?</v>
      </c>
    </row>
    <row r="789" spans="1:4" x14ac:dyDescent="0.2">
      <c r="A789" s="5">
        <v>728</v>
      </c>
      <c r="B789" s="138">
        <f>'Expenditures 15-22'!D47</f>
        <v>170415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46411</v>
      </c>
      <c r="D791" s="2" t="str">
        <f t="shared" si="11"/>
        <v>Error?</v>
      </c>
    </row>
    <row r="792" spans="1:4" x14ac:dyDescent="0.2">
      <c r="A792" s="5">
        <v>731</v>
      </c>
      <c r="B792" s="138">
        <f>'Expenditures 15-22'!D53</f>
        <v>46411</v>
      </c>
      <c r="C792" s="2" t="s">
        <v>594</v>
      </c>
      <c r="D792" s="2" t="str">
        <f t="shared" si="11"/>
        <v>Error?</v>
      </c>
    </row>
    <row r="793" spans="1:4" x14ac:dyDescent="0.2">
      <c r="A793" s="5">
        <v>732</v>
      </c>
      <c r="B793" s="138">
        <f>'Expenditures 15-22'!D55</f>
        <v>232407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232407</v>
      </c>
      <c r="C795" s="2" t="s">
        <v>594</v>
      </c>
      <c r="D795" s="2" t="str">
        <f t="shared" si="11"/>
        <v>Error?</v>
      </c>
    </row>
    <row r="796" spans="1:4" x14ac:dyDescent="0.2">
      <c r="A796" s="5">
        <v>735</v>
      </c>
      <c r="B796" s="138">
        <f>'Expenditures 15-22'!D59</f>
        <v>31761</v>
      </c>
      <c r="D796" s="2" t="str">
        <f t="shared" si="11"/>
        <v>Error?</v>
      </c>
    </row>
    <row r="797" spans="1:4" x14ac:dyDescent="0.2">
      <c r="A797" s="5">
        <v>736</v>
      </c>
      <c r="B797" s="138">
        <f>'Expenditures 15-22'!D60</f>
        <v>53231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84992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110782</v>
      </c>
      <c r="D809" s="2" t="str">
        <f t="shared" si="11"/>
        <v>Error?</v>
      </c>
    </row>
    <row r="810" spans="1:4" x14ac:dyDescent="0.2">
      <c r="A810" s="10">
        <v>749</v>
      </c>
      <c r="D810" s="2" t="str">
        <f t="shared" si="11"/>
        <v>OK</v>
      </c>
    </row>
    <row r="811" spans="1:4" x14ac:dyDescent="0.2">
      <c r="A811" s="5">
        <v>750</v>
      </c>
      <c r="B811" s="138">
        <f>'Expenditures 15-22'!D72</f>
        <v>110782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1060033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4267395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250081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1634</v>
      </c>
      <c r="D833" s="2" t="str">
        <f t="shared" si="12"/>
        <v>Error?</v>
      </c>
    </row>
    <row r="834" spans="1:4" x14ac:dyDescent="0.2">
      <c r="A834" s="5">
        <v>773</v>
      </c>
      <c r="B834" s="138">
        <f>'Expenditures 15-22'!E14</f>
        <v>468479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2389714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106351</v>
      </c>
      <c r="D838" s="2" t="str">
        <f t="shared" si="12"/>
        <v>Error?</v>
      </c>
    </row>
    <row r="839" spans="1:4" x14ac:dyDescent="0.2">
      <c r="A839" s="5">
        <v>778</v>
      </c>
      <c r="B839" s="138">
        <f>'Expenditures 15-22'!E38</f>
        <v>17965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124316</v>
      </c>
      <c r="C843" s="2" t="s">
        <v>594</v>
      </c>
      <c r="D843" s="2" t="str">
        <f t="shared" si="12"/>
        <v>Error?</v>
      </c>
    </row>
    <row r="844" spans="1:4" x14ac:dyDescent="0.2">
      <c r="A844" s="5">
        <v>783</v>
      </c>
      <c r="B844" s="138">
        <f>'Expenditures 15-22'!E44</f>
        <v>215063</v>
      </c>
      <c r="D844" s="2" t="str">
        <f t="shared" si="12"/>
        <v>Error?</v>
      </c>
    </row>
    <row r="845" spans="1:4" x14ac:dyDescent="0.2">
      <c r="A845" s="5">
        <v>784</v>
      </c>
      <c r="B845" s="138">
        <f>'Expenditures 15-22'!E45</f>
        <v>40264</v>
      </c>
      <c r="D845" s="2" t="str">
        <f t="shared" si="12"/>
        <v>Error?</v>
      </c>
    </row>
    <row r="846" spans="1:4" x14ac:dyDescent="0.2">
      <c r="A846" s="5">
        <v>785</v>
      </c>
      <c r="B846" s="138">
        <f>'Expenditures 15-22'!E46</f>
        <v>241558</v>
      </c>
      <c r="D846" s="2" t="str">
        <f t="shared" si="12"/>
        <v>Error?</v>
      </c>
    </row>
    <row r="847" spans="1:4" x14ac:dyDescent="0.2">
      <c r="A847" s="5">
        <v>786</v>
      </c>
      <c r="B847" s="138">
        <f>'Expenditures 15-22'!E47</f>
        <v>496885</v>
      </c>
      <c r="C847" s="2" t="s">
        <v>594</v>
      </c>
      <c r="D847" s="2" t="str">
        <f t="shared" si="12"/>
        <v>Error?</v>
      </c>
    </row>
    <row r="848" spans="1:4" x14ac:dyDescent="0.2">
      <c r="A848" s="5">
        <v>787</v>
      </c>
      <c r="B848" s="138">
        <f>'Expenditures 15-22'!E49</f>
        <v>40742</v>
      </c>
      <c r="D848" s="2" t="str">
        <f t="shared" si="12"/>
        <v>Error?</v>
      </c>
    </row>
    <row r="849" spans="1:4" x14ac:dyDescent="0.2">
      <c r="A849" s="5">
        <v>788</v>
      </c>
      <c r="B849" s="138">
        <f>'Expenditures 15-22'!E50</f>
        <v>3912</v>
      </c>
      <c r="D849" s="2" t="str">
        <f t="shared" si="12"/>
        <v>Error?</v>
      </c>
    </row>
    <row r="850" spans="1:4" x14ac:dyDescent="0.2">
      <c r="A850" s="5">
        <v>789</v>
      </c>
      <c r="B850" s="138">
        <f>'Expenditures 15-22'!E53</f>
        <v>44654</v>
      </c>
      <c r="C850" s="2" t="s">
        <v>594</v>
      </c>
      <c r="D850" s="2" t="str">
        <f t="shared" si="12"/>
        <v>Error?</v>
      </c>
    </row>
    <row r="851" spans="1:4" x14ac:dyDescent="0.2">
      <c r="A851" s="5">
        <v>790</v>
      </c>
      <c r="B851" s="138">
        <f>'Expenditures 15-22'!E55</f>
        <v>377740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377740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181716</v>
      </c>
      <c r="D855" s="2" t="str">
        <f t="shared" si="12"/>
        <v>Error?</v>
      </c>
    </row>
    <row r="856" spans="1:4" x14ac:dyDescent="0.2">
      <c r="A856" s="5">
        <v>795</v>
      </c>
      <c r="B856" s="138">
        <f>'Expenditures 15-22'!E61</f>
        <v>379839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709998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1271553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13184</v>
      </c>
      <c r="D864" s="2" t="str">
        <f t="shared" si="12"/>
        <v>Error?</v>
      </c>
    </row>
    <row r="865" spans="1:4" x14ac:dyDescent="0.2">
      <c r="A865" s="5">
        <v>804</v>
      </c>
      <c r="B865" s="138">
        <f>'Expenditures 15-22'!E70</f>
        <v>10685</v>
      </c>
      <c r="D865" s="2" t="str">
        <f t="shared" si="12"/>
        <v>Error?</v>
      </c>
    </row>
    <row r="866" spans="1:4" x14ac:dyDescent="0.2">
      <c r="A866" s="10">
        <v>805</v>
      </c>
      <c r="D866" s="2" t="str">
        <f t="shared" si="12"/>
        <v>OK</v>
      </c>
    </row>
    <row r="867" spans="1:4" x14ac:dyDescent="0.2">
      <c r="A867" s="5">
        <v>806</v>
      </c>
      <c r="B867" s="138">
        <f>'Expenditures 15-22'!E71</f>
        <v>279756</v>
      </c>
      <c r="D867" s="2" t="str">
        <f t="shared" si="12"/>
        <v>Error?</v>
      </c>
    </row>
    <row r="868" spans="1:4" x14ac:dyDescent="0.2">
      <c r="A868" s="10">
        <v>807</v>
      </c>
      <c r="D868" s="2" t="str">
        <f t="shared" si="12"/>
        <v>OK</v>
      </c>
    </row>
    <row r="869" spans="1:4" x14ac:dyDescent="0.2">
      <c r="A869" s="5">
        <v>808</v>
      </c>
      <c r="B869" s="138">
        <f>'Expenditures 15-22'!E72</f>
        <v>303625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2618773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5008487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363301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27774</v>
      </c>
      <c r="D891" s="2" t="str">
        <f t="shared" si="12"/>
        <v>Error?</v>
      </c>
    </row>
    <row r="892" spans="1:4" x14ac:dyDescent="0.2">
      <c r="A892" s="5">
        <v>831</v>
      </c>
      <c r="B892" s="138">
        <f>'Expenditures 15-22'!F14</f>
        <v>252691</v>
      </c>
      <c r="D892" s="2" t="str">
        <f t="shared" si="12"/>
        <v>Error?</v>
      </c>
    </row>
    <row r="893" spans="1:4" x14ac:dyDescent="0.2">
      <c r="A893" s="5">
        <v>832</v>
      </c>
      <c r="B893" s="138">
        <f>'Expenditures 15-22'!F15</f>
        <v>1286</v>
      </c>
      <c r="D893" s="2" t="str">
        <f t="shared" si="12"/>
        <v>Error?</v>
      </c>
    </row>
    <row r="894" spans="1:4" x14ac:dyDescent="0.2">
      <c r="A894" s="5">
        <v>833</v>
      </c>
      <c r="B894" s="138">
        <f>'Expenditures 15-22'!F33</f>
        <v>727576</v>
      </c>
      <c r="C894" s="2" t="s">
        <v>594</v>
      </c>
      <c r="D894" s="2" t="str">
        <f t="shared" si="12"/>
        <v>Error?</v>
      </c>
    </row>
    <row r="895" spans="1:4" x14ac:dyDescent="0.2">
      <c r="A895" s="5">
        <v>834</v>
      </c>
      <c r="B895" s="138">
        <f>'Expenditures 15-22'!F36</f>
        <v>5225</v>
      </c>
      <c r="D895" s="2" t="str">
        <f t="shared" ref="D895:D958" si="13">IF(ISBLANK(B895),"OK",IF(A895-B895=0,"OK","Error?"))</f>
        <v>Error?</v>
      </c>
    </row>
    <row r="896" spans="1:4" x14ac:dyDescent="0.2">
      <c r="A896" s="5">
        <v>835</v>
      </c>
      <c r="B896" s="138">
        <f>'Expenditures 15-22'!F37</f>
        <v>6331</v>
      </c>
      <c r="D896" s="2" t="str">
        <f t="shared" si="13"/>
        <v>Error?</v>
      </c>
    </row>
    <row r="897" spans="1:4" x14ac:dyDescent="0.2">
      <c r="A897" s="5">
        <v>836</v>
      </c>
      <c r="B897" s="138">
        <f>'Expenditures 15-22'!F38</f>
        <v>3247</v>
      </c>
      <c r="D897" s="2" t="str">
        <f t="shared" si="13"/>
        <v>Error?</v>
      </c>
    </row>
    <row r="898" spans="1:4" x14ac:dyDescent="0.2">
      <c r="A898" s="5">
        <v>837</v>
      </c>
      <c r="B898" s="138">
        <f>'Expenditures 15-22'!F39</f>
        <v>1677</v>
      </c>
      <c r="D898" s="2" t="str">
        <f t="shared" si="13"/>
        <v>Error?</v>
      </c>
    </row>
    <row r="899" spans="1:4" x14ac:dyDescent="0.2">
      <c r="A899" s="5">
        <v>838</v>
      </c>
      <c r="B899" s="138">
        <f>'Expenditures 15-22'!F40</f>
        <v>201</v>
      </c>
      <c r="D899" s="2" t="str">
        <f t="shared" si="13"/>
        <v>Error?</v>
      </c>
    </row>
    <row r="900" spans="1:4" x14ac:dyDescent="0.2">
      <c r="A900" s="5">
        <v>839</v>
      </c>
      <c r="B900" s="138">
        <f>'Expenditures 15-22'!F41</f>
        <v>68499</v>
      </c>
      <c r="D900" s="2" t="str">
        <f t="shared" si="13"/>
        <v>Error?</v>
      </c>
    </row>
    <row r="901" spans="1:4" x14ac:dyDescent="0.2">
      <c r="A901" s="5">
        <v>840</v>
      </c>
      <c r="B901" s="138">
        <f>'Expenditures 15-22'!F42</f>
        <v>85180</v>
      </c>
      <c r="C901" s="2" t="s">
        <v>594</v>
      </c>
      <c r="D901" s="2" t="str">
        <f t="shared" si="13"/>
        <v>Error?</v>
      </c>
    </row>
    <row r="902" spans="1:4" x14ac:dyDescent="0.2">
      <c r="A902" s="5">
        <v>841</v>
      </c>
      <c r="B902" s="138">
        <f>'Expenditures 15-22'!F44</f>
        <v>2330</v>
      </c>
      <c r="D902" s="2" t="str">
        <f t="shared" si="13"/>
        <v>Error?</v>
      </c>
    </row>
    <row r="903" spans="1:4" x14ac:dyDescent="0.2">
      <c r="A903" s="5">
        <v>842</v>
      </c>
      <c r="B903" s="138">
        <f>'Expenditures 15-22'!F45</f>
        <v>18728</v>
      </c>
      <c r="D903" s="2" t="str">
        <f t="shared" si="13"/>
        <v>Error?</v>
      </c>
    </row>
    <row r="904" spans="1:4" x14ac:dyDescent="0.2">
      <c r="A904" s="5">
        <v>843</v>
      </c>
      <c r="B904" s="138">
        <f>'Expenditures 15-22'!F46</f>
        <v>11583</v>
      </c>
      <c r="D904" s="2" t="str">
        <f t="shared" si="13"/>
        <v>Error?</v>
      </c>
    </row>
    <row r="905" spans="1:4" x14ac:dyDescent="0.2">
      <c r="A905" s="5">
        <v>844</v>
      </c>
      <c r="B905" s="138">
        <f>'Expenditures 15-22'!F47</f>
        <v>32641</v>
      </c>
      <c r="C905" s="2" t="s">
        <v>594</v>
      </c>
      <c r="D905" s="2" t="str">
        <f t="shared" si="13"/>
        <v>Error?</v>
      </c>
    </row>
    <row r="906" spans="1:4" x14ac:dyDescent="0.2">
      <c r="A906" s="5">
        <v>845</v>
      </c>
      <c r="B906" s="138">
        <f>'Expenditures 15-22'!F49</f>
        <v>3424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3424</v>
      </c>
      <c r="C908" s="2" t="s">
        <v>594</v>
      </c>
      <c r="D908" s="2" t="str">
        <f t="shared" si="13"/>
        <v>Error?</v>
      </c>
    </row>
    <row r="909" spans="1:4" x14ac:dyDescent="0.2">
      <c r="A909" s="5">
        <v>848</v>
      </c>
      <c r="B909" s="138">
        <f>'Expenditures 15-22'!F55</f>
        <v>88555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88555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5894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2725</v>
      </c>
      <c r="D916" s="2" t="str">
        <f t="shared" si="13"/>
        <v>Error?</v>
      </c>
    </row>
    <row r="917" spans="1:4" x14ac:dyDescent="0.2">
      <c r="A917" s="5">
        <v>856</v>
      </c>
      <c r="B917" s="138">
        <f>'Expenditures 15-22'!F64</f>
        <v>180</v>
      </c>
      <c r="D917" s="2" t="str">
        <f t="shared" si="13"/>
        <v>Error?</v>
      </c>
    </row>
    <row r="918" spans="1:4" x14ac:dyDescent="0.2">
      <c r="A918" s="10">
        <v>857</v>
      </c>
      <c r="D918" s="2" t="str">
        <f t="shared" si="13"/>
        <v>OK</v>
      </c>
    </row>
    <row r="919" spans="1:4" x14ac:dyDescent="0.2">
      <c r="A919" s="5">
        <v>858</v>
      </c>
      <c r="B919" s="138">
        <f>'Expenditures 15-22'!F65</f>
        <v>8799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118184</v>
      </c>
      <c r="D925" s="2" t="str">
        <f t="shared" si="13"/>
        <v>Error?</v>
      </c>
    </row>
    <row r="926" spans="1:4" x14ac:dyDescent="0.2">
      <c r="A926" s="10">
        <v>865</v>
      </c>
      <c r="D926" s="2" t="str">
        <f t="shared" si="13"/>
        <v>OK</v>
      </c>
    </row>
    <row r="927" spans="1:4" x14ac:dyDescent="0.2">
      <c r="A927" s="5">
        <v>866</v>
      </c>
      <c r="B927" s="138">
        <f>'Expenditures 15-22'!F72</f>
        <v>118184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336783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1064359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22456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17847</v>
      </c>
      <c r="D949" s="2" t="str">
        <f t="shared" si="13"/>
        <v>Error?</v>
      </c>
    </row>
    <row r="950" spans="1:4" x14ac:dyDescent="0.2">
      <c r="A950" s="5">
        <v>889</v>
      </c>
      <c r="B950" s="138">
        <f>'Expenditures 15-22'!G14</f>
        <v>3059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43362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5120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5120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64968</v>
      </c>
      <c r="D983" s="2" t="str">
        <f t="shared" si="14"/>
        <v>Error?</v>
      </c>
    </row>
    <row r="984" spans="1:4" x14ac:dyDescent="0.2">
      <c r="A984" s="10">
        <v>923</v>
      </c>
      <c r="D984" s="2" t="str">
        <f t="shared" si="14"/>
        <v>OK</v>
      </c>
    </row>
    <row r="985" spans="1:4" x14ac:dyDescent="0.2">
      <c r="A985" s="5">
        <v>924</v>
      </c>
      <c r="B985" s="138">
        <f>'Expenditures 15-22'!G72</f>
        <v>64968</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70088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113450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23690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766348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18861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18861</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18861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1044538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1829747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13433570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47255</v>
      </c>
      <c r="C1105" s="2" t="s">
        <v>594</v>
      </c>
      <c r="D1105" s="2" t="str">
        <f t="shared" si="16"/>
        <v>Error?</v>
      </c>
    </row>
    <row r="1106" spans="1:4" x14ac:dyDescent="0.2">
      <c r="A1106" s="5">
        <v>1045</v>
      </c>
      <c r="B1106" s="138">
        <f>'Expenditures 15-22'!K14</f>
        <v>3526651</v>
      </c>
      <c r="C1106" s="2" t="s">
        <v>594</v>
      </c>
      <c r="D1106" s="2" t="str">
        <f t="shared" si="16"/>
        <v>Error?</v>
      </c>
    </row>
    <row r="1107" spans="1:4" x14ac:dyDescent="0.2">
      <c r="A1107" s="5">
        <v>1046</v>
      </c>
      <c r="B1107" s="138">
        <f>'Expenditures 15-22'!K15</f>
        <v>1286</v>
      </c>
      <c r="C1107" s="2" t="s">
        <v>594</v>
      </c>
      <c r="D1107" s="2" t="str">
        <f t="shared" si="16"/>
        <v>Error?</v>
      </c>
    </row>
    <row r="1108" spans="1:4" x14ac:dyDescent="0.2">
      <c r="A1108" s="5">
        <v>1047</v>
      </c>
      <c r="B1108" s="138">
        <f>'Expenditures 15-22'!K33</f>
        <v>24285389</v>
      </c>
      <c r="C1108" s="2" t="s">
        <v>594</v>
      </c>
      <c r="D1108" s="2" t="str">
        <f t="shared" si="16"/>
        <v>Error?</v>
      </c>
    </row>
    <row r="1109" spans="1:4" x14ac:dyDescent="0.2">
      <c r="A1109" s="5">
        <v>1048</v>
      </c>
      <c r="B1109" s="138">
        <f>'Expenditures 15-22'!K36</f>
        <v>915967</v>
      </c>
      <c r="C1109" s="2" t="s">
        <v>594</v>
      </c>
      <c r="D1109" s="2" t="str">
        <f t="shared" si="16"/>
        <v>Error?</v>
      </c>
    </row>
    <row r="1110" spans="1:4" x14ac:dyDescent="0.2">
      <c r="A1110" s="5">
        <v>1049</v>
      </c>
      <c r="B1110" s="138">
        <f>'Expenditures 15-22'!K37</f>
        <v>1159807</v>
      </c>
      <c r="C1110" s="2" t="s">
        <v>594</v>
      </c>
      <c r="D1110" s="2" t="str">
        <f t="shared" si="16"/>
        <v>Error?</v>
      </c>
    </row>
    <row r="1111" spans="1:4" x14ac:dyDescent="0.2">
      <c r="A1111" s="5">
        <v>1050</v>
      </c>
      <c r="B1111" s="138">
        <f>'Expenditures 15-22'!K38</f>
        <v>190891</v>
      </c>
      <c r="C1111" s="2" t="s">
        <v>594</v>
      </c>
      <c r="D1111" s="2" t="str">
        <f t="shared" si="16"/>
        <v>Error?</v>
      </c>
    </row>
    <row r="1112" spans="1:4" x14ac:dyDescent="0.2">
      <c r="A1112" s="5">
        <v>1051</v>
      </c>
      <c r="B1112" s="138">
        <f>'Expenditures 15-22'!K39</f>
        <v>1677</v>
      </c>
      <c r="C1112" s="2" t="s">
        <v>594</v>
      </c>
      <c r="D1112" s="2" t="str">
        <f t="shared" si="16"/>
        <v>Error?</v>
      </c>
    </row>
    <row r="1113" spans="1:4" x14ac:dyDescent="0.2">
      <c r="A1113" s="5">
        <v>1052</v>
      </c>
      <c r="B1113" s="138">
        <f>'Expenditures 15-22'!K40</f>
        <v>115862</v>
      </c>
      <c r="C1113" s="2" t="s">
        <v>594</v>
      </c>
      <c r="D1113" s="2" t="str">
        <f t="shared" si="16"/>
        <v>Error?</v>
      </c>
    </row>
    <row r="1114" spans="1:4" x14ac:dyDescent="0.2">
      <c r="A1114" s="5">
        <v>1053</v>
      </c>
      <c r="B1114" s="138">
        <f>'Expenditures 15-22'!K41</f>
        <v>68499</v>
      </c>
      <c r="C1114" s="2" t="s">
        <v>594</v>
      </c>
      <c r="D1114" s="2" t="str">
        <f t="shared" si="16"/>
        <v>Error?</v>
      </c>
    </row>
    <row r="1115" spans="1:4" x14ac:dyDescent="0.2">
      <c r="A1115" s="5">
        <v>1054</v>
      </c>
      <c r="B1115" s="138">
        <f>'Expenditures 15-22'!K42</f>
        <v>2452703</v>
      </c>
      <c r="C1115" s="2" t="s">
        <v>594</v>
      </c>
      <c r="D1115" s="2" t="str">
        <f t="shared" si="16"/>
        <v>Error?</v>
      </c>
    </row>
    <row r="1116" spans="1:4" x14ac:dyDescent="0.2">
      <c r="A1116" s="5">
        <v>1055</v>
      </c>
      <c r="B1116" s="138">
        <f>'Expenditures 15-22'!K44</f>
        <v>693025</v>
      </c>
      <c r="C1116" s="2" t="s">
        <v>594</v>
      </c>
      <c r="D1116" s="2" t="str">
        <f t="shared" si="16"/>
        <v>Error?</v>
      </c>
    </row>
    <row r="1117" spans="1:4" x14ac:dyDescent="0.2">
      <c r="A1117" s="5">
        <v>1056</v>
      </c>
      <c r="B1117" s="138">
        <f>'Expenditures 15-22'!K45</f>
        <v>421797</v>
      </c>
      <c r="C1117" s="2" t="s">
        <v>594</v>
      </c>
      <c r="D1117" s="2" t="str">
        <f t="shared" si="16"/>
        <v>Error?</v>
      </c>
    </row>
    <row r="1118" spans="1:4" x14ac:dyDescent="0.2">
      <c r="A1118" s="5">
        <v>1057</v>
      </c>
      <c r="B1118" s="138">
        <f>'Expenditures 15-22'!K46</f>
        <v>278731</v>
      </c>
      <c r="C1118" s="2" t="s">
        <v>594</v>
      </c>
      <c r="D1118" s="2" t="str">
        <f t="shared" si="16"/>
        <v>Error?</v>
      </c>
    </row>
    <row r="1119" spans="1:4" x14ac:dyDescent="0.2">
      <c r="A1119" s="5">
        <v>1058</v>
      </c>
      <c r="B1119" s="138">
        <f>'Expenditures 15-22'!K47</f>
        <v>1393553</v>
      </c>
      <c r="C1119" s="2" t="s">
        <v>594</v>
      </c>
      <c r="D1119" s="2" t="str">
        <f t="shared" si="16"/>
        <v>Error?</v>
      </c>
    </row>
    <row r="1120" spans="1:4" x14ac:dyDescent="0.2">
      <c r="A1120" s="5">
        <v>1059</v>
      </c>
      <c r="B1120" s="138">
        <f>'Expenditures 15-22'!K49</f>
        <v>44166</v>
      </c>
      <c r="C1120" s="2" t="s">
        <v>594</v>
      </c>
      <c r="D1120" s="2" t="str">
        <f t="shared" si="16"/>
        <v>Error?</v>
      </c>
    </row>
    <row r="1121" spans="1:4" x14ac:dyDescent="0.2">
      <c r="A1121" s="5">
        <v>1060</v>
      </c>
      <c r="B1121" s="138">
        <f>'Expenditures 15-22'!K50</f>
        <v>362199</v>
      </c>
      <c r="C1121" s="2" t="s">
        <v>594</v>
      </c>
      <c r="D1121" s="2" t="str">
        <f t="shared" si="16"/>
        <v>Error?</v>
      </c>
    </row>
    <row r="1122" spans="1:4" x14ac:dyDescent="0.2">
      <c r="A1122" s="5">
        <v>1061</v>
      </c>
      <c r="B1122" s="138">
        <f>'Expenditures 15-22'!K53</f>
        <v>406365</v>
      </c>
      <c r="C1122" s="2" t="s">
        <v>594</v>
      </c>
      <c r="D1122" s="2" t="str">
        <f t="shared" si="16"/>
        <v>Error?</v>
      </c>
    </row>
    <row r="1123" spans="1:4" x14ac:dyDescent="0.2">
      <c r="A1123" s="5">
        <v>1062</v>
      </c>
      <c r="B1123" s="138">
        <f>'Expenditures 15-22'!K55</f>
        <v>1720178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1720178</v>
      </c>
      <c r="C1125" s="2" t="s">
        <v>594</v>
      </c>
      <c r="D1125" s="2" t="str">
        <f t="shared" si="16"/>
        <v>Error?</v>
      </c>
    </row>
    <row r="1126" spans="1:4" x14ac:dyDescent="0.2">
      <c r="A1126" s="5">
        <v>1065</v>
      </c>
      <c r="B1126" s="138">
        <f>'Expenditures 15-22'!K59</f>
        <v>232835</v>
      </c>
      <c r="C1126" s="2" t="s">
        <v>594</v>
      </c>
      <c r="D1126" s="2" t="str">
        <f t="shared" si="16"/>
        <v>Error?</v>
      </c>
    </row>
    <row r="1127" spans="1:4" x14ac:dyDescent="0.2">
      <c r="A1127" s="5">
        <v>1066</v>
      </c>
      <c r="B1127" s="138">
        <f>'Expenditures 15-22'!K60</f>
        <v>425806</v>
      </c>
      <c r="C1127" s="2" t="s">
        <v>594</v>
      </c>
      <c r="D1127" s="2" t="str">
        <f t="shared" si="16"/>
        <v>Error?</v>
      </c>
    </row>
    <row r="1128" spans="1:4" x14ac:dyDescent="0.2">
      <c r="A1128" s="5">
        <v>1067</v>
      </c>
      <c r="B1128" s="138">
        <f>'Expenditures 15-22'!K61</f>
        <v>379839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712723</v>
      </c>
      <c r="C1130" s="2" t="s">
        <v>594</v>
      </c>
      <c r="D1130" s="2" t="str">
        <f t="shared" si="16"/>
        <v>Error?</v>
      </c>
    </row>
    <row r="1131" spans="1:4" x14ac:dyDescent="0.2">
      <c r="A1131" s="5">
        <v>1070</v>
      </c>
      <c r="B1131" s="138">
        <f>'Expenditures 15-22'!K64</f>
        <v>180</v>
      </c>
      <c r="C1131" s="2" t="s">
        <v>594</v>
      </c>
      <c r="D1131" s="2" t="str">
        <f t="shared" si="16"/>
        <v>Error?</v>
      </c>
    </row>
    <row r="1132" spans="1:4" x14ac:dyDescent="0.2">
      <c r="A1132" s="10">
        <v>1071</v>
      </c>
      <c r="D1132" s="2" t="str">
        <f t="shared" si="16"/>
        <v>OK</v>
      </c>
    </row>
    <row r="1133" spans="1:4" x14ac:dyDescent="0.2">
      <c r="A1133" s="5">
        <v>1072</v>
      </c>
      <c r="B1133" s="138">
        <f>'Expenditures 15-22'!K65</f>
        <v>1751383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13184</v>
      </c>
      <c r="C1136" s="2" t="s">
        <v>594</v>
      </c>
      <c r="D1136" s="2" t="str">
        <f t="shared" si="16"/>
        <v>Error?</v>
      </c>
    </row>
    <row r="1137" spans="1:4" x14ac:dyDescent="0.2">
      <c r="A1137" s="5">
        <v>1076</v>
      </c>
      <c r="B1137" s="138">
        <f>'Expenditures 15-22'!K70</f>
        <v>10685</v>
      </c>
      <c r="C1137" s="2" t="s">
        <v>594</v>
      </c>
      <c r="D1137" s="2" t="str">
        <f t="shared" si="16"/>
        <v>Error?</v>
      </c>
    </row>
    <row r="1138" spans="1:4" x14ac:dyDescent="0.2">
      <c r="A1138" s="10">
        <v>1077</v>
      </c>
      <c r="D1138" s="2" t="str">
        <f t="shared" si="16"/>
        <v>OK</v>
      </c>
    </row>
    <row r="1139" spans="1:4" x14ac:dyDescent="0.2">
      <c r="A1139" s="5">
        <v>1078</v>
      </c>
      <c r="B1139" s="138">
        <f>'Expenditures 15-22'!K71</f>
        <v>1367427</v>
      </c>
      <c r="C1139" s="2" t="s">
        <v>594</v>
      </c>
      <c r="D1139" s="2" t="str">
        <f t="shared" si="16"/>
        <v>Error?</v>
      </c>
    </row>
    <row r="1140" spans="1:4" x14ac:dyDescent="0.2">
      <c r="A1140" s="10">
        <v>1079</v>
      </c>
      <c r="D1140" s="2" t="str">
        <f t="shared" si="16"/>
        <v>OK</v>
      </c>
    </row>
    <row r="1141" spans="1:4" x14ac:dyDescent="0.2">
      <c r="A1141" s="5">
        <v>1080</v>
      </c>
      <c r="B1141" s="138">
        <f>'Expenditures 15-22'!K72</f>
        <v>1391296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9115478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1044538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34445405</v>
      </c>
      <c r="C1152" s="2" t="s">
        <v>594</v>
      </c>
      <c r="D1152" s="2" t="str">
        <f t="shared" si="17"/>
        <v>Error?</v>
      </c>
    </row>
    <row r="1153" spans="1:4" x14ac:dyDescent="0.2">
      <c r="A1153" s="5">
        <v>1092</v>
      </c>
      <c r="B1153" s="138">
        <f>'Expenditures 15-22'!K115</f>
        <v>4096465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123170</v>
      </c>
      <c r="D1221" s="2" t="str">
        <f t="shared" si="18"/>
        <v>Error?</v>
      </c>
    </row>
    <row r="1222" spans="1:4" x14ac:dyDescent="0.2">
      <c r="A1222" s="10">
        <v>1161</v>
      </c>
      <c r="D1222" s="2" t="str">
        <f t="shared" si="18"/>
        <v>OK</v>
      </c>
    </row>
    <row r="1223" spans="1:4" x14ac:dyDescent="0.2">
      <c r="A1223" s="5">
        <v>1162</v>
      </c>
      <c r="B1223" s="138">
        <f>'Expenditures 15-22'!C127</f>
        <v>123170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123170</v>
      </c>
      <c r="C1225" s="2" t="s">
        <v>594</v>
      </c>
      <c r="D1225" s="2" t="str">
        <f t="shared" si="18"/>
        <v>Error?</v>
      </c>
    </row>
    <row r="1226" spans="1:4" x14ac:dyDescent="0.2">
      <c r="A1226" s="5">
        <v>1165</v>
      </c>
      <c r="B1226" s="138">
        <f>'Expenditures 15-22'!C151</f>
        <v>123170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9083</v>
      </c>
      <c r="D1229" s="2" t="str">
        <f t="shared" si="18"/>
        <v>Error?</v>
      </c>
    </row>
    <row r="1230" spans="1:4" x14ac:dyDescent="0.2">
      <c r="A1230" s="10">
        <v>1169</v>
      </c>
      <c r="D1230" s="2" t="str">
        <f t="shared" si="18"/>
        <v>OK</v>
      </c>
    </row>
    <row r="1231" spans="1:4" x14ac:dyDescent="0.2">
      <c r="A1231" s="5">
        <v>1170</v>
      </c>
      <c r="B1231" s="138">
        <f>'Expenditures 15-22'!D127</f>
        <v>9083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9083</v>
      </c>
      <c r="C1233" s="2" t="s">
        <v>594</v>
      </c>
      <c r="D1233" s="2" t="str">
        <f t="shared" si="18"/>
        <v>Error?</v>
      </c>
    </row>
    <row r="1234" spans="1:4" x14ac:dyDescent="0.2">
      <c r="A1234" s="5">
        <v>1173</v>
      </c>
      <c r="B1234" s="138">
        <f>'Expenditures 15-22'!D151</f>
        <v>9083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3525545</v>
      </c>
      <c r="D1237" s="2" t="str">
        <f t="shared" si="18"/>
        <v>Error?</v>
      </c>
    </row>
    <row r="1238" spans="1:4" x14ac:dyDescent="0.2">
      <c r="A1238" s="10">
        <v>1177</v>
      </c>
      <c r="D1238" s="2" t="str">
        <f t="shared" si="18"/>
        <v>OK</v>
      </c>
    </row>
    <row r="1239" spans="1:4" x14ac:dyDescent="0.2">
      <c r="A1239" s="5">
        <v>1178</v>
      </c>
      <c r="B1239" s="138">
        <f>'Expenditures 15-22'!E127</f>
        <v>3525545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3525545</v>
      </c>
      <c r="C1241" s="2" t="s">
        <v>594</v>
      </c>
      <c r="D1241" s="2" t="str">
        <f t="shared" si="18"/>
        <v>Error?</v>
      </c>
    </row>
    <row r="1242" spans="1:4" x14ac:dyDescent="0.2">
      <c r="A1242" s="5">
        <v>1181</v>
      </c>
      <c r="B1242" s="138">
        <f>'Expenditures 15-22'!E151</f>
        <v>3525545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1092140</v>
      </c>
      <c r="D1245" s="2" t="str">
        <f t="shared" si="18"/>
        <v>Error?</v>
      </c>
    </row>
    <row r="1246" spans="1:4" x14ac:dyDescent="0.2">
      <c r="A1246" s="10">
        <v>1185</v>
      </c>
      <c r="D1246" s="2" t="str">
        <f t="shared" si="18"/>
        <v>OK</v>
      </c>
    </row>
    <row r="1247" spans="1:4" x14ac:dyDescent="0.2">
      <c r="A1247" s="5">
        <v>1186</v>
      </c>
      <c r="B1247" s="138">
        <f>'Expenditures 15-22'!F127</f>
        <v>1092140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1092140</v>
      </c>
      <c r="C1249" s="2" t="s">
        <v>594</v>
      </c>
      <c r="D1249" s="2" t="str">
        <f t="shared" si="18"/>
        <v>Error?</v>
      </c>
    </row>
    <row r="1250" spans="1:4" x14ac:dyDescent="0.2">
      <c r="A1250" s="5">
        <v>1189</v>
      </c>
      <c r="B1250" s="138">
        <f>'Expenditures 15-22'!F151</f>
        <v>1092140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2084133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2084133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2084133</v>
      </c>
      <c r="C1258" s="2" t="s">
        <v>594</v>
      </c>
      <c r="D1258" s="2" t="str">
        <f t="shared" si="18"/>
        <v>Error?</v>
      </c>
    </row>
    <row r="1259" spans="1:4" x14ac:dyDescent="0.2">
      <c r="A1259" s="5">
        <v>1198</v>
      </c>
      <c r="B1259" s="138">
        <f>'Expenditures 15-22'!G151</f>
        <v>2084133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106357</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106357</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6907541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6907541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6907541</v>
      </c>
      <c r="C1281" s="2" t="s">
        <v>594</v>
      </c>
      <c r="D1281" s="2" t="str">
        <f t="shared" si="19"/>
        <v>Error?</v>
      </c>
    </row>
    <row r="1282" spans="1:4" x14ac:dyDescent="0.2">
      <c r="A1282" s="5">
        <v>1221</v>
      </c>
      <c r="B1282" s="138">
        <f>'Expenditures 15-22'!K139</f>
        <v>106357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7013898</v>
      </c>
      <c r="C1288" s="2" t="s">
        <v>594</v>
      </c>
      <c r="D1288" s="2" t="str">
        <f t="shared" si="19"/>
        <v>Error?</v>
      </c>
    </row>
    <row r="1289" spans="1:4" x14ac:dyDescent="0.2">
      <c r="A1289" s="5">
        <v>1228</v>
      </c>
      <c r="B1289" s="138">
        <f>'Expenditures 15-22'!K152</f>
        <v>810191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5602021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2113515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7715536</v>
      </c>
      <c r="C1317" s="2" t="s">
        <v>594</v>
      </c>
      <c r="D1317" s="2" t="str">
        <f t="shared" si="19"/>
        <v>Error?</v>
      </c>
    </row>
    <row r="1318" spans="1:4" x14ac:dyDescent="0.2">
      <c r="A1318" s="5">
        <v>1257</v>
      </c>
      <c r="B1318" s="138">
        <f>'Expenditures 15-22'!H174</f>
        <v>7715536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5602021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2113515</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7715536</v>
      </c>
      <c r="C1331" s="2" t="s">
        <v>594</v>
      </c>
      <c r="D1331" s="2" t="str">
        <f t="shared" si="19"/>
        <v>Error?</v>
      </c>
    </row>
    <row r="1332" spans="1:4" x14ac:dyDescent="0.2">
      <c r="A1332" s="5">
        <v>1271</v>
      </c>
      <c r="B1332" s="138">
        <f>'Expenditures 15-22'!K174</f>
        <v>7715536</v>
      </c>
      <c r="C1332" s="2" t="s">
        <v>594</v>
      </c>
      <c r="D1332" s="2" t="str">
        <f t="shared" si="19"/>
        <v>Error?</v>
      </c>
    </row>
    <row r="1333" spans="1:4" x14ac:dyDescent="0.2">
      <c r="A1333" s="5">
        <v>1272</v>
      </c>
      <c r="B1333" s="138">
        <f>'Expenditures 15-22'!K175</f>
        <v>-754307</v>
      </c>
      <c r="C1333" s="2" t="s">
        <v>594</v>
      </c>
      <c r="D1333" s="2" t="str">
        <f t="shared" si="19"/>
        <v>Error?</v>
      </c>
    </row>
    <row r="1334" spans="1:4" x14ac:dyDescent="0.2">
      <c r="A1334" s="10">
        <v>1273</v>
      </c>
      <c r="D1334" s="2" t="str">
        <f t="shared" si="19"/>
        <v>OK</v>
      </c>
    </row>
    <row r="1335" spans="1:4" x14ac:dyDescent="0.2">
      <c r="A1335" s="5">
        <v>1274</v>
      </c>
      <c r="B1335" s="138">
        <f>'Expenditures 15-22'!C182</f>
        <v>14174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14174</v>
      </c>
      <c r="C1339" s="2" t="s">
        <v>594</v>
      </c>
      <c r="D1339" s="2" t="str">
        <f t="shared" si="19"/>
        <v>Error?</v>
      </c>
    </row>
    <row r="1340" spans="1:4" x14ac:dyDescent="0.2">
      <c r="A1340" s="5">
        <v>1279</v>
      </c>
      <c r="B1340" s="138">
        <f>'Expenditures 15-22'!C210</f>
        <v>14174</v>
      </c>
      <c r="C1340" s="2" t="s">
        <v>594</v>
      </c>
      <c r="D1340" s="2" t="str">
        <f t="shared" si="19"/>
        <v>Error?</v>
      </c>
    </row>
    <row r="1341" spans="1:4" x14ac:dyDescent="0.2">
      <c r="A1341" s="5">
        <v>1280</v>
      </c>
      <c r="B1341" s="138">
        <f>'Expenditures 15-22'!D182</f>
        <v>2207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2207</v>
      </c>
      <c r="C1345" s="2" t="s">
        <v>594</v>
      </c>
      <c r="D1345" s="2" t="str">
        <f t="shared" si="20"/>
        <v>Error?</v>
      </c>
    </row>
    <row r="1346" spans="1:4" x14ac:dyDescent="0.2">
      <c r="A1346" s="5">
        <v>1285</v>
      </c>
      <c r="B1346" s="138">
        <f>'Expenditures 15-22'!D210</f>
        <v>2207</v>
      </c>
      <c r="C1346" s="2" t="s">
        <v>594</v>
      </c>
      <c r="D1346" s="2" t="str">
        <f t="shared" si="20"/>
        <v>Error?</v>
      </c>
    </row>
    <row r="1347" spans="1:4" x14ac:dyDescent="0.2">
      <c r="A1347" s="5">
        <v>1286</v>
      </c>
      <c r="B1347" s="138">
        <f>'Expenditures 15-22'!E182</f>
        <v>2512659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2512659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2512659</v>
      </c>
      <c r="C1353" s="2" t="s">
        <v>594</v>
      </c>
      <c r="D1353" s="2" t="str">
        <f t="shared" si="20"/>
        <v>Error?</v>
      </c>
    </row>
    <row r="1354" spans="1:4" x14ac:dyDescent="0.2">
      <c r="A1354" s="5">
        <v>1293</v>
      </c>
      <c r="B1354" s="138">
        <f>'Expenditures 15-22'!F182</f>
        <v>191083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191083</v>
      </c>
      <c r="C1358" s="2" t="s">
        <v>594</v>
      </c>
      <c r="D1358" s="2" t="str">
        <f t="shared" si="20"/>
        <v>Error?</v>
      </c>
    </row>
    <row r="1359" spans="1:4" x14ac:dyDescent="0.2">
      <c r="A1359" s="5">
        <v>1298</v>
      </c>
      <c r="B1359" s="138">
        <f>'Expenditures 15-22'!F210</f>
        <v>191083</v>
      </c>
      <c r="C1359" s="2" t="s">
        <v>594</v>
      </c>
      <c r="D1359" s="2" t="str">
        <f t="shared" si="20"/>
        <v>Error?</v>
      </c>
    </row>
    <row r="1360" spans="1:4" x14ac:dyDescent="0.2">
      <c r="A1360" s="5">
        <v>1299</v>
      </c>
      <c r="B1360" s="138">
        <f>'Expenditures 15-22'!G182</f>
        <v>55750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55750</v>
      </c>
      <c r="C1364" s="2" t="s">
        <v>594</v>
      </c>
      <c r="D1364" s="2" t="str">
        <f t="shared" si="20"/>
        <v>Error?</v>
      </c>
    </row>
    <row r="1365" spans="1:4" x14ac:dyDescent="0.2">
      <c r="A1365" s="5">
        <v>1304</v>
      </c>
      <c r="B1365" s="138">
        <f>'Expenditures 15-22'!G210</f>
        <v>55750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2775873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2775873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2775873</v>
      </c>
      <c r="C1388" s="2" t="s">
        <v>594</v>
      </c>
      <c r="D1388" s="2" t="str">
        <f t="shared" si="20"/>
        <v>Error?</v>
      </c>
    </row>
    <row r="1389" spans="1:4" x14ac:dyDescent="0.2">
      <c r="A1389" s="5">
        <v>1328</v>
      </c>
      <c r="B1389" s="138">
        <f>'Expenditures 15-22'!K211</f>
        <v>671178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87897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474538</v>
      </c>
      <c r="C1410" s="2" t="s">
        <v>594</v>
      </c>
      <c r="D1410" s="2" t="str">
        <f t="shared" si="21"/>
        <v>Error?</v>
      </c>
    </row>
    <row r="1411" spans="1:4" x14ac:dyDescent="0.2">
      <c r="A1411" s="5">
        <v>1350</v>
      </c>
      <c r="B1411" s="138">
        <f>'Expenditures 15-22'!D232</f>
        <v>39971</v>
      </c>
      <c r="D1411" s="2" t="str">
        <f t="shared" si="21"/>
        <v>Error?</v>
      </c>
    </row>
    <row r="1412" spans="1:4" x14ac:dyDescent="0.2">
      <c r="A1412" s="5">
        <v>1351</v>
      </c>
      <c r="B1412" s="138">
        <f>'Expenditures 15-22'!D233</f>
        <v>40260</v>
      </c>
      <c r="D1412" s="2" t="str">
        <f t="shared" si="21"/>
        <v>Error?</v>
      </c>
    </row>
    <row r="1413" spans="1:4" x14ac:dyDescent="0.2">
      <c r="A1413" s="5">
        <v>1352</v>
      </c>
      <c r="B1413" s="138">
        <f>'Expenditures 15-22'!D234</f>
        <v>17575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4735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102541</v>
      </c>
      <c r="C1417" s="2" t="s">
        <v>594</v>
      </c>
      <c r="D1417" s="2" t="str">
        <f t="shared" si="21"/>
        <v>Error?</v>
      </c>
    </row>
    <row r="1418" spans="1:4" x14ac:dyDescent="0.2">
      <c r="A1418" s="5">
        <v>1357</v>
      </c>
      <c r="B1418" s="138">
        <f>'Expenditures 15-22'!D240</f>
        <v>3583</v>
      </c>
      <c r="D1418" s="2" t="str">
        <f t="shared" si="21"/>
        <v>Error?</v>
      </c>
    </row>
    <row r="1419" spans="1:4" x14ac:dyDescent="0.2">
      <c r="A1419" s="5">
        <v>1358</v>
      </c>
      <c r="B1419" s="138">
        <f>'Expenditures 15-22'!D241</f>
        <v>20725</v>
      </c>
      <c r="D1419" s="2" t="str">
        <f t="shared" si="21"/>
        <v>Error?</v>
      </c>
    </row>
    <row r="1420" spans="1:4" x14ac:dyDescent="0.2">
      <c r="A1420" s="5">
        <v>1359</v>
      </c>
      <c r="B1420" s="138">
        <f>'Expenditures 15-22'!D242</f>
        <v>439</v>
      </c>
      <c r="D1420" s="2" t="str">
        <f t="shared" si="21"/>
        <v>Error?</v>
      </c>
    </row>
    <row r="1421" spans="1:4" x14ac:dyDescent="0.2">
      <c r="A1421" s="5">
        <v>1360</v>
      </c>
      <c r="B1421" s="138">
        <f>'Expenditures 15-22'!D243</f>
        <v>24747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17597</v>
      </c>
      <c r="D1423" s="2" t="str">
        <f t="shared" si="21"/>
        <v>Error?</v>
      </c>
    </row>
    <row r="1424" spans="1:4" x14ac:dyDescent="0.2">
      <c r="A1424" s="5">
        <v>1363</v>
      </c>
      <c r="B1424" s="138">
        <f>'Expenditures 15-22'!D257</f>
        <v>17597</v>
      </c>
      <c r="C1424" s="2" t="s">
        <v>594</v>
      </c>
      <c r="D1424" s="2" t="str">
        <f t="shared" si="21"/>
        <v>Error?</v>
      </c>
    </row>
    <row r="1425" spans="1:4" x14ac:dyDescent="0.2">
      <c r="A1425" s="5">
        <v>1364</v>
      </c>
      <c r="B1425" s="138">
        <f>'Expenditures 15-22'!D259</f>
        <v>54434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54434</v>
      </c>
      <c r="C1427" s="2" t="s">
        <v>594</v>
      </c>
      <c r="D1427" s="2" t="str">
        <f t="shared" si="21"/>
        <v>Error?</v>
      </c>
    </row>
    <row r="1428" spans="1:4" x14ac:dyDescent="0.2">
      <c r="A1428" s="5">
        <v>1367</v>
      </c>
      <c r="B1428" s="138">
        <f>'Expenditures 15-22'!D263</f>
        <v>2922</v>
      </c>
      <c r="D1428" s="2" t="str">
        <f t="shared" si="21"/>
        <v>Error?</v>
      </c>
    </row>
    <row r="1429" spans="1:4" x14ac:dyDescent="0.2">
      <c r="A1429" s="5">
        <v>1368</v>
      </c>
      <c r="B1429" s="138">
        <f>'Expenditures 15-22'!D264</f>
        <v>28535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17465</v>
      </c>
      <c r="D1431" s="2" t="str">
        <f t="shared" si="21"/>
        <v>Error?</v>
      </c>
    </row>
    <row r="1432" spans="1:4" x14ac:dyDescent="0.2">
      <c r="A1432" s="5">
        <v>1371</v>
      </c>
      <c r="B1432" s="138">
        <f>'Expenditures 15-22'!D267</f>
        <v>555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49477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41</v>
      </c>
      <c r="D1440" s="2" t="str">
        <f t="shared" si="21"/>
        <v>Error?</v>
      </c>
    </row>
    <row r="1441" spans="1:4" x14ac:dyDescent="0.2">
      <c r="A1441" s="10">
        <v>1380</v>
      </c>
      <c r="D1441" s="2" t="str">
        <f t="shared" si="21"/>
        <v>OK</v>
      </c>
    </row>
    <row r="1442" spans="1:4" x14ac:dyDescent="0.2">
      <c r="A1442" s="5">
        <v>1381</v>
      </c>
      <c r="B1442" s="138">
        <f>'Expenditures 15-22'!D276</f>
        <v>93154</v>
      </c>
      <c r="D1442" s="2" t="str">
        <f t="shared" si="21"/>
        <v>Error?</v>
      </c>
    </row>
    <row r="1443" spans="1:4" x14ac:dyDescent="0.2">
      <c r="A1443" s="10">
        <v>1382</v>
      </c>
      <c r="D1443" s="2" t="str">
        <f t="shared" si="21"/>
        <v>OK</v>
      </c>
    </row>
    <row r="1444" spans="1:4" x14ac:dyDescent="0.2">
      <c r="A1444" s="5">
        <v>1383</v>
      </c>
      <c r="B1444" s="138">
        <f>'Expenditures 15-22'!D277</f>
        <v>93195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341991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816529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87897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474538</v>
      </c>
      <c r="C1474" s="2" t="s">
        <v>594</v>
      </c>
      <c r="D1474" s="2" t="str">
        <f t="shared" si="22"/>
        <v>Error?</v>
      </c>
    </row>
    <row r="1475" spans="1:4" x14ac:dyDescent="0.2">
      <c r="A1475" s="5">
        <v>1414</v>
      </c>
      <c r="B1475" s="138">
        <f>'Expenditures 15-22'!K232</f>
        <v>39971</v>
      </c>
      <c r="C1475" s="2" t="s">
        <v>594</v>
      </c>
      <c r="D1475" s="2" t="str">
        <f t="shared" si="22"/>
        <v>Error?</v>
      </c>
    </row>
    <row r="1476" spans="1:4" x14ac:dyDescent="0.2">
      <c r="A1476" s="5">
        <v>1415</v>
      </c>
      <c r="B1476" s="138">
        <f>'Expenditures 15-22'!K233</f>
        <v>40260</v>
      </c>
      <c r="C1476" s="2" t="s">
        <v>594</v>
      </c>
      <c r="D1476" s="2" t="str">
        <f t="shared" si="22"/>
        <v>Error?</v>
      </c>
    </row>
    <row r="1477" spans="1:4" x14ac:dyDescent="0.2">
      <c r="A1477" s="5">
        <v>1416</v>
      </c>
      <c r="B1477" s="138">
        <f>'Expenditures 15-22'!K234</f>
        <v>17575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4735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102541</v>
      </c>
      <c r="C1481" s="2" t="s">
        <v>594</v>
      </c>
      <c r="D1481" s="2" t="str">
        <f t="shared" si="22"/>
        <v>Error?</v>
      </c>
    </row>
    <row r="1482" spans="1:4" x14ac:dyDescent="0.2">
      <c r="A1482" s="5">
        <v>1421</v>
      </c>
      <c r="B1482" s="138">
        <f>'Expenditures 15-22'!K240</f>
        <v>3583</v>
      </c>
      <c r="C1482" s="2" t="s">
        <v>594</v>
      </c>
      <c r="D1482" s="2" t="str">
        <f t="shared" si="22"/>
        <v>Error?</v>
      </c>
    </row>
    <row r="1483" spans="1:4" x14ac:dyDescent="0.2">
      <c r="A1483" s="5">
        <v>1422</v>
      </c>
      <c r="B1483" s="138">
        <f>'Expenditures 15-22'!K241</f>
        <v>20725</v>
      </c>
      <c r="C1483" s="2" t="s">
        <v>594</v>
      </c>
      <c r="D1483" s="2" t="str">
        <f t="shared" si="22"/>
        <v>Error?</v>
      </c>
    </row>
    <row r="1484" spans="1:4" x14ac:dyDescent="0.2">
      <c r="A1484" s="5">
        <v>1423</v>
      </c>
      <c r="B1484" s="138">
        <f>'Expenditures 15-22'!K242</f>
        <v>439</v>
      </c>
      <c r="C1484" s="2" t="s">
        <v>594</v>
      </c>
      <c r="D1484" s="2" t="str">
        <f t="shared" si="22"/>
        <v>Error?</v>
      </c>
    </row>
    <row r="1485" spans="1:4" x14ac:dyDescent="0.2">
      <c r="A1485" s="5">
        <v>1424</v>
      </c>
      <c r="B1485" s="138">
        <f>'Expenditures 15-22'!K243</f>
        <v>24747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17597</v>
      </c>
      <c r="C1487" s="2" t="s">
        <v>594</v>
      </c>
      <c r="D1487" s="2" t="str">
        <f t="shared" si="22"/>
        <v>Error?</v>
      </c>
    </row>
    <row r="1488" spans="1:4" x14ac:dyDescent="0.2">
      <c r="A1488" s="5">
        <v>1427</v>
      </c>
      <c r="B1488" s="138">
        <f>'Expenditures 15-22'!K257</f>
        <v>17597</v>
      </c>
      <c r="C1488" s="2" t="s">
        <v>594</v>
      </c>
      <c r="D1488" s="2" t="str">
        <f t="shared" si="22"/>
        <v>Error?</v>
      </c>
    </row>
    <row r="1489" spans="1:4" x14ac:dyDescent="0.2">
      <c r="A1489" s="5">
        <v>1428</v>
      </c>
      <c r="B1489" s="138">
        <f>'Expenditures 15-22'!K259</f>
        <v>54434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54434</v>
      </c>
      <c r="C1491" s="2" t="s">
        <v>594</v>
      </c>
      <c r="D1491" s="2" t="str">
        <f t="shared" si="22"/>
        <v>Error?</v>
      </c>
    </row>
    <row r="1492" spans="1:4" x14ac:dyDescent="0.2">
      <c r="A1492" s="5">
        <v>1431</v>
      </c>
      <c r="B1492" s="138">
        <f>'Expenditures 15-22'!K263</f>
        <v>2922</v>
      </c>
      <c r="C1492" s="2" t="s">
        <v>594</v>
      </c>
      <c r="D1492" s="2" t="str">
        <f t="shared" si="22"/>
        <v>Error?</v>
      </c>
    </row>
    <row r="1493" spans="1:4" x14ac:dyDescent="0.2">
      <c r="A1493" s="5">
        <v>1432</v>
      </c>
      <c r="B1493" s="138">
        <f>'Expenditures 15-22'!K264</f>
        <v>28535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17465</v>
      </c>
      <c r="C1495" s="2" t="s">
        <v>594</v>
      </c>
      <c r="D1495" s="2" t="str">
        <f t="shared" si="22"/>
        <v>Error?</v>
      </c>
    </row>
    <row r="1496" spans="1:4" x14ac:dyDescent="0.2">
      <c r="A1496" s="5">
        <v>1435</v>
      </c>
      <c r="B1496" s="138">
        <f>'Expenditures 15-22'!K267</f>
        <v>555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49477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41</v>
      </c>
      <c r="C1504" s="2" t="s">
        <v>594</v>
      </c>
      <c r="D1504" s="2" t="str">
        <f t="shared" si="22"/>
        <v>Error?</v>
      </c>
    </row>
    <row r="1505" spans="1:4" x14ac:dyDescent="0.2">
      <c r="A1505" s="10">
        <v>1444</v>
      </c>
      <c r="D1505" s="2" t="str">
        <f t="shared" si="22"/>
        <v>OK</v>
      </c>
    </row>
    <row r="1506" spans="1:4" x14ac:dyDescent="0.2">
      <c r="A1506" s="5">
        <v>1445</v>
      </c>
      <c r="B1506" s="138">
        <f>'Expenditures 15-22'!K276</f>
        <v>93154</v>
      </c>
      <c r="C1506" s="2" t="s">
        <v>594</v>
      </c>
      <c r="D1506" s="2" t="str">
        <f t="shared" si="22"/>
        <v>Error?</v>
      </c>
    </row>
    <row r="1507" spans="1:4" x14ac:dyDescent="0.2">
      <c r="A1507" s="10">
        <v>1446</v>
      </c>
      <c r="D1507" s="2" t="str">
        <f t="shared" si="22"/>
        <v>OK</v>
      </c>
    </row>
    <row r="1508" spans="1:4" x14ac:dyDescent="0.2">
      <c r="A1508" s="5">
        <v>1447</v>
      </c>
      <c r="B1508" s="138">
        <f>'Expenditures 15-22'!K277</f>
        <v>93195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341991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816529</v>
      </c>
      <c r="C1517" s="2" t="s">
        <v>594</v>
      </c>
      <c r="D1517" s="2" t="str">
        <f t="shared" si="22"/>
        <v>Error?</v>
      </c>
    </row>
    <row r="1518" spans="1:4" x14ac:dyDescent="0.2">
      <c r="A1518" s="5">
        <v>1457</v>
      </c>
      <c r="B1518" s="138">
        <f>'Expenditures 15-22'!K296</f>
        <v>23986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28077478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31277329</v>
      </c>
      <c r="C1630" s="2" t="s">
        <v>594</v>
      </c>
      <c r="D1630" s="2" t="str">
        <f t="shared" si="24"/>
        <v>Error?</v>
      </c>
    </row>
    <row r="1631" spans="1:4" x14ac:dyDescent="0.2">
      <c r="A1631" s="5">
        <v>1570</v>
      </c>
      <c r="B1631" s="138">
        <f>'Acct Summary 7-8'!D79</f>
        <v>4997191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5602787</v>
      </c>
      <c r="C1644" s="2" t="s">
        <v>594</v>
      </c>
      <c r="D1644" s="2" t="str">
        <f t="shared" si="24"/>
        <v>Error?</v>
      </c>
    </row>
    <row r="1645" spans="1:4" x14ac:dyDescent="0.2">
      <c r="A1645" s="5">
        <v>1584</v>
      </c>
      <c r="B1645" s="138">
        <f>'Acct Summary 7-8'!E79</f>
        <v>3628841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4090827</v>
      </c>
      <c r="C1658" s="2" t="s">
        <v>594</v>
      </c>
      <c r="D1658" s="2" t="str">
        <f t="shared" si="24"/>
        <v>Error?</v>
      </c>
    </row>
    <row r="1659" spans="1:4" x14ac:dyDescent="0.2">
      <c r="A1659" s="5">
        <v>1598</v>
      </c>
      <c r="B1659" s="138">
        <f>'Acct Summary 7-8'!F79</f>
        <v>1248311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1919489</v>
      </c>
      <c r="C1672" s="2" t="s">
        <v>594</v>
      </c>
      <c r="D1672" s="2" t="str">
        <f t="shared" si="25"/>
        <v>Error?</v>
      </c>
    </row>
    <row r="1673" spans="1:4" x14ac:dyDescent="0.2">
      <c r="A1673" s="5">
        <v>1612</v>
      </c>
      <c r="B1673" s="138">
        <f>'Acct Summary 7-8'!G79</f>
        <v>321710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345696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27147379</v>
      </c>
      <c r="C1744" s="2" t="s">
        <v>594</v>
      </c>
      <c r="D1744" s="2" t="str">
        <f t="shared" si="26"/>
        <v>Error?</v>
      </c>
    </row>
    <row r="1745" spans="1:5" x14ac:dyDescent="0.2">
      <c r="A1745" s="5">
        <v>1684</v>
      </c>
      <c r="B1745" s="138">
        <f>'Tax Sched 23'!B5</f>
        <v>5985841</v>
      </c>
      <c r="C1745" s="2" t="s">
        <v>594</v>
      </c>
      <c r="D1745" s="2" t="str">
        <f t="shared" si="26"/>
        <v>Error?</v>
      </c>
    </row>
    <row r="1746" spans="1:5" x14ac:dyDescent="0.2">
      <c r="A1746" s="5">
        <v>1685</v>
      </c>
      <c r="B1746" s="138">
        <f>'Tax Sched 23'!B6</f>
        <v>6946986</v>
      </c>
      <c r="C1746" s="2" t="s">
        <v>594</v>
      </c>
      <c r="D1746" s="2" t="str">
        <f t="shared" si="26"/>
        <v>Error?</v>
      </c>
    </row>
    <row r="1747" spans="1:5" x14ac:dyDescent="0.2">
      <c r="A1747" s="5">
        <v>1686</v>
      </c>
      <c r="B1747" s="138">
        <f>'Tax Sched 23'!B7</f>
        <v>1622652</v>
      </c>
      <c r="C1747" s="2" t="s">
        <v>594</v>
      </c>
      <c r="D1747" s="2" t="str">
        <f t="shared" si="26"/>
        <v>Error?</v>
      </c>
    </row>
    <row r="1748" spans="1:5" x14ac:dyDescent="0.2">
      <c r="A1748" s="5">
        <v>1687</v>
      </c>
      <c r="B1748" s="138">
        <f>'Tax Sched 23'!B8</f>
        <v>88723</v>
      </c>
      <c r="C1748" s="2" t="s">
        <v>594</v>
      </c>
      <c r="D1748" s="2" t="str">
        <f t="shared" si="26"/>
        <v>Error?</v>
      </c>
    </row>
    <row r="1749" spans="1:5" x14ac:dyDescent="0.2">
      <c r="A1749" s="5">
        <v>1688</v>
      </c>
      <c r="B1749" s="138">
        <f>'Tax Sched 23'!B10</f>
        <v>60417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263908</v>
      </c>
      <c r="C1752" s="2" t="s">
        <v>594</v>
      </c>
      <c r="D1752" s="2" t="str">
        <f t="shared" si="26"/>
        <v>Error?</v>
      </c>
    </row>
    <row r="1753" spans="1:5" x14ac:dyDescent="0.2">
      <c r="A1753" s="5">
        <v>1692</v>
      </c>
      <c r="B1753" s="138">
        <f>'Tax Sched 23'!B12</f>
        <v>64189</v>
      </c>
      <c r="C1753" s="2" t="s">
        <v>594</v>
      </c>
      <c r="D1753" s="2" t="str">
        <f t="shared" si="26"/>
        <v>Error?</v>
      </c>
    </row>
    <row r="1754" spans="1:5" x14ac:dyDescent="0.2">
      <c r="A1754" s="5">
        <v>1693</v>
      </c>
      <c r="B1754" s="138">
        <f>'Tax Sched 23'!B14</f>
        <v>495737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43154793</v>
      </c>
      <c r="C1759" s="2" t="s">
        <v>594</v>
      </c>
      <c r="D1759" s="2" t="str">
        <f t="shared" si="26"/>
        <v>Error?</v>
      </c>
    </row>
    <row r="1760" spans="1:5" x14ac:dyDescent="0.2">
      <c r="A1760" s="5">
        <v>1699</v>
      </c>
      <c r="B1760" s="138">
        <f>'Tax Sched 23'!D4</f>
        <v>12814400</v>
      </c>
      <c r="C1760" s="2" t="s">
        <v>594</v>
      </c>
      <c r="D1760" s="2" t="str">
        <f t="shared" si="26"/>
        <v>Error?</v>
      </c>
    </row>
    <row r="1761" spans="1:5" x14ac:dyDescent="0.2">
      <c r="A1761" s="5">
        <v>1700</v>
      </c>
      <c r="B1761" s="138">
        <f>'Tax Sched 23'!D5</f>
        <v>2803475</v>
      </c>
      <c r="C1761" s="2" t="s">
        <v>594</v>
      </c>
      <c r="D1761" s="2" t="str">
        <f t="shared" si="26"/>
        <v>Error?</v>
      </c>
    </row>
    <row r="1762" spans="1:5" s="8" customFormat="1" x14ac:dyDescent="0.2">
      <c r="A1762" s="5">
        <v>1701</v>
      </c>
      <c r="B1762" s="138">
        <f>'Tax Sched 23'!D6</f>
        <v>3245330</v>
      </c>
      <c r="C1762" s="2" t="s">
        <v>594</v>
      </c>
      <c r="D1762" s="2" t="str">
        <f t="shared" si="26"/>
        <v>Error?</v>
      </c>
      <c r="E1762" s="9"/>
    </row>
    <row r="1763" spans="1:5" x14ac:dyDescent="0.2">
      <c r="A1763" s="5">
        <v>1702</v>
      </c>
      <c r="B1763" s="138">
        <f>'Tax Sched 23'!D7</f>
        <v>725979</v>
      </c>
      <c r="C1763" s="2" t="s">
        <v>594</v>
      </c>
      <c r="D1763" s="2" t="str">
        <f t="shared" si="26"/>
        <v>Error?</v>
      </c>
    </row>
    <row r="1764" spans="1:5" x14ac:dyDescent="0.2">
      <c r="A1764" s="5">
        <v>1703</v>
      </c>
      <c r="B1764" s="138">
        <f>'Tax Sched 23'!D8</f>
        <v>57069</v>
      </c>
      <c r="C1764" s="2" t="s">
        <v>594</v>
      </c>
      <c r="D1764" s="2" t="str">
        <f t="shared" si="26"/>
        <v>Error?</v>
      </c>
    </row>
    <row r="1765" spans="1:5" x14ac:dyDescent="0.2">
      <c r="A1765" s="5">
        <v>1704</v>
      </c>
      <c r="B1765" s="138">
        <f>'Tax Sched 23'!D10</f>
        <v>28763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134837</v>
      </c>
      <c r="C1768" s="2" t="s">
        <v>594</v>
      </c>
      <c r="D1768" s="2" t="str">
        <f t="shared" si="26"/>
        <v>Error?</v>
      </c>
    </row>
    <row r="1769" spans="1:5" x14ac:dyDescent="0.2">
      <c r="A1769" s="5">
        <v>1708</v>
      </c>
      <c r="B1769" s="138">
        <f>'Tax Sched 23'!D12</f>
        <v>34205</v>
      </c>
      <c r="C1769" s="2" t="s">
        <v>594</v>
      </c>
      <c r="D1769" s="2" t="str">
        <f t="shared" si="26"/>
        <v>Error?</v>
      </c>
    </row>
    <row r="1770" spans="1:5" x14ac:dyDescent="0.2">
      <c r="A1770" s="5">
        <v>1709</v>
      </c>
      <c r="B1770" s="138">
        <f>'Tax Sched 23'!D14</f>
        <v>236192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20218992</v>
      </c>
      <c r="C1775" s="2" t="s">
        <v>594</v>
      </c>
      <c r="D1775" s="2" t="str">
        <f t="shared" si="26"/>
        <v>Error?</v>
      </c>
    </row>
    <row r="1776" spans="1:5" x14ac:dyDescent="0.2">
      <c r="A1776" s="5">
        <v>1715</v>
      </c>
      <c r="B1776" s="138">
        <f>'Tax Sched 23'!C4</f>
        <v>14332979</v>
      </c>
      <c r="D1776" s="2" t="str">
        <f t="shared" si="26"/>
        <v>Error?</v>
      </c>
    </row>
    <row r="1777" spans="1:4" x14ac:dyDescent="0.2">
      <c r="A1777" s="5">
        <v>1716</v>
      </c>
      <c r="B1777" s="138">
        <f>'Tax Sched 23'!C5</f>
        <v>3182366</v>
      </c>
      <c r="D1777" s="2" t="str">
        <f t="shared" si="26"/>
        <v>Error?</v>
      </c>
    </row>
    <row r="1778" spans="1:4" x14ac:dyDescent="0.2">
      <c r="A1778" s="5">
        <v>1717</v>
      </c>
      <c r="B1778" s="138">
        <f>'Tax Sched 23'!C6</f>
        <v>3701656</v>
      </c>
      <c r="D1778" s="2" t="str">
        <f t="shared" si="26"/>
        <v>Error?</v>
      </c>
    </row>
    <row r="1779" spans="1:4" x14ac:dyDescent="0.2">
      <c r="A1779" s="5">
        <v>1718</v>
      </c>
      <c r="B1779" s="138">
        <f>'Tax Sched 23'!C7</f>
        <v>896673</v>
      </c>
      <c r="D1779" s="2" t="str">
        <f t="shared" si="26"/>
        <v>Error?</v>
      </c>
    </row>
    <row r="1780" spans="1:4" x14ac:dyDescent="0.2">
      <c r="A1780" s="5">
        <v>1719</v>
      </c>
      <c r="B1780" s="138">
        <f>'Tax Sched 23'!C8</f>
        <v>31654</v>
      </c>
      <c r="D1780" s="2" t="str">
        <f t="shared" si="26"/>
        <v>Error?</v>
      </c>
    </row>
    <row r="1781" spans="1:4" x14ac:dyDescent="0.2">
      <c r="A1781" s="5">
        <v>1720</v>
      </c>
      <c r="B1781" s="138">
        <f>'Tax Sched 23'!C10</f>
        <v>31654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129071</v>
      </c>
      <c r="D1784" s="2" t="str">
        <f t="shared" si="26"/>
        <v>Error?</v>
      </c>
    </row>
    <row r="1785" spans="1:4" x14ac:dyDescent="0.2">
      <c r="A1785" s="5">
        <v>1724</v>
      </c>
      <c r="B1785" s="138">
        <f>'Tax Sched 23'!C12</f>
        <v>29984</v>
      </c>
      <c r="D1785" s="2" t="str">
        <f t="shared" si="26"/>
        <v>Error?</v>
      </c>
    </row>
    <row r="1786" spans="1:4" x14ac:dyDescent="0.2">
      <c r="A1786" s="5">
        <v>1725</v>
      </c>
      <c r="B1786" s="138">
        <f>'Tax Sched 23'!C14</f>
        <v>259545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22935801</v>
      </c>
      <c r="C1791" s="2" t="s">
        <v>594</v>
      </c>
      <c r="D1791" s="2" t="str">
        <f t="shared" ref="D1791:D1854" si="27">IF(ISBLANK(B1791),"OK",IF(A1791-B1791=0,"OK","Error?"))</f>
        <v>Error?</v>
      </c>
    </row>
    <row r="1792" spans="1:4" x14ac:dyDescent="0.2">
      <c r="A1792" s="5">
        <v>1731</v>
      </c>
      <c r="B1792" s="138">
        <f>'Tax Sched 23'!F4</f>
        <v>12436252</v>
      </c>
      <c r="C1792" s="2" t="s">
        <v>594</v>
      </c>
      <c r="D1792" s="2" t="str">
        <f t="shared" si="27"/>
        <v>Error?</v>
      </c>
    </row>
    <row r="1793" spans="1:4" x14ac:dyDescent="0.2">
      <c r="A1793" s="5">
        <v>1732</v>
      </c>
      <c r="B1793" s="138">
        <f>'Tax Sched 23'!F5</f>
        <v>2761234</v>
      </c>
      <c r="C1793" s="2" t="s">
        <v>594</v>
      </c>
      <c r="D1793" s="2" t="str">
        <f t="shared" si="27"/>
        <v>Error?</v>
      </c>
    </row>
    <row r="1794" spans="1:4" x14ac:dyDescent="0.2">
      <c r="A1794" s="5">
        <v>1733</v>
      </c>
      <c r="B1794" s="138">
        <f>'Tax Sched 23'!F6</f>
        <v>3211805</v>
      </c>
      <c r="C1794" s="2" t="s">
        <v>594</v>
      </c>
      <c r="D1794" s="2" t="str">
        <f t="shared" si="27"/>
        <v>Error?</v>
      </c>
    </row>
    <row r="1795" spans="1:4" x14ac:dyDescent="0.2">
      <c r="A1795" s="5">
        <v>1734</v>
      </c>
      <c r="B1795" s="138">
        <f>'Tax Sched 23'!F7</f>
        <v>778013</v>
      </c>
      <c r="C1795" s="2" t="s">
        <v>594</v>
      </c>
      <c r="D1795" s="2" t="str">
        <f t="shared" si="27"/>
        <v>Error?</v>
      </c>
    </row>
    <row r="1796" spans="1:4" x14ac:dyDescent="0.2">
      <c r="A1796" s="5">
        <v>1735</v>
      </c>
      <c r="B1796" s="138">
        <f>'Tax Sched 23'!F8</f>
        <v>27465</v>
      </c>
      <c r="C1796" s="2" t="s">
        <v>594</v>
      </c>
      <c r="D1796" s="2" t="str">
        <f t="shared" si="27"/>
        <v>Error?</v>
      </c>
    </row>
    <row r="1797" spans="1:4" x14ac:dyDescent="0.2">
      <c r="A1797" s="5">
        <v>1736</v>
      </c>
      <c r="B1797" s="138">
        <f>'Tax Sched 23'!F10</f>
        <v>27465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111990</v>
      </c>
      <c r="C1800" s="2" t="s">
        <v>594</v>
      </c>
      <c r="D1800" s="2" t="str">
        <f t="shared" si="27"/>
        <v>Error?</v>
      </c>
    </row>
    <row r="1801" spans="1:4" x14ac:dyDescent="0.2">
      <c r="A1801" s="5">
        <v>1740</v>
      </c>
      <c r="B1801" s="138">
        <f>'Tax Sched 23'!F12</f>
        <v>26017</v>
      </c>
      <c r="C1801" s="2" t="s">
        <v>594</v>
      </c>
      <c r="D1801" s="2" t="str">
        <f t="shared" si="27"/>
        <v>Error?</v>
      </c>
    </row>
    <row r="1802" spans="1:4" x14ac:dyDescent="0.2">
      <c r="A1802" s="5">
        <v>1741</v>
      </c>
      <c r="B1802" s="138">
        <f>'Tax Sched 23'!F14</f>
        <v>225199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19900636</v>
      </c>
      <c r="C1807" s="2" t="s">
        <v>594</v>
      </c>
      <c r="D1807" s="2" t="str">
        <f t="shared" si="27"/>
        <v>Error?</v>
      </c>
    </row>
    <row r="1808" spans="1:4" x14ac:dyDescent="0.2">
      <c r="A1808" s="5">
        <v>1747</v>
      </c>
      <c r="B1808" s="138">
        <f>'Tax Sched 23'!E4</f>
        <v>26769231</v>
      </c>
      <c r="D1808" s="2" t="str">
        <f t="shared" si="27"/>
        <v>Error?</v>
      </c>
    </row>
    <row r="1809" spans="1:4" x14ac:dyDescent="0.2">
      <c r="A1809" s="5">
        <v>1748</v>
      </c>
      <c r="B1809" s="138">
        <f>'Tax Sched 23'!E5</f>
        <v>5943600</v>
      </c>
      <c r="D1809" s="2" t="str">
        <f t="shared" si="27"/>
        <v>Error?</v>
      </c>
    </row>
    <row r="1810" spans="1:4" x14ac:dyDescent="0.2">
      <c r="A1810" s="5">
        <v>1749</v>
      </c>
      <c r="B1810" s="138">
        <f>'Tax Sched 23'!E6</f>
        <v>6913461</v>
      </c>
      <c r="D1810" s="2" t="str">
        <f t="shared" si="27"/>
        <v>Error?</v>
      </c>
    </row>
    <row r="1811" spans="1:4" x14ac:dyDescent="0.2">
      <c r="A1811" s="5">
        <v>1750</v>
      </c>
      <c r="B1811" s="138">
        <f>'Tax Sched 23'!E7</f>
        <v>1674686</v>
      </c>
      <c r="D1811" s="2" t="str">
        <f t="shared" si="27"/>
        <v>Error?</v>
      </c>
    </row>
    <row r="1812" spans="1:4" x14ac:dyDescent="0.2">
      <c r="A1812" s="5">
        <v>1751</v>
      </c>
      <c r="B1812" s="138">
        <f>'Tax Sched 23'!E8</f>
        <v>59119</v>
      </c>
      <c r="D1812" s="2" t="str">
        <f t="shared" si="27"/>
        <v>Error?</v>
      </c>
    </row>
    <row r="1813" spans="1:4" x14ac:dyDescent="0.2">
      <c r="A1813" s="5">
        <v>1752</v>
      </c>
      <c r="B1813" s="138">
        <f>'Tax Sched 23'!E10</f>
        <v>59119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241061</v>
      </c>
      <c r="D1816" s="2" t="str">
        <f t="shared" si="27"/>
        <v>Error?</v>
      </c>
    </row>
    <row r="1817" spans="1:4" x14ac:dyDescent="0.2">
      <c r="A1817" s="5">
        <v>1756</v>
      </c>
      <c r="B1817" s="138">
        <f>'Tax Sched 23'!E12</f>
        <v>56001</v>
      </c>
      <c r="D1817" s="2" t="str">
        <f t="shared" si="27"/>
        <v>Error?</v>
      </c>
    </row>
    <row r="1818" spans="1:4" x14ac:dyDescent="0.2">
      <c r="A1818" s="5">
        <v>1757</v>
      </c>
      <c r="B1818" s="138">
        <f>'Tax Sched 23'!E14</f>
        <v>484744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42836437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6998062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35495</v>
      </c>
      <c r="D1971" s="2" t="str">
        <f t="shared" si="29"/>
        <v>Error?</v>
      </c>
    </row>
    <row r="1972" spans="1:5" x14ac:dyDescent="0.2">
      <c r="A1972" s="5">
        <v>1911</v>
      </c>
      <c r="B1972" s="138">
        <f>'Rest Tax Levies-Tort Im 25'!H5</f>
        <v>495737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495737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502728</v>
      </c>
      <c r="C1982" s="2" t="s">
        <v>594</v>
      </c>
      <c r="D1982" s="2" t="str">
        <f t="shared" si="29"/>
        <v>Error?</v>
      </c>
    </row>
    <row r="1983" spans="1:5" x14ac:dyDescent="0.2">
      <c r="A1983" s="5">
        <v>1922</v>
      </c>
      <c r="B1983" s="138">
        <f>'Rest Tax Levies-Tort Im 25'!H24</f>
        <v>28504</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7280608</v>
      </c>
      <c r="D2008" s="2" t="str">
        <f t="shared" si="30"/>
        <v>Error?</v>
      </c>
    </row>
    <row r="2009" spans="1:4" x14ac:dyDescent="0.2">
      <c r="A2009" s="5">
        <v>1948</v>
      </c>
      <c r="B2009" s="138">
        <f>'Cap Outlay Deprec 26'!C8</f>
        <v>71904801</v>
      </c>
      <c r="D2009" s="2" t="str">
        <f t="shared" si="30"/>
        <v>Error?</v>
      </c>
    </row>
    <row r="2010" spans="1:4" x14ac:dyDescent="0.2">
      <c r="A2010" s="5">
        <v>1949</v>
      </c>
      <c r="B2010" s="138">
        <f>'Cap Outlay Deprec 26'!C10</f>
        <v>17348971</v>
      </c>
      <c r="D2010" s="2" t="str">
        <f t="shared" si="30"/>
        <v>Error?</v>
      </c>
    </row>
    <row r="2011" spans="1:4" x14ac:dyDescent="0.2">
      <c r="A2011" s="5">
        <v>1950</v>
      </c>
      <c r="B2011" s="138">
        <f>'Cap Outlay Deprec 26'!C12</f>
        <v>21805306</v>
      </c>
      <c r="D2011" s="2" t="str">
        <f t="shared" si="30"/>
        <v>Error?</v>
      </c>
    </row>
    <row r="2012" spans="1:4" x14ac:dyDescent="0.2">
      <c r="A2012" s="5">
        <v>1951</v>
      </c>
      <c r="B2012" s="138">
        <f>'Cap Outlay Deprec 26'!C13</f>
        <v>122732</v>
      </c>
      <c r="D2012" s="2" t="str">
        <f t="shared" si="30"/>
        <v>Error?</v>
      </c>
    </row>
    <row r="2013" spans="1:4" x14ac:dyDescent="0.2">
      <c r="A2013" s="5">
        <v>1952</v>
      </c>
      <c r="B2013" s="138">
        <f>'Cap Outlay Deprec 26'!C16</f>
        <v>118739896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1646990</v>
      </c>
      <c r="D2015" s="2" t="str">
        <f t="shared" si="30"/>
        <v>Error?</v>
      </c>
    </row>
    <row r="2016" spans="1:4" x14ac:dyDescent="0.2">
      <c r="A2016" s="5">
        <v>1955</v>
      </c>
      <c r="B2016" s="138">
        <f>'Cap Outlay Deprec 26'!D10</f>
        <v>667608</v>
      </c>
      <c r="D2016" s="2" t="str">
        <f t="shared" si="30"/>
        <v>Error?</v>
      </c>
    </row>
    <row r="2017" spans="1:4" x14ac:dyDescent="0.2">
      <c r="A2017" s="5">
        <v>1956</v>
      </c>
      <c r="B2017" s="138">
        <f>'Cap Outlay Deprec 26'!D12</f>
        <v>160463</v>
      </c>
      <c r="D2017" s="2" t="str">
        <f t="shared" si="30"/>
        <v>Error?</v>
      </c>
    </row>
    <row r="2018" spans="1:4" x14ac:dyDescent="0.2">
      <c r="A2018" s="5">
        <v>1957</v>
      </c>
      <c r="B2018" s="138">
        <f>'Cap Outlay Deprec 26'!D13</f>
        <v>55750</v>
      </c>
      <c r="D2018" s="2" t="str">
        <f t="shared" si="30"/>
        <v>Error?</v>
      </c>
    </row>
    <row r="2019" spans="1:4" x14ac:dyDescent="0.2">
      <c r="A2019" s="5">
        <v>1958</v>
      </c>
      <c r="B2019" s="138">
        <f>'Cap Outlay Deprec 26'!D16</f>
        <v>2530811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277478</v>
      </c>
      <c r="C2025" s="2" t="s">
        <v>594</v>
      </c>
      <c r="D2025" s="2" t="str">
        <f t="shared" si="30"/>
        <v>Error?</v>
      </c>
    </row>
    <row r="2026" spans="1:4" x14ac:dyDescent="0.2">
      <c r="A2026" s="5">
        <v>1965</v>
      </c>
      <c r="B2026" s="138">
        <f>'Cap Outlay Deprec 26'!F5</f>
        <v>7280608</v>
      </c>
      <c r="C2026" s="2" t="s">
        <v>594</v>
      </c>
      <c r="D2026" s="2" t="str">
        <f t="shared" si="30"/>
        <v>Error?</v>
      </c>
    </row>
    <row r="2027" spans="1:4" x14ac:dyDescent="0.2">
      <c r="A2027" s="5">
        <v>1966</v>
      </c>
      <c r="B2027" s="138">
        <f>'Cap Outlay Deprec 26'!F8</f>
        <v>73551791</v>
      </c>
      <c r="C2027" s="2" t="s">
        <v>594</v>
      </c>
      <c r="D2027" s="2" t="str">
        <f t="shared" si="30"/>
        <v>Error?</v>
      </c>
    </row>
    <row r="2028" spans="1:4" x14ac:dyDescent="0.2">
      <c r="A2028" s="5">
        <v>1967</v>
      </c>
      <c r="B2028" s="138">
        <f>'Cap Outlay Deprec 26'!F10</f>
        <v>18016579</v>
      </c>
      <c r="C2028" s="2" t="s">
        <v>594</v>
      </c>
      <c r="D2028" s="2" t="str">
        <f t="shared" si="30"/>
        <v>Error?</v>
      </c>
    </row>
    <row r="2029" spans="1:4" x14ac:dyDescent="0.2">
      <c r="A2029" s="5">
        <v>1968</v>
      </c>
      <c r="B2029" s="138">
        <f>'Cap Outlay Deprec 26'!F12</f>
        <v>21965769</v>
      </c>
      <c r="C2029" s="2" t="s">
        <v>594</v>
      </c>
      <c r="D2029" s="2" t="str">
        <f t="shared" si="30"/>
        <v>Error?</v>
      </c>
    </row>
    <row r="2030" spans="1:4" x14ac:dyDescent="0.2">
      <c r="A2030" s="5">
        <v>1969</v>
      </c>
      <c r="B2030" s="138">
        <f>'Cap Outlay Deprec 26'!F13</f>
        <v>178482</v>
      </c>
      <c r="C2030" s="2" t="s">
        <v>594</v>
      </c>
      <c r="D2030" s="2" t="str">
        <f t="shared" si="30"/>
        <v>Error?</v>
      </c>
    </row>
    <row r="2031" spans="1:4" x14ac:dyDescent="0.2">
      <c r="A2031" s="5">
        <v>1970</v>
      </c>
      <c r="B2031" s="138">
        <f>'Cap Outlay Deprec 26'!F16</f>
        <v>120993229</v>
      </c>
      <c r="C2031" s="2" t="s">
        <v>594</v>
      </c>
      <c r="D2031" s="2" t="str">
        <f t="shared" si="30"/>
        <v>Error?</v>
      </c>
    </row>
    <row r="2032" spans="1:4" x14ac:dyDescent="0.2">
      <c r="A2032" s="10">
        <v>1971</v>
      </c>
      <c r="D2032" s="2" t="str">
        <f t="shared" si="30"/>
        <v>OK</v>
      </c>
    </row>
    <row r="2033" spans="1:4" x14ac:dyDescent="0.2">
      <c r="A2033" s="5">
        <v>1972</v>
      </c>
      <c r="B2033" s="138">
        <f>'Cap Outlay Deprec 26'!H8</f>
        <v>25352984</v>
      </c>
      <c r="D2033" s="2" t="str">
        <f t="shared" si="30"/>
        <v>Error?</v>
      </c>
    </row>
    <row r="2034" spans="1:4" x14ac:dyDescent="0.2">
      <c r="A2034" s="5">
        <v>1973</v>
      </c>
      <c r="B2034" s="138">
        <f>'Cap Outlay Deprec 26'!H10</f>
        <v>7403570</v>
      </c>
      <c r="D2034" s="2" t="str">
        <f t="shared" si="30"/>
        <v>Error?</v>
      </c>
    </row>
    <row r="2035" spans="1:4" x14ac:dyDescent="0.2">
      <c r="A2035" s="5">
        <v>1974</v>
      </c>
      <c r="B2035" s="138">
        <f>'Cap Outlay Deprec 26'!H12</f>
        <v>18861264</v>
      </c>
      <c r="D2035" s="2" t="str">
        <f t="shared" si="30"/>
        <v>Error?</v>
      </c>
    </row>
    <row r="2036" spans="1:4" x14ac:dyDescent="0.2">
      <c r="A2036" s="5">
        <v>1975</v>
      </c>
      <c r="B2036" s="138">
        <f>'Cap Outlay Deprec 26'!H13</f>
        <v>122732</v>
      </c>
      <c r="D2036" s="2" t="str">
        <f t="shared" si="30"/>
        <v>Error?</v>
      </c>
    </row>
    <row r="2037" spans="1:4" x14ac:dyDescent="0.2">
      <c r="A2037" s="5">
        <v>1976</v>
      </c>
      <c r="B2037" s="138">
        <f>'Cap Outlay Deprec 26'!H16</f>
        <v>51740550</v>
      </c>
      <c r="C2037" s="2" t="s">
        <v>594</v>
      </c>
      <c r="D2037" s="2" t="str">
        <f t="shared" si="30"/>
        <v>Error?</v>
      </c>
    </row>
    <row r="2038" spans="1:4" x14ac:dyDescent="0.2">
      <c r="A2038" s="10">
        <v>1977</v>
      </c>
      <c r="D2038" s="2" t="str">
        <f t="shared" si="30"/>
        <v>OK</v>
      </c>
    </row>
    <row r="2039" spans="1:4" x14ac:dyDescent="0.2">
      <c r="A2039" s="5">
        <v>1978</v>
      </c>
      <c r="B2039" s="138">
        <f>'Cap Outlay Deprec 26'!I8</f>
        <v>1438096</v>
      </c>
      <c r="D2039" s="2" t="str">
        <f t="shared" si="30"/>
        <v>Error?</v>
      </c>
    </row>
    <row r="2040" spans="1:4" x14ac:dyDescent="0.2">
      <c r="A2040" s="5">
        <v>1979</v>
      </c>
      <c r="B2040" s="138">
        <f>'Cap Outlay Deprec 26'!I10</f>
        <v>798426</v>
      </c>
      <c r="D2040" s="2" t="str">
        <f t="shared" si="30"/>
        <v>Error?</v>
      </c>
    </row>
    <row r="2041" spans="1:4" x14ac:dyDescent="0.2">
      <c r="A2041" s="5">
        <v>1980</v>
      </c>
      <c r="B2041" s="138">
        <f>'Cap Outlay Deprec 26'!I12</f>
        <v>525508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2762030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26791080</v>
      </c>
      <c r="C2051" s="2" t="s">
        <v>594</v>
      </c>
      <c r="D2051" s="2" t="str">
        <f t="shared" si="31"/>
        <v>Error?</v>
      </c>
    </row>
    <row r="2052" spans="1:4" x14ac:dyDescent="0.2">
      <c r="A2052" s="5">
        <v>1991</v>
      </c>
      <c r="B2052" s="138">
        <f>'Cap Outlay Deprec 26'!K10</f>
        <v>8201996</v>
      </c>
      <c r="C2052" s="2" t="s">
        <v>594</v>
      </c>
      <c r="D2052" s="2" t="str">
        <f t="shared" si="31"/>
        <v>Error?</v>
      </c>
    </row>
    <row r="2053" spans="1:4" x14ac:dyDescent="0.2">
      <c r="A2053" s="5">
        <v>1992</v>
      </c>
      <c r="B2053" s="138">
        <f>'Cap Outlay Deprec 26'!K12</f>
        <v>19386772</v>
      </c>
      <c r="C2053" s="2" t="s">
        <v>594</v>
      </c>
      <c r="D2053" s="2" t="str">
        <f t="shared" si="31"/>
        <v>Error?</v>
      </c>
    </row>
    <row r="2054" spans="1:4" x14ac:dyDescent="0.2">
      <c r="A2054" s="5">
        <v>1993</v>
      </c>
      <c r="B2054" s="138">
        <f>'Cap Outlay Deprec 26'!K13</f>
        <v>122732</v>
      </c>
      <c r="C2054" s="2" t="s">
        <v>594</v>
      </c>
      <c r="D2054" s="2" t="str">
        <f t="shared" si="31"/>
        <v>Error?</v>
      </c>
    </row>
    <row r="2055" spans="1:4" x14ac:dyDescent="0.2">
      <c r="A2055" s="5">
        <v>1994</v>
      </c>
      <c r="B2055" s="138">
        <f>'Cap Outlay Deprec 26'!K16</f>
        <v>54502580</v>
      </c>
      <c r="C2055" s="2" t="s">
        <v>594</v>
      </c>
      <c r="D2055" s="2" t="str">
        <f t="shared" si="31"/>
        <v>Error?</v>
      </c>
    </row>
    <row r="2056" spans="1:4" x14ac:dyDescent="0.2">
      <c r="A2056" s="5">
        <v>1995</v>
      </c>
      <c r="B2056" s="138">
        <f>'Cap Outlay Deprec 26'!L5</f>
        <v>7280608</v>
      </c>
      <c r="C2056" s="2" t="s">
        <v>594</v>
      </c>
      <c r="D2056" s="2" t="str">
        <f t="shared" si="31"/>
        <v>Error?</v>
      </c>
    </row>
    <row r="2057" spans="1:4" x14ac:dyDescent="0.2">
      <c r="A2057" s="5">
        <v>1996</v>
      </c>
      <c r="B2057" s="138">
        <f>'Cap Outlay Deprec 26'!L8</f>
        <v>46760711</v>
      </c>
      <c r="C2057" s="2" t="s">
        <v>594</v>
      </c>
      <c r="D2057" s="2" t="str">
        <f t="shared" si="31"/>
        <v>Error?</v>
      </c>
    </row>
    <row r="2058" spans="1:4" x14ac:dyDescent="0.2">
      <c r="A2058" s="5">
        <v>1997</v>
      </c>
      <c r="B2058" s="138">
        <f>'Cap Outlay Deprec 26'!L10</f>
        <v>9814583</v>
      </c>
      <c r="C2058" s="2" t="s">
        <v>594</v>
      </c>
      <c r="D2058" s="2" t="str">
        <f t="shared" si="31"/>
        <v>Error?</v>
      </c>
    </row>
    <row r="2059" spans="1:4" x14ac:dyDescent="0.2">
      <c r="A2059" s="5">
        <v>1998</v>
      </c>
      <c r="B2059" s="138">
        <f>'Cap Outlay Deprec 26'!L12</f>
        <v>2578997</v>
      </c>
      <c r="C2059" s="2" t="s">
        <v>594</v>
      </c>
      <c r="D2059" s="2" t="str">
        <f t="shared" si="31"/>
        <v>Error?</v>
      </c>
    </row>
    <row r="2060" spans="1:4" x14ac:dyDescent="0.2">
      <c r="A2060" s="5">
        <v>1999</v>
      </c>
      <c r="B2060" s="138">
        <f>'Cap Outlay Deprec 26'!L13</f>
        <v>55750</v>
      </c>
      <c r="C2060" s="2" t="s">
        <v>594</v>
      </c>
      <c r="D2060" s="2" t="str">
        <f t="shared" si="31"/>
        <v>Error?</v>
      </c>
    </row>
    <row r="2061" spans="1:4" x14ac:dyDescent="0.2">
      <c r="A2061" s="5">
        <v>2000</v>
      </c>
      <c r="B2061" s="138">
        <f>'Cap Outlay Deprec 26'!L16</f>
        <v>66490649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1044538</v>
      </c>
      <c r="C2089" s="2" t="s">
        <v>594</v>
      </c>
      <c r="D2089" s="2" t="str">
        <f t="shared" si="31"/>
        <v>Error?</v>
      </c>
    </row>
    <row r="2090" spans="1:4" x14ac:dyDescent="0.2">
      <c r="A2090" s="10">
        <v>2029</v>
      </c>
      <c r="D2090" s="2" t="str">
        <f t="shared" si="31"/>
        <v>OK</v>
      </c>
    </row>
    <row r="2091" spans="1:4" x14ac:dyDescent="0.2">
      <c r="A2091" s="5">
        <v>2030</v>
      </c>
      <c r="B2091" s="138">
        <f>'Expenditures 15-22'!H137</f>
        <v>106357</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106357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202278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31476641</v>
      </c>
      <c r="C2551" s="2" t="s">
        <v>594</v>
      </c>
      <c r="D2551" s="2" t="str">
        <f t="shared" si="38"/>
        <v>Error?</v>
      </c>
    </row>
    <row r="2552" spans="1:4" x14ac:dyDescent="0.2">
      <c r="A2552" s="10">
        <v>2491</v>
      </c>
      <c r="D2552" s="2" t="str">
        <f t="shared" si="38"/>
        <v>OK</v>
      </c>
    </row>
    <row r="2553" spans="1:4" x14ac:dyDescent="0.2">
      <c r="A2553" s="5">
        <v>2492</v>
      </c>
      <c r="B2553" s="138">
        <f>'Acct Summary 7-8'!C6</f>
        <v>6425279</v>
      </c>
      <c r="C2553" s="2" t="s">
        <v>594</v>
      </c>
      <c r="D2553" s="2" t="str">
        <f t="shared" si="38"/>
        <v>Error?</v>
      </c>
    </row>
    <row r="2554" spans="1:4" x14ac:dyDescent="0.2">
      <c r="A2554" s="5">
        <v>2493</v>
      </c>
      <c r="B2554" s="138">
        <f>'Acct Summary 7-8'!C7</f>
        <v>639950</v>
      </c>
      <c r="C2554" s="2" t="s">
        <v>594</v>
      </c>
      <c r="D2554" s="2" t="str">
        <f t="shared" si="38"/>
        <v>Error?</v>
      </c>
    </row>
    <row r="2555" spans="1:4" x14ac:dyDescent="0.2">
      <c r="A2555" s="5">
        <v>2494</v>
      </c>
      <c r="B2555" s="138">
        <f>'Acct Summary 7-8'!C8</f>
        <v>38541870</v>
      </c>
      <c r="C2555" s="2" t="s">
        <v>594</v>
      </c>
      <c r="D2555" s="2" t="str">
        <f t="shared" si="38"/>
        <v>Error?</v>
      </c>
    </row>
    <row r="2556" spans="1:4" x14ac:dyDescent="0.2">
      <c r="A2556" s="5">
        <v>2495</v>
      </c>
      <c r="B2556" s="138">
        <f>'Acct Summary 7-8'!C12</f>
        <v>24285389</v>
      </c>
      <c r="C2556" s="2" t="s">
        <v>594</v>
      </c>
      <c r="D2556" s="2" t="str">
        <f t="shared" si="38"/>
        <v>Error?</v>
      </c>
    </row>
    <row r="2557" spans="1:4" x14ac:dyDescent="0.2">
      <c r="A2557" s="5">
        <v>2496</v>
      </c>
      <c r="B2557" s="138">
        <f>'Acct Summary 7-8'!C13</f>
        <v>9115478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1044538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34445405</v>
      </c>
      <c r="C2561" s="2" t="s">
        <v>594</v>
      </c>
      <c r="D2561" s="2" t="str">
        <f t="shared" si="39"/>
        <v>Error?</v>
      </c>
    </row>
    <row r="2562" spans="1:4" x14ac:dyDescent="0.2">
      <c r="A2562" s="5">
        <v>2501</v>
      </c>
      <c r="B2562" s="138">
        <f>'Acct Summary 7-8'!C20</f>
        <v>4096465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6324089</v>
      </c>
      <c r="C2564" s="2" t="s">
        <v>594</v>
      </c>
      <c r="D2564" s="2" t="str">
        <f t="shared" si="39"/>
        <v>Error?</v>
      </c>
    </row>
    <row r="2565" spans="1:4" x14ac:dyDescent="0.2">
      <c r="A2565" s="10">
        <v>2504</v>
      </c>
      <c r="D2565" s="2" t="str">
        <f t="shared" si="39"/>
        <v>OK</v>
      </c>
    </row>
    <row r="2566" spans="1:4" x14ac:dyDescent="0.2">
      <c r="A2566" s="5">
        <v>2505</v>
      </c>
      <c r="B2566" s="138">
        <f>'Acct Summary 7-8'!D6</f>
        <v>1500000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7824089</v>
      </c>
      <c r="C2568" s="2" t="s">
        <v>594</v>
      </c>
      <c r="D2568" s="2" t="str">
        <f t="shared" si="39"/>
        <v>Error?</v>
      </c>
    </row>
    <row r="2569" spans="1:4" x14ac:dyDescent="0.2">
      <c r="A2569" s="5">
        <v>2508</v>
      </c>
      <c r="B2569" s="138">
        <f>'Acct Summary 7-8'!D13</f>
        <v>6907541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106357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7013898</v>
      </c>
      <c r="C2573" s="2" t="s">
        <v>594</v>
      </c>
      <c r="D2573" s="2" t="str">
        <f t="shared" si="39"/>
        <v>Error?</v>
      </c>
    </row>
    <row r="2574" spans="1:4" x14ac:dyDescent="0.2">
      <c r="A2574" s="5">
        <v>2513</v>
      </c>
      <c r="B2574" s="138">
        <f>'Acct Summary 7-8'!D20</f>
        <v>810191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1632838</v>
      </c>
      <c r="C2591" s="2" t="s">
        <v>594</v>
      </c>
      <c r="D2591" s="2" t="str">
        <f t="shared" si="39"/>
        <v>Error?</v>
      </c>
    </row>
    <row r="2592" spans="1:4" x14ac:dyDescent="0.2">
      <c r="A2592" s="10">
        <v>2531</v>
      </c>
      <c r="D2592" s="2" t="str">
        <f t="shared" si="39"/>
        <v>OK</v>
      </c>
    </row>
    <row r="2593" spans="1:4" x14ac:dyDescent="0.2">
      <c r="A2593" s="5">
        <v>2532</v>
      </c>
      <c r="B2593" s="138">
        <f>'Acct Summary 7-8'!F6</f>
        <v>1814213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3447051</v>
      </c>
      <c r="C2595" s="2" t="s">
        <v>594</v>
      </c>
      <c r="D2595" s="2" t="str">
        <f t="shared" si="39"/>
        <v>Error?</v>
      </c>
    </row>
    <row r="2596" spans="1:4" x14ac:dyDescent="0.2">
      <c r="A2596" s="5">
        <v>2535</v>
      </c>
      <c r="B2596" s="138">
        <f>'Acct Summary 7-8'!F13</f>
        <v>2775873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2775873</v>
      </c>
      <c r="C2600" s="2" t="s">
        <v>594</v>
      </c>
      <c r="D2600" s="2" t="str">
        <f t="shared" si="39"/>
        <v>Error?</v>
      </c>
    </row>
    <row r="2601" spans="1:4" x14ac:dyDescent="0.2">
      <c r="A2601" s="5">
        <v>2540</v>
      </c>
      <c r="B2601" s="138">
        <f>'Acct Summary 7-8'!F20</f>
        <v>671178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590515</v>
      </c>
      <c r="C2603" s="2" t="s">
        <v>594</v>
      </c>
      <c r="D2603" s="2" t="str">
        <f t="shared" si="39"/>
        <v>Error?</v>
      </c>
    </row>
    <row r="2604" spans="1:4" x14ac:dyDescent="0.2">
      <c r="A2604" s="5">
        <v>2543</v>
      </c>
      <c r="B2604" s="138">
        <f>'Acct Summary 7-8'!G6</f>
        <v>250000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840515</v>
      </c>
      <c r="C2606" s="2" t="s">
        <v>594</v>
      </c>
      <c r="D2606" s="2" t="str">
        <f t="shared" si="39"/>
        <v>Error?</v>
      </c>
    </row>
    <row r="2607" spans="1:4" x14ac:dyDescent="0.2">
      <c r="A2607" s="5">
        <v>2546</v>
      </c>
      <c r="B2607" s="138">
        <f>'Acct Summary 7-8'!G12</f>
        <v>474538</v>
      </c>
      <c r="C2607" s="2" t="s">
        <v>594</v>
      </c>
      <c r="D2607" s="2" t="str">
        <f t="shared" si="39"/>
        <v>Error?</v>
      </c>
    </row>
    <row r="2608" spans="1:4" x14ac:dyDescent="0.2">
      <c r="A2608" s="5">
        <v>2547</v>
      </c>
      <c r="B2608" s="138">
        <f>'Acct Summary 7-8'!G13</f>
        <v>341991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816529</v>
      </c>
      <c r="C2612" s="2" t="s">
        <v>594</v>
      </c>
      <c r="D2612" s="2" t="str">
        <f t="shared" si="39"/>
        <v>Error?</v>
      </c>
    </row>
    <row r="2613" spans="1:4" x14ac:dyDescent="0.2">
      <c r="A2613" s="5">
        <v>2552</v>
      </c>
      <c r="B2613" s="138">
        <f>'Acct Summary 7-8'!G20</f>
        <v>23986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6961229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6961229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7715536</v>
      </c>
      <c r="C2634" s="2" t="s">
        <v>594</v>
      </c>
      <c r="D2634" s="2" t="str">
        <f t="shared" si="40"/>
        <v>Error?</v>
      </c>
    </row>
    <row r="2635" spans="1:4" x14ac:dyDescent="0.2">
      <c r="A2635" s="5">
        <v>2574</v>
      </c>
      <c r="B2635" s="138">
        <f>'Acct Summary 7-8'!E17</f>
        <v>7715536</v>
      </c>
      <c r="C2635" s="2" t="s">
        <v>594</v>
      </c>
      <c r="D2635" s="2" t="str">
        <f t="shared" si="40"/>
        <v>Error?</v>
      </c>
    </row>
    <row r="2636" spans="1:4" x14ac:dyDescent="0.2">
      <c r="A2636" s="5">
        <v>2575</v>
      </c>
      <c r="B2636" s="138">
        <f>'Acct Summary 7-8'!E20</f>
        <v>-754307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14243</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735000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735000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14243</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591030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498039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591030</v>
      </c>
      <c r="D2912" s="2" t="str">
        <f t="shared" si="44"/>
        <v>Error?</v>
      </c>
    </row>
    <row r="2913" spans="1:4" x14ac:dyDescent="0.2">
      <c r="A2913" s="5">
        <v>2852</v>
      </c>
      <c r="B2913" s="138">
        <f>'Assets-Liab 5-6'!I41</f>
        <v>591030</v>
      </c>
      <c r="C2913" s="2" t="s">
        <v>594</v>
      </c>
      <c r="D2913" s="2" t="str">
        <f t="shared" si="44"/>
        <v>Error?</v>
      </c>
    </row>
    <row r="2914" spans="1:4" x14ac:dyDescent="0.2">
      <c r="A2914" s="5">
        <v>2853</v>
      </c>
      <c r="B2914" s="138">
        <f>'Assets-Liab 5-6'!L33</f>
        <v>498039</v>
      </c>
      <c r="D2914" s="2" t="str">
        <f t="shared" si="44"/>
        <v>Error?</v>
      </c>
    </row>
    <row r="2915" spans="1:4" x14ac:dyDescent="0.2">
      <c r="A2915" s="10">
        <v>2854</v>
      </c>
      <c r="D2915" s="2" t="str">
        <f t="shared" si="44"/>
        <v>OK</v>
      </c>
    </row>
    <row r="2916" spans="1:4" x14ac:dyDescent="0.2">
      <c r="A2916" s="5">
        <v>2855</v>
      </c>
      <c r="B2916" s="138">
        <f>'Assets-Liab 5-6'!L34</f>
        <v>498039</v>
      </c>
      <c r="C2916" s="2" t="s">
        <v>594</v>
      </c>
      <c r="D2916" s="2" t="str">
        <f t="shared" si="44"/>
        <v>Error?</v>
      </c>
    </row>
    <row r="2917" spans="1:4" x14ac:dyDescent="0.2">
      <c r="A2917" s="5">
        <v>2856</v>
      </c>
      <c r="B2917" s="138">
        <f>'Assets-Liab 5-6'!L41</f>
        <v>498039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106357</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106357</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63104</v>
      </c>
      <c r="C3225" s="2" t="s">
        <v>594</v>
      </c>
      <c r="D3225" s="2" t="str">
        <f t="shared" si="49"/>
        <v>Error?</v>
      </c>
    </row>
    <row r="3226" spans="1:4" x14ac:dyDescent="0.2">
      <c r="A3226" s="5">
        <v>3165</v>
      </c>
      <c r="B3226" s="138">
        <f>'Acct Summary 7-8'!I8</f>
        <v>63104</v>
      </c>
      <c r="C3226" s="2" t="s">
        <v>594</v>
      </c>
      <c r="D3226" s="2" t="str">
        <f t="shared" si="49"/>
        <v>Error?</v>
      </c>
    </row>
    <row r="3227" spans="1:4" x14ac:dyDescent="0.2">
      <c r="A3227" s="5">
        <v>3166</v>
      </c>
      <c r="B3227" s="138">
        <f>'Acct Summary 7-8'!I20</f>
        <v>63104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14243</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910857</v>
      </c>
      <c r="C3231" s="2" t="s">
        <v>594</v>
      </c>
      <c r="D3231" s="2" t="str">
        <f t="shared" si="49"/>
        <v>Error?</v>
      </c>
    </row>
    <row r="3232" spans="1:4" x14ac:dyDescent="0.2">
      <c r="A3232" s="5">
        <v>3171</v>
      </c>
      <c r="B3232" s="138">
        <f>'Acct Summary 7-8'!C77</f>
        <v>-896614</v>
      </c>
      <c r="C3232" s="2" t="s">
        <v>594</v>
      </c>
      <c r="D3232" s="2" t="str">
        <f t="shared" si="49"/>
        <v>Error?</v>
      </c>
    </row>
    <row r="3233" spans="1:4" x14ac:dyDescent="0.2">
      <c r="A3233" s="5">
        <v>3172</v>
      </c>
      <c r="B3233" s="138">
        <f>'Acct Summary 7-8'!C78</f>
        <v>3199851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204595</v>
      </c>
      <c r="C3237" s="2" t="s">
        <v>594</v>
      </c>
      <c r="D3237" s="2" t="str">
        <f t="shared" si="49"/>
        <v>Error?</v>
      </c>
    </row>
    <row r="3238" spans="1:4" x14ac:dyDescent="0.2">
      <c r="A3238" s="5">
        <v>3177</v>
      </c>
      <c r="B3238" s="138">
        <f>'Acct Summary 7-8'!D77</f>
        <v>-204595</v>
      </c>
      <c r="C3238" s="2" t="s">
        <v>594</v>
      </c>
      <c r="D3238" s="2" t="str">
        <f t="shared" si="49"/>
        <v>Error?</v>
      </c>
    </row>
    <row r="3239" spans="1:4" x14ac:dyDescent="0.2">
      <c r="A3239" s="5">
        <v>3178</v>
      </c>
      <c r="B3239" s="138">
        <f>'Acct Summary 7-8'!D78</f>
        <v>605596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671178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23986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1230536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14243</v>
      </c>
      <c r="C3276" s="2" t="s">
        <v>594</v>
      </c>
      <c r="D3276" s="2" t="str">
        <f t="shared" si="50"/>
        <v>Error?</v>
      </c>
    </row>
    <row r="3277" spans="1:4" x14ac:dyDescent="0.2">
      <c r="A3277" s="5">
        <v>3216</v>
      </c>
      <c r="B3277" s="138">
        <f>'Acct Summary 7-8'!E77</f>
        <v>1216293</v>
      </c>
      <c r="C3277" s="2" t="s">
        <v>594</v>
      </c>
      <c r="D3277" s="2" t="str">
        <f t="shared" si="50"/>
        <v>Error?</v>
      </c>
    </row>
    <row r="3278" spans="1:4" x14ac:dyDescent="0.2">
      <c r="A3278" s="5">
        <v>3217</v>
      </c>
      <c r="B3278" s="138">
        <f>'Acct Summary 7-8'!E78</f>
        <v>461986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63104</v>
      </c>
      <c r="C3320" s="2" t="s">
        <v>594</v>
      </c>
      <c r="D3320" s="2" t="str">
        <f t="shared" si="50"/>
        <v>Error?</v>
      </c>
    </row>
    <row r="3321" spans="1:4" x14ac:dyDescent="0.2">
      <c r="A3321" s="5">
        <v>3260</v>
      </c>
      <c r="B3321" s="138">
        <f>'Acct Summary 7-8'!I79</f>
        <v>527926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591030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3621509</v>
      </c>
      <c r="D3366" s="2" t="str">
        <f t="shared" si="51"/>
        <v>Error?</v>
      </c>
    </row>
    <row r="3367" spans="1:4" x14ac:dyDescent="0.2">
      <c r="A3367" s="5">
        <v>3306</v>
      </c>
      <c r="B3367" s="138">
        <f>'Expenditures 15-22'!C19</f>
        <v>41697</v>
      </c>
      <c r="D3367" s="2" t="str">
        <f t="shared" si="51"/>
        <v>Error?</v>
      </c>
    </row>
    <row r="3368" spans="1:4" x14ac:dyDescent="0.2">
      <c r="A3368" s="5">
        <v>3307</v>
      </c>
      <c r="B3368" s="138">
        <f>'Expenditures 15-22'!D8</f>
        <v>759468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1469374</v>
      </c>
      <c r="D3370" s="2" t="str">
        <f t="shared" si="51"/>
        <v>Error?</v>
      </c>
    </row>
    <row r="3371" spans="1:4" x14ac:dyDescent="0.2">
      <c r="A3371" s="5">
        <v>3310</v>
      </c>
      <c r="B3371" s="138">
        <f>'Expenditures 15-22'!E19</f>
        <v>182981</v>
      </c>
      <c r="D3371" s="2" t="str">
        <f t="shared" si="51"/>
        <v>Error?</v>
      </c>
    </row>
    <row r="3372" spans="1:4" x14ac:dyDescent="0.2">
      <c r="A3372" s="5">
        <v>3311</v>
      </c>
      <c r="B3372" s="138">
        <f>'Expenditures 15-22'!F8</f>
        <v>78282</v>
      </c>
      <c r="D3372" s="2" t="str">
        <f t="shared" si="51"/>
        <v>Error?</v>
      </c>
    </row>
    <row r="3373" spans="1:4" x14ac:dyDescent="0.2">
      <c r="A3373" s="5">
        <v>3312</v>
      </c>
      <c r="B3373" s="138">
        <f>'Expenditures 15-22'!F19</f>
        <v>205</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738476</v>
      </c>
      <c r="D3376" s="2" t="str">
        <f t="shared" si="51"/>
        <v>Error?</v>
      </c>
    </row>
    <row r="3377" spans="1:4" x14ac:dyDescent="0.2">
      <c r="A3377" s="5">
        <v>3316</v>
      </c>
      <c r="B3377" s="138">
        <f>'Expenditures 15-22'!H19</f>
        <v>4182</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6672688</v>
      </c>
      <c r="C3380" s="2" t="s">
        <v>594</v>
      </c>
      <c r="D3380" s="2" t="str">
        <f t="shared" si="51"/>
        <v>Error?</v>
      </c>
    </row>
    <row r="3381" spans="1:4" x14ac:dyDescent="0.2">
      <c r="A3381" s="5">
        <v>3320</v>
      </c>
      <c r="B3381" s="138">
        <f>'Expenditures 15-22'!K19</f>
        <v>229065</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159989</v>
      </c>
      <c r="D3387" s="2" t="str">
        <f t="shared" si="51"/>
        <v>Error?</v>
      </c>
    </row>
    <row r="3388" spans="1:4" x14ac:dyDescent="0.2">
      <c r="A3388" s="5">
        <v>3327</v>
      </c>
      <c r="B3388" s="138">
        <f>'Expenditures 15-22'!D217</f>
        <v>221167</v>
      </c>
      <c r="D3388" s="2" t="str">
        <f t="shared" si="51"/>
        <v>Error?</v>
      </c>
    </row>
    <row r="3389" spans="1:4" x14ac:dyDescent="0.2">
      <c r="A3389" s="5">
        <v>3328</v>
      </c>
      <c r="B3389" s="138">
        <f>'Expenditures 15-22'!D228</f>
        <v>887</v>
      </c>
      <c r="D3389" s="2" t="str">
        <f t="shared" si="51"/>
        <v>Error?</v>
      </c>
    </row>
    <row r="3390" spans="1:4" x14ac:dyDescent="0.2">
      <c r="A3390" s="5">
        <v>3329</v>
      </c>
      <c r="B3390" s="138">
        <f>'Expenditures 15-22'!K215</f>
        <v>159989</v>
      </c>
      <c r="C3390" s="2" t="s">
        <v>594</v>
      </c>
      <c r="D3390" s="2" t="str">
        <f t="shared" si="51"/>
        <v>Error?</v>
      </c>
    </row>
    <row r="3391" spans="1:4" x14ac:dyDescent="0.2">
      <c r="A3391" s="5">
        <v>3330</v>
      </c>
      <c r="B3391" s="138">
        <f>'Expenditures 15-22'!K217</f>
        <v>221167</v>
      </c>
      <c r="C3391" s="2" t="s">
        <v>594</v>
      </c>
      <c r="D3391" s="2" t="str">
        <f t="shared" ref="D3391:D3454" si="52">IF(ISBLANK(B3391),"OK",IF(A3391-B3391=0,"OK","Error?"))</f>
        <v>Error?</v>
      </c>
    </row>
    <row r="3392" spans="1:4" x14ac:dyDescent="0.2">
      <c r="A3392" s="5">
        <v>3331</v>
      </c>
      <c r="B3392" s="138">
        <f>'Expenditures 15-22'!K228</f>
        <v>887</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11320786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2602490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590827</v>
      </c>
      <c r="D3417" s="2" t="str">
        <f t="shared" si="52"/>
        <v>Error?</v>
      </c>
    </row>
    <row r="3418" spans="1:4" x14ac:dyDescent="0.2">
      <c r="A3418" s="10">
        <v>3357</v>
      </c>
      <c r="D3418" s="2" t="str">
        <f t="shared" si="52"/>
        <v>OK</v>
      </c>
    </row>
    <row r="3419" spans="1:4" x14ac:dyDescent="0.2">
      <c r="A3419" s="5">
        <v>3358</v>
      </c>
      <c r="B3419" s="138">
        <f>'Assets-Liab 5-6'!F4</f>
        <v>1119418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345446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91030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498039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377411</v>
      </c>
      <c r="C3446" s="2" t="s">
        <v>594</v>
      </c>
      <c r="D3446" s="2" t="str">
        <f t="shared" si="52"/>
        <v>Error?</v>
      </c>
    </row>
    <row r="3447" spans="1:4" x14ac:dyDescent="0.2">
      <c r="A3447" s="5">
        <v>3386</v>
      </c>
      <c r="B3447" s="138">
        <f>'Tax Sched 23'!D16</f>
        <v>92582</v>
      </c>
      <c r="C3447" s="2" t="s">
        <v>594</v>
      </c>
      <c r="D3447" s="2" t="str">
        <f t="shared" si="52"/>
        <v>Error?</v>
      </c>
    </row>
    <row r="3448" spans="1:4" x14ac:dyDescent="0.2">
      <c r="A3448" s="5">
        <v>3387</v>
      </c>
      <c r="B3448" s="138">
        <f>'Tax Sched 23'!C16</f>
        <v>284829</v>
      </c>
      <c r="D3448" s="2" t="str">
        <f t="shared" si="52"/>
        <v>Error?</v>
      </c>
    </row>
    <row r="3449" spans="1:4" x14ac:dyDescent="0.2">
      <c r="A3449" s="5">
        <v>3388</v>
      </c>
      <c r="B3449" s="138">
        <f>'Tax Sched 23'!F16</f>
        <v>247137</v>
      </c>
      <c r="C3449" s="2" t="s">
        <v>594</v>
      </c>
      <c r="D3449" s="2" t="str">
        <f t="shared" si="52"/>
        <v>Error?</v>
      </c>
    </row>
    <row r="3450" spans="1:4" x14ac:dyDescent="0.2">
      <c r="A3450" s="5">
        <v>3389</v>
      </c>
      <c r="B3450" s="138">
        <f>'Tax Sched 23'!E16</f>
        <v>531966</v>
      </c>
      <c r="D3450" s="2" t="str">
        <f t="shared" si="52"/>
        <v>Error?</v>
      </c>
    </row>
    <row r="3451" spans="1:4" x14ac:dyDescent="0.2">
      <c r="A3451" s="5">
        <v>3390</v>
      </c>
      <c r="B3451" s="138">
        <f>'Cap Outlay Deprec 26'!C15</f>
        <v>277478</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277478</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51598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51598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51598</v>
      </c>
      <c r="D3567" s="2" t="str">
        <f t="shared" si="54"/>
        <v>Error?</v>
      </c>
    </row>
    <row r="3568" spans="1:4" x14ac:dyDescent="0.2">
      <c r="A3568" s="5">
        <v>3507</v>
      </c>
      <c r="B3568" s="138">
        <f>'Assets-Liab 5-6'!K41</f>
        <v>51598</v>
      </c>
      <c r="C3568" s="2" t="s">
        <v>594</v>
      </c>
      <c r="D3568" s="2" t="str">
        <f t="shared" si="54"/>
        <v>Error?</v>
      </c>
    </row>
    <row r="3569" spans="1:4" x14ac:dyDescent="0.2">
      <c r="A3569" s="5">
        <v>3508</v>
      </c>
      <c r="B3569" s="138">
        <f>'Acct Summary 7-8'!K4</f>
        <v>64443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64443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64443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115084</v>
      </c>
      <c r="C3586" s="2" t="s">
        <v>594</v>
      </c>
      <c r="D3586" s="2" t="str">
        <f t="shared" si="55"/>
        <v>Error?</v>
      </c>
    </row>
    <row r="3587" spans="1:4" x14ac:dyDescent="0.2">
      <c r="A3587" s="5">
        <v>3526</v>
      </c>
      <c r="B3587" s="138">
        <f>'Acct Summary 7-8'!K77</f>
        <v>-115084</v>
      </c>
      <c r="C3587" s="2" t="s">
        <v>594</v>
      </c>
      <c r="D3587" s="2" t="str">
        <f t="shared" si="55"/>
        <v>Error?</v>
      </c>
    </row>
    <row r="3588" spans="1:4" x14ac:dyDescent="0.2">
      <c r="A3588" s="5">
        <v>3527</v>
      </c>
      <c r="B3588" s="138">
        <f>'Acct Summary 7-8'!K78</f>
        <v>-50641</v>
      </c>
      <c r="C3588" s="2" t="s">
        <v>594</v>
      </c>
      <c r="D3588" s="2" t="str">
        <f t="shared" si="55"/>
        <v>Error?</v>
      </c>
    </row>
    <row r="3589" spans="1:4" x14ac:dyDescent="0.2">
      <c r="A3589" s="5">
        <v>3528</v>
      </c>
      <c r="B3589" s="138">
        <f>'Acct Summary 7-8'!K79</f>
        <v>102239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51598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64443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115084</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115084</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101550</v>
      </c>
      <c r="C3725" s="2" t="s">
        <v>594</v>
      </c>
      <c r="D3725" s="2" t="str">
        <f t="shared" si="57"/>
        <v>Error?</v>
      </c>
    </row>
    <row r="3726" spans="1:4" x14ac:dyDescent="0.2">
      <c r="A3726" s="5">
        <v>3665</v>
      </c>
      <c r="B3726" s="138">
        <f>'Tax Sched 23'!D13</f>
        <v>46160</v>
      </c>
      <c r="C3726" s="2" t="s">
        <v>594</v>
      </c>
      <c r="D3726" s="2" t="str">
        <f t="shared" si="57"/>
        <v>Error?</v>
      </c>
    </row>
    <row r="3727" spans="1:4" x14ac:dyDescent="0.2">
      <c r="A3727" s="5">
        <v>3666</v>
      </c>
      <c r="B3727" s="138">
        <f>'Tax Sched 23'!C13</f>
        <v>55390</v>
      </c>
      <c r="D3727" s="2" t="str">
        <f t="shared" si="57"/>
        <v>Error?</v>
      </c>
    </row>
    <row r="3728" spans="1:4" x14ac:dyDescent="0.2">
      <c r="A3728" s="5">
        <v>3667</v>
      </c>
      <c r="B3728" s="138">
        <f>'Tax Sched 23'!F13</f>
        <v>48059</v>
      </c>
      <c r="C3728" s="2" t="s">
        <v>594</v>
      </c>
      <c r="D3728" s="2" t="str">
        <f t="shared" si="57"/>
        <v>Error?</v>
      </c>
    </row>
    <row r="3729" spans="1:4" x14ac:dyDescent="0.2">
      <c r="A3729" s="5">
        <v>3668</v>
      </c>
      <c r="B3729" s="138">
        <f>'Tax Sched 23'!E13</f>
        <v>103449</v>
      </c>
      <c r="D3729" s="2" t="str">
        <f t="shared" si="57"/>
        <v>Error?</v>
      </c>
    </row>
    <row r="3730" spans="1:4" x14ac:dyDescent="0.2">
      <c r="A3730" s="5">
        <v>3669</v>
      </c>
      <c r="B3730" s="138">
        <f>'ICR Computation 30'!E10</f>
        <v>4770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12644053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51185923</v>
      </c>
      <c r="C4122" s="2" t="s">
        <v>594</v>
      </c>
      <c r="D4122" s="2" t="str">
        <f t="shared" si="63"/>
        <v>Error?</v>
      </c>
    </row>
    <row r="4123" spans="1:4" x14ac:dyDescent="0.2">
      <c r="A4123" s="5">
        <v>4062</v>
      </c>
      <c r="B4123" s="138">
        <f>'Acct Summary 7-8'!D10</f>
        <v>7824089</v>
      </c>
      <c r="C4123" s="2" t="s">
        <v>594</v>
      </c>
      <c r="D4123" s="2" t="str">
        <f t="shared" si="63"/>
        <v>Error?</v>
      </c>
    </row>
    <row r="4124" spans="1:4" x14ac:dyDescent="0.2">
      <c r="A4124" s="5">
        <v>4063</v>
      </c>
      <c r="B4124" s="138">
        <f>'Acct Summary 7-8'!E10</f>
        <v>6961229</v>
      </c>
      <c r="C4124" s="2" t="s">
        <v>594</v>
      </c>
      <c r="D4124" s="2" t="str">
        <f t="shared" si="63"/>
        <v>Error?</v>
      </c>
    </row>
    <row r="4125" spans="1:4" x14ac:dyDescent="0.2">
      <c r="A4125" s="5">
        <v>4064</v>
      </c>
      <c r="B4125" s="138">
        <f>'Acct Summary 7-8'!F10</f>
        <v>3447051</v>
      </c>
      <c r="C4125" s="2" t="s">
        <v>594</v>
      </c>
      <c r="D4125" s="2" t="str">
        <f t="shared" si="63"/>
        <v>Error?</v>
      </c>
    </row>
    <row r="4126" spans="1:4" x14ac:dyDescent="0.2">
      <c r="A4126" s="5">
        <v>4065</v>
      </c>
      <c r="B4126" s="138">
        <f>'Acct Summary 7-8'!G10</f>
        <v>840515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63104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64443</v>
      </c>
      <c r="C4130" s="2" t="s">
        <v>594</v>
      </c>
      <c r="D4130" s="2" t="str">
        <f t="shared" si="63"/>
        <v>Error?</v>
      </c>
    </row>
    <row r="4131" spans="1:4" x14ac:dyDescent="0.2">
      <c r="A4131" s="5">
        <v>4070</v>
      </c>
      <c r="B4131" s="138">
        <f>'Acct Summary 7-8'!C18</f>
        <v>12644053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47089458</v>
      </c>
      <c r="C4136" s="2" t="s">
        <v>594</v>
      </c>
      <c r="D4136" s="2" t="str">
        <f t="shared" si="63"/>
        <v>Error?</v>
      </c>
    </row>
    <row r="4137" spans="1:4" x14ac:dyDescent="0.2">
      <c r="A4137" s="5">
        <v>4076</v>
      </c>
      <c r="B4137" s="138">
        <f>'Acct Summary 7-8'!D19</f>
        <v>7013898</v>
      </c>
      <c r="C4137" s="2" t="s">
        <v>594</v>
      </c>
      <c r="D4137" s="2" t="str">
        <f t="shared" si="63"/>
        <v>Error?</v>
      </c>
    </row>
    <row r="4138" spans="1:4" x14ac:dyDescent="0.2">
      <c r="A4138" s="5">
        <v>4077</v>
      </c>
      <c r="B4138" s="138">
        <f>'Acct Summary 7-8'!E19</f>
        <v>7715536</v>
      </c>
      <c r="C4138" s="2" t="s">
        <v>594</v>
      </c>
      <c r="D4138" s="2" t="str">
        <f t="shared" si="63"/>
        <v>Error?</v>
      </c>
    </row>
    <row r="4139" spans="1:4" x14ac:dyDescent="0.2">
      <c r="A4139" s="5">
        <v>4078</v>
      </c>
      <c r="B4139" s="138">
        <f>'Acct Summary 7-8'!F19</f>
        <v>2775873</v>
      </c>
      <c r="C4139" s="2" t="s">
        <v>594</v>
      </c>
      <c r="D4139" s="2" t="str">
        <f t="shared" si="63"/>
        <v>Error?</v>
      </c>
    </row>
    <row r="4140" spans="1:4" x14ac:dyDescent="0.2">
      <c r="A4140" s="5">
        <v>4079</v>
      </c>
      <c r="B4140" s="138">
        <f>'Acct Summary 7-8'!G19</f>
        <v>816529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4884547</v>
      </c>
      <c r="C4171" s="2" t="s">
        <v>594</v>
      </c>
      <c r="D4171" s="2" t="str">
        <f t="shared" si="64"/>
        <v>Error?</v>
      </c>
    </row>
    <row r="4172" spans="1:4" x14ac:dyDescent="0.2">
      <c r="A4172" s="5">
        <v>4111</v>
      </c>
      <c r="B4172" s="138">
        <f>'Short-Term Long-Term Debt 24'!J49</f>
        <v>793720</v>
      </c>
      <c r="C4172" s="2" t="s">
        <v>594</v>
      </c>
      <c r="D4172" s="2" t="str">
        <f t="shared" si="64"/>
        <v>Error?</v>
      </c>
    </row>
    <row r="4173" spans="1:4" x14ac:dyDescent="0.2">
      <c r="A4173" s="5">
        <v>4112</v>
      </c>
      <c r="B4173" s="138">
        <f>'Short-Term Long-Term Debt 24'!H49</f>
        <v>2113515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2369.5</v>
      </c>
      <c r="C4265" s="2" t="s">
        <v>594</v>
      </c>
      <c r="D4265" s="2" t="str">
        <f t="shared" si="65"/>
        <v>Error?</v>
      </c>
      <c r="E4265" s="128"/>
    </row>
    <row r="4266" spans="1:5" x14ac:dyDescent="0.2">
      <c r="A4266" s="12">
        <v>4205</v>
      </c>
      <c r="B4266" s="138">
        <f>('FP Info 3'!F10)*100000</f>
        <v>526.1</v>
      </c>
      <c r="C4266" s="2" t="s">
        <v>594</v>
      </c>
      <c r="D4266" s="2" t="str">
        <f t="shared" si="65"/>
        <v>Error?</v>
      </c>
      <c r="E4266" s="128"/>
    </row>
    <row r="4267" spans="1:5" x14ac:dyDescent="0.2">
      <c r="A4267" s="12">
        <v>4206</v>
      </c>
      <c r="B4267" s="138">
        <f>('FP Info 3'!H10)*100000</f>
        <v>148.19999999999999</v>
      </c>
      <c r="C4267" s="2" t="s">
        <v>594</v>
      </c>
      <c r="D4267" s="2" t="str">
        <f t="shared" si="65"/>
        <v>Error?</v>
      </c>
      <c r="E4267" s="128"/>
    </row>
    <row r="4268" spans="1:5" x14ac:dyDescent="0.2">
      <c r="A4268" s="12">
        <v>4207</v>
      </c>
      <c r="B4268" s="138">
        <f>('FP Info 3'!J10)*100000</f>
        <v>3044</v>
      </c>
      <c r="C4268" s="2" t="s">
        <v>594</v>
      </c>
      <c r="D4268" s="2" t="str">
        <f t="shared" si="65"/>
        <v>Error?</v>
      </c>
    </row>
    <row r="4269" spans="1:5" x14ac:dyDescent="0.2">
      <c r="A4269" s="12">
        <v>4208</v>
      </c>
      <c r="B4269" s="138">
        <f>'FP Info 3'!J16</f>
        <v>39390635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13006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70190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54575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5.1999999999999993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109739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1129727953</v>
      </c>
      <c r="D4995" s="2" t="str">
        <f t="shared" si="77"/>
        <v>Error?</v>
      </c>
    </row>
    <row r="4996" spans="1:4" x14ac:dyDescent="0.2">
      <c r="A4996" s="12">
        <v>4935</v>
      </c>
      <c r="B4996" s="138">
        <f>'FP Info 3'!H31</f>
        <v>77951228.756999999</v>
      </c>
      <c r="D4996" s="2" t="str">
        <f t="shared" si="77"/>
        <v>Error?</v>
      </c>
    </row>
    <row r="4997" spans="1:4" x14ac:dyDescent="0.2">
      <c r="A4997" s="12">
        <v>4936</v>
      </c>
      <c r="B4997" s="138">
        <f>'FP Info 3'!H37</f>
        <v>4884547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101550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27147379</v>
      </c>
      <c r="D5061" s="2" t="str">
        <f t="shared" si="78"/>
        <v>Error?</v>
      </c>
    </row>
    <row r="5062" spans="1:4" x14ac:dyDescent="0.2">
      <c r="A5062" s="10">
        <v>5001</v>
      </c>
      <c r="D5062" s="2" t="str">
        <f t="shared" si="78"/>
        <v>OK</v>
      </c>
    </row>
    <row r="5063" spans="1:4" x14ac:dyDescent="0.2">
      <c r="A5063" s="5">
        <v>5002</v>
      </c>
      <c r="B5063" s="138">
        <f>'Revenues 9-14'!C7</f>
        <v>418602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27667531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175654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175654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41603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819794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861397</v>
      </c>
      <c r="C5087" s="2" t="s">
        <v>594</v>
      </c>
      <c r="D5087" s="2" t="str">
        <f t="shared" si="78"/>
        <v>Error?</v>
      </c>
    </row>
    <row r="5088" spans="1:4" x14ac:dyDescent="0.2">
      <c r="A5088" s="5">
        <v>5027</v>
      </c>
      <c r="B5088" s="138">
        <f>'Revenues 9-14'!C65</f>
        <v>198383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198383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821559</v>
      </c>
      <c r="C5096" s="2" t="s">
        <v>594</v>
      </c>
      <c r="D5096" s="2" t="str">
        <f t="shared" si="78"/>
        <v>Error?</v>
      </c>
    </row>
    <row r="5097" spans="1:4" x14ac:dyDescent="0.2">
      <c r="A5097" s="5">
        <v>5036</v>
      </c>
      <c r="B5097" s="138">
        <f>'Revenues 9-14'!C77</f>
        <v>129137</v>
      </c>
      <c r="D5097" s="2" t="str">
        <f t="shared" si="78"/>
        <v>Error?</v>
      </c>
    </row>
    <row r="5098" spans="1:4" x14ac:dyDescent="0.2">
      <c r="A5098" s="5">
        <v>5037</v>
      </c>
      <c r="B5098" s="138">
        <f>'Revenues 9-14'!C78</f>
        <v>26652</v>
      </c>
      <c r="D5098" s="2" t="str">
        <f t="shared" si="78"/>
        <v>Error?</v>
      </c>
    </row>
    <row r="5099" spans="1:4" x14ac:dyDescent="0.2">
      <c r="A5099" s="5">
        <v>5038</v>
      </c>
      <c r="B5099" s="138">
        <f>'Revenues 9-14'!C79</f>
        <v>568927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802</v>
      </c>
      <c r="D5101" s="2" t="str">
        <f t="shared" si="78"/>
        <v>Error?</v>
      </c>
    </row>
    <row r="5102" spans="1:4" x14ac:dyDescent="0.2">
      <c r="A5102" s="5">
        <v>5041</v>
      </c>
      <c r="B5102" s="138">
        <f>'Revenues 9-14'!C82</f>
        <v>725518</v>
      </c>
      <c r="C5102" s="2" t="s">
        <v>594</v>
      </c>
      <c r="D5102" s="2" t="str">
        <f t="shared" si="78"/>
        <v>Error?</v>
      </c>
    </row>
    <row r="5103" spans="1:4" x14ac:dyDescent="0.2">
      <c r="A5103" s="5">
        <v>5042</v>
      </c>
      <c r="B5103" s="138">
        <f>'Revenues 9-14'!C84</f>
        <v>381803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31653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413456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102721</v>
      </c>
      <c r="D5114" s="2" t="str">
        <f t="shared" si="78"/>
        <v>Error?</v>
      </c>
    </row>
    <row r="5115" spans="1:4" x14ac:dyDescent="0.2">
      <c r="A5115" s="5">
        <v>5054</v>
      </c>
      <c r="B5115" s="138">
        <f>'Revenues 9-14'!C98</f>
        <v>379921</v>
      </c>
      <c r="D5115" s="2" t="str">
        <f t="shared" si="78"/>
        <v>Error?</v>
      </c>
    </row>
    <row r="5116" spans="1:4" x14ac:dyDescent="0.2">
      <c r="A5116" s="5">
        <v>5055</v>
      </c>
      <c r="B5116" s="138">
        <f>'Revenues 9-14'!C99</f>
        <v>8850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51753</v>
      </c>
      <c r="D5119" s="2" t="str">
        <f t="shared" ref="D5119:D5182" si="79">IF(ISBLANK(B5119),"OK",IF(A5119-B5119=0,"OK","Error?"))</f>
        <v>Error?</v>
      </c>
    </row>
    <row r="5120" spans="1:4" x14ac:dyDescent="0.2">
      <c r="A5120" s="5">
        <v>5059</v>
      </c>
      <c r="B5120" s="138">
        <f>'Revenues 9-14'!C108</f>
        <v>613143</v>
      </c>
      <c r="C5120" s="2" t="s">
        <v>594</v>
      </c>
      <c r="D5120" s="2" t="str">
        <f t="shared" si="79"/>
        <v>Error?</v>
      </c>
    </row>
    <row r="5121" spans="1:4" x14ac:dyDescent="0.2">
      <c r="A5121" s="5">
        <v>5060</v>
      </c>
      <c r="B5121" s="138">
        <f>'Revenues 9-14'!C109</f>
        <v>31476641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3545154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3545154</v>
      </c>
      <c r="C5132" s="2" t="s">
        <v>594</v>
      </c>
      <c r="D5132" s="2" t="str">
        <f t="shared" si="79"/>
        <v>Error?</v>
      </c>
    </row>
    <row r="5133" spans="1:4" x14ac:dyDescent="0.2">
      <c r="A5133" s="5">
        <v>5072</v>
      </c>
      <c r="B5133" s="138">
        <f>'Revenues 9-14'!C124</f>
        <v>284007</v>
      </c>
      <c r="D5133" s="2" t="str">
        <f t="shared" si="79"/>
        <v>Error?</v>
      </c>
    </row>
    <row r="5134" spans="1:4" x14ac:dyDescent="0.2">
      <c r="A5134" s="5">
        <v>5073</v>
      </c>
      <c r="B5134" s="138">
        <f>'Revenues 9-14'!C125</f>
        <v>171280</v>
      </c>
      <c r="D5134" s="2" t="str">
        <f t="shared" si="79"/>
        <v>Error?</v>
      </c>
    </row>
    <row r="5135" spans="1:4" x14ac:dyDescent="0.2">
      <c r="A5135" s="5">
        <v>5074</v>
      </c>
      <c r="B5135" s="138">
        <f>'Revenues 9-14'!C126</f>
        <v>214305</v>
      </c>
      <c r="D5135" s="2" t="str">
        <f t="shared" si="79"/>
        <v>Error?</v>
      </c>
    </row>
    <row r="5136" spans="1:4" x14ac:dyDescent="0.2">
      <c r="A5136" s="10">
        <v>5075</v>
      </c>
      <c r="D5136" s="2" t="str">
        <f t="shared" si="79"/>
        <v>OK</v>
      </c>
    </row>
    <row r="5137" spans="1:4" x14ac:dyDescent="0.2">
      <c r="A5137" s="5">
        <v>5076</v>
      </c>
      <c r="B5137" s="138">
        <f>'Revenues 9-14'!C127</f>
        <v>1644395</v>
      </c>
      <c r="D5137" s="2" t="str">
        <f t="shared" si="79"/>
        <v>Error?</v>
      </c>
    </row>
    <row r="5138" spans="1:4" x14ac:dyDescent="0.2">
      <c r="A5138" s="10">
        <v>5077</v>
      </c>
      <c r="D5138" s="2" t="str">
        <f t="shared" si="79"/>
        <v>OK</v>
      </c>
    </row>
    <row r="5139" spans="1:4" x14ac:dyDescent="0.2">
      <c r="A5139" s="5">
        <v>5078</v>
      </c>
      <c r="B5139" s="138">
        <f>'Revenues 9-14'!C128</f>
        <v>338376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2652363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57277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57277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60746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2880125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6425279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4770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4770</v>
      </c>
      <c r="C5246" s="2" t="s">
        <v>594</v>
      </c>
      <c r="D5246" s="2" t="str">
        <f t="shared" si="80"/>
        <v>Error?</v>
      </c>
    </row>
    <row r="5247" spans="1:4" x14ac:dyDescent="0.2">
      <c r="A5247" s="5">
        <v>5186</v>
      </c>
      <c r="B5247" s="138">
        <f>'Revenues 9-14'!C203</f>
        <v>127354</v>
      </c>
      <c r="D5247" s="2" t="str">
        <f t="shared" ref="D5247:D5310" si="81">IF(ISBLANK(B5247),"OK",IF(A5247-B5247=0,"OK","Error?"))</f>
        <v>Error?</v>
      </c>
    </row>
    <row r="5248" spans="1:4" x14ac:dyDescent="0.2">
      <c r="A5248" s="5">
        <v>5187</v>
      </c>
      <c r="B5248" s="138">
        <f>'Revenues 9-14'!C204</f>
        <v>100381</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227735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241684</v>
      </c>
      <c r="D5278" s="2" t="str">
        <f t="shared" si="81"/>
        <v>Error?</v>
      </c>
    </row>
    <row r="5279" spans="1:4" x14ac:dyDescent="0.2">
      <c r="A5279" s="5">
        <v>5218</v>
      </c>
      <c r="B5279" s="138">
        <f>'Revenues 9-14'!C221</f>
        <v>1214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242898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26776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26776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639950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639950</v>
      </c>
      <c r="C5326" s="2" t="s">
        <v>594</v>
      </c>
      <c r="D5326" s="2" t="str">
        <f t="shared" si="82"/>
        <v>Error?</v>
      </c>
    </row>
    <row r="5327" spans="1:4" x14ac:dyDescent="0.2">
      <c r="A5327" s="5">
        <v>5266</v>
      </c>
      <c r="B5327" s="138">
        <f>'Revenues 9-14'!C275</f>
        <v>38541870</v>
      </c>
      <c r="C5327" s="2" t="s">
        <v>594</v>
      </c>
      <c r="D5327" s="2" t="str">
        <f t="shared" si="82"/>
        <v>Error?</v>
      </c>
    </row>
    <row r="5328" spans="1:4" x14ac:dyDescent="0.2">
      <c r="A5328" s="5">
        <v>5267</v>
      </c>
      <c r="B5328" s="138">
        <f>'Revenues 9-14'!D5</f>
        <v>5985841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5985841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33474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33474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68394</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68394</v>
      </c>
      <c r="C5348" s="2" t="s">
        <v>594</v>
      </c>
      <c r="D5348" s="2" t="str">
        <f t="shared" si="82"/>
        <v>Error?</v>
      </c>
    </row>
    <row r="5349" spans="1:4" x14ac:dyDescent="0.2">
      <c r="A5349" s="5">
        <v>5288</v>
      </c>
      <c r="B5349" s="138">
        <f>'Revenues 9-14'!D95</f>
        <v>121515</v>
      </c>
      <c r="D5349" s="2" t="str">
        <f t="shared" si="82"/>
        <v>Error?</v>
      </c>
    </row>
    <row r="5350" spans="1:4" x14ac:dyDescent="0.2">
      <c r="A5350" s="5">
        <v>5289</v>
      </c>
      <c r="B5350" s="138">
        <f>'Revenues 9-14'!D96</f>
        <v>2258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112607</v>
      </c>
      <c r="D5354" s="2" t="str">
        <f t="shared" si="82"/>
        <v>Error?</v>
      </c>
    </row>
    <row r="5355" spans="1:4" x14ac:dyDescent="0.2">
      <c r="A5355" s="5">
        <v>5294</v>
      </c>
      <c r="B5355" s="138">
        <f>'Revenues 9-14'!D108</f>
        <v>236380</v>
      </c>
      <c r="C5355" s="2" t="s">
        <v>594</v>
      </c>
      <c r="D5355" s="2" t="str">
        <f t="shared" si="82"/>
        <v>Error?</v>
      </c>
    </row>
    <row r="5356" spans="1:4" x14ac:dyDescent="0.2">
      <c r="A5356" s="5">
        <v>5295</v>
      </c>
      <c r="B5356" s="138">
        <f>'Revenues 9-14'!D109</f>
        <v>6324089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1500000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1500000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7824089</v>
      </c>
      <c r="C5508" s="2" t="s">
        <v>594</v>
      </c>
      <c r="D5508" s="2" t="str">
        <f t="shared" si="85"/>
        <v>Error?</v>
      </c>
    </row>
    <row r="5509" spans="1:4" x14ac:dyDescent="0.2">
      <c r="A5509" s="5">
        <v>5448</v>
      </c>
      <c r="B5509" s="138">
        <f>'Revenues 9-14'!E5</f>
        <v>6946986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6946986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14243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14243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6961229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6961229</v>
      </c>
      <c r="C5552" s="2" t="s">
        <v>594</v>
      </c>
      <c r="D5552" s="2" t="str">
        <f t="shared" si="85"/>
        <v>Error?</v>
      </c>
    </row>
    <row r="5553" spans="1:4" x14ac:dyDescent="0.2">
      <c r="A5553" s="5">
        <v>5492</v>
      </c>
      <c r="B5553" s="138">
        <f>'Revenues 9-14'!F5</f>
        <v>1622652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1622652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10186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10186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1632838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450000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450000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268779</v>
      </c>
      <c r="D5615" s="2" t="str">
        <f t="shared" si="86"/>
        <v>Error?</v>
      </c>
    </row>
    <row r="5616" spans="1:4" x14ac:dyDescent="0.2">
      <c r="A5616" s="10">
        <v>5555</v>
      </c>
      <c r="D5616" s="2" t="str">
        <f t="shared" si="86"/>
        <v>OK</v>
      </c>
    </row>
    <row r="5617" spans="1:4" x14ac:dyDescent="0.2">
      <c r="A5617" s="5">
        <v>5556</v>
      </c>
      <c r="B5617" s="138">
        <f>'Revenues 9-14'!F152</f>
        <v>1095434</v>
      </c>
      <c r="D5617" s="2" t="str">
        <f t="shared" si="86"/>
        <v>Error?</v>
      </c>
    </row>
    <row r="5618" spans="1:4" x14ac:dyDescent="0.2">
      <c r="A5618" s="5">
        <v>5557</v>
      </c>
      <c r="B5618" s="138">
        <f>'Revenues 9-14'!F154</f>
        <v>1364213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1364213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1814213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3447051</v>
      </c>
      <c r="C5720" s="2" t="s">
        <v>594</v>
      </c>
      <c r="D5720" s="2" t="str">
        <f t="shared" si="88"/>
        <v>Error?</v>
      </c>
    </row>
    <row r="5721" spans="1:4" x14ac:dyDescent="0.2">
      <c r="A5721" s="5">
        <v>5660</v>
      </c>
      <c r="B5721" s="138">
        <f>'Revenues 9-14'!G5</f>
        <v>88723</v>
      </c>
      <c r="D5721" s="2" t="str">
        <f t="shared" si="88"/>
        <v>Error?</v>
      </c>
    </row>
    <row r="5722" spans="1:4" x14ac:dyDescent="0.2">
      <c r="A5722" s="5">
        <v>5661</v>
      </c>
      <c r="B5722" s="138">
        <f>'Revenues 9-14'!G7</f>
        <v>77135</v>
      </c>
      <c r="D5722" s="2" t="str">
        <f t="shared" si="88"/>
        <v>Error?</v>
      </c>
    </row>
    <row r="5723" spans="1:4" x14ac:dyDescent="0.2">
      <c r="A5723" s="5">
        <v>5662</v>
      </c>
      <c r="B5723" s="138">
        <f>'Revenues 9-14'!G8</f>
        <v>377411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543269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45000</v>
      </c>
      <c r="C5730" s="2" t="s">
        <v>594</v>
      </c>
      <c r="D5730" s="2" t="str">
        <f t="shared" si="88"/>
        <v>Error?</v>
      </c>
    </row>
    <row r="5731" spans="1:4" x14ac:dyDescent="0.2">
      <c r="A5731" s="5">
        <v>5670</v>
      </c>
      <c r="B5731" s="138">
        <f>'Revenues 9-14'!G65</f>
        <v>2246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2246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250000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250000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250000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840515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60417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60417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2687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2687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63104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64189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64189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254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64443</v>
      </c>
      <c r="C6023" s="2" t="s">
        <v>594</v>
      </c>
      <c r="D6023" s="2" t="str">
        <f t="shared" si="93"/>
        <v>Error?</v>
      </c>
    </row>
    <row r="6024" spans="1:5" x14ac:dyDescent="0.2">
      <c r="A6024" s="5">
        <v>5963</v>
      </c>
      <c r="B6024" s="138">
        <f>'Revenues 9-14'!G109</f>
        <v>590515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63104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64443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821559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2507.9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198234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94</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378</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-675</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-165</v>
      </c>
      <c r="D6172" s="2" t="str">
        <f t="shared" si="95"/>
        <v>Error?</v>
      </c>
      <c r="E6172" s="2" t="s">
        <v>199</v>
      </c>
    </row>
    <row r="6173" spans="1:5" x14ac:dyDescent="0.2">
      <c r="A6173">
        <v>6112</v>
      </c>
      <c r="B6173" s="138">
        <f>'Assets-Liab 5-6'!G30</f>
        <v>-250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198234</v>
      </c>
      <c r="D6215" s="2" t="str">
        <f t="shared" si="96"/>
        <v>Error?</v>
      </c>
      <c r="E6215" s="2" t="s">
        <v>199</v>
      </c>
    </row>
    <row r="6216" spans="1:5" x14ac:dyDescent="0.2">
      <c r="A6216">
        <v>6155</v>
      </c>
      <c r="B6216" s="138">
        <f>'Assets-Liab 5-6'!J41</f>
        <v>198234</v>
      </c>
      <c r="D6216" s="2" t="str">
        <f t="shared" si="96"/>
        <v>Error?</v>
      </c>
      <c r="E6216" s="2" t="s">
        <v>199</v>
      </c>
    </row>
    <row r="6217" spans="1:5" x14ac:dyDescent="0.2">
      <c r="A6217">
        <v>6156</v>
      </c>
      <c r="B6217" s="138">
        <f>'Assets-Liab 5-6'!J4</f>
        <v>198234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267450</v>
      </c>
      <c r="D6220" s="2" t="str">
        <f t="shared" si="96"/>
        <v>Error?</v>
      </c>
      <c r="E6220" s="2" t="s">
        <v>199</v>
      </c>
    </row>
    <row r="6221" spans="1:5" x14ac:dyDescent="0.2">
      <c r="A6221">
        <v>6160</v>
      </c>
      <c r="B6221" s="138">
        <f>'Acct Summary 7-8'!J6</f>
        <v>40000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307450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307450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262384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262384</v>
      </c>
      <c r="D6229" s="2" t="str">
        <f t="shared" si="96"/>
        <v>Error?</v>
      </c>
      <c r="E6229" s="2" t="s">
        <v>199</v>
      </c>
    </row>
    <row r="6230" spans="1:5" x14ac:dyDescent="0.2">
      <c r="A6230">
        <v>6169</v>
      </c>
      <c r="B6230" s="138">
        <f>'Acct Summary 7-8'!J20</f>
        <v>45066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45066</v>
      </c>
      <c r="D6263" s="2" t="str">
        <f t="shared" si="96"/>
        <v>Error?</v>
      </c>
      <c r="E6263" s="2" t="s">
        <v>199</v>
      </c>
    </row>
    <row r="6264" spans="1:5" x14ac:dyDescent="0.2">
      <c r="A6264">
        <v>6203</v>
      </c>
      <c r="B6264" s="138">
        <f>'Acct Summary 7-8'!J79</f>
        <v>153168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198234</v>
      </c>
      <c r="D6266" s="2" t="str">
        <f t="shared" si="96"/>
        <v>Error?</v>
      </c>
      <c r="E6266" s="2" t="s">
        <v>199</v>
      </c>
    </row>
    <row r="6267" spans="1:5" x14ac:dyDescent="0.2">
      <c r="A6267">
        <v>6206</v>
      </c>
      <c r="B6267" s="138">
        <f>'Acct Summary 7-8'!C82</f>
        <v>3199851</v>
      </c>
      <c r="D6267" s="2" t="str">
        <f t="shared" si="96"/>
        <v>Error?</v>
      </c>
      <c r="E6267" s="2" t="s">
        <v>199</v>
      </c>
    </row>
    <row r="6268" spans="1:5" x14ac:dyDescent="0.2">
      <c r="A6268">
        <v>6207</v>
      </c>
      <c r="B6268" s="138">
        <f>'Acct Summary 7-8'!D82</f>
        <v>605596</v>
      </c>
      <c r="D6268" s="2" t="str">
        <f t="shared" si="96"/>
        <v>Error?</v>
      </c>
      <c r="E6268" s="2" t="s">
        <v>199</v>
      </c>
    </row>
    <row r="6269" spans="1:5" x14ac:dyDescent="0.2">
      <c r="A6269">
        <v>6208</v>
      </c>
      <c r="B6269" s="138">
        <f>'Acct Summary 7-8'!E82</f>
        <v>461986</v>
      </c>
      <c r="D6269" s="2" t="str">
        <f t="shared" si="96"/>
        <v>Error?</v>
      </c>
      <c r="E6269" s="2" t="s">
        <v>199</v>
      </c>
    </row>
    <row r="6270" spans="1:5" x14ac:dyDescent="0.2">
      <c r="A6270">
        <v>6209</v>
      </c>
      <c r="B6270" s="138">
        <f>'Acct Summary 7-8'!F82</f>
        <v>671178</v>
      </c>
      <c r="D6270" s="2" t="str">
        <f t="shared" si="96"/>
        <v>Error?</v>
      </c>
      <c r="E6270" s="2" t="s">
        <v>199</v>
      </c>
    </row>
    <row r="6271" spans="1:5" x14ac:dyDescent="0.2">
      <c r="A6271">
        <v>6210</v>
      </c>
      <c r="B6271" s="138">
        <f>'Acct Summary 7-8'!G82</f>
        <v>23986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63104</v>
      </c>
      <c r="D6273" s="2" t="str">
        <f t="shared" si="97"/>
        <v>Error?</v>
      </c>
      <c r="E6273" s="2" t="s">
        <v>199</v>
      </c>
    </row>
    <row r="6274" spans="1:5" x14ac:dyDescent="0.2">
      <c r="A6274">
        <v>6213</v>
      </c>
      <c r="B6274" s="138">
        <f>'Acct Summary 7-8'!J82</f>
        <v>45066</v>
      </c>
      <c r="D6274" s="2" t="str">
        <f t="shared" si="97"/>
        <v>Error?</v>
      </c>
      <c r="E6274" s="2" t="s">
        <v>199</v>
      </c>
    </row>
    <row r="6275" spans="1:5" x14ac:dyDescent="0.2">
      <c r="A6275">
        <v>6214</v>
      </c>
      <c r="B6275" s="138">
        <f>'Acct Summary 7-8'!K82</f>
        <v>-50641</v>
      </c>
      <c r="D6275" s="2" t="str">
        <f t="shared" si="97"/>
        <v>Error?</v>
      </c>
      <c r="E6275" s="2" t="s">
        <v>199</v>
      </c>
    </row>
    <row r="6276" spans="1:5" x14ac:dyDescent="0.2">
      <c r="A6276">
        <v>6215</v>
      </c>
      <c r="B6276" s="138">
        <f>'Acct Summary 7-8'!C83</f>
        <v>0.10230576274591734</v>
      </c>
      <c r="D6276" s="2" t="str">
        <f t="shared" si="97"/>
        <v>Error?</v>
      </c>
      <c r="E6276" s="2" t="s">
        <v>199</v>
      </c>
    </row>
    <row r="6277" spans="1:5" x14ac:dyDescent="0.2">
      <c r="A6277">
        <v>6216</v>
      </c>
      <c r="B6277" s="138">
        <f>'Acct Summary 7-8'!D83</f>
        <v>0.108088349601725</v>
      </c>
      <c r="D6277" s="2" t="str">
        <f t="shared" si="97"/>
        <v>Error?</v>
      </c>
      <c r="E6277" s="2" t="s">
        <v>199</v>
      </c>
    </row>
    <row r="6278" spans="1:5" x14ac:dyDescent="0.2">
      <c r="A6278">
        <v>6217</v>
      </c>
      <c r="B6278" s="138">
        <f>'Acct Summary 7-8'!E83</f>
        <v>0.1129321772834686</v>
      </c>
      <c r="D6278" s="2" t="str">
        <f t="shared" si="97"/>
        <v>Error?</v>
      </c>
      <c r="E6278" s="2" t="s">
        <v>199</v>
      </c>
    </row>
    <row r="6279" spans="1:5" x14ac:dyDescent="0.2">
      <c r="A6279">
        <v>6218</v>
      </c>
      <c r="B6279" s="138">
        <f>'Acct Summary 7-8'!F83</f>
        <v>0.34966493686600963</v>
      </c>
      <c r="D6279" s="2" t="str">
        <f t="shared" si="97"/>
        <v>Error?</v>
      </c>
      <c r="E6279" s="2" t="s">
        <v>199</v>
      </c>
    </row>
    <row r="6280" spans="1:5" x14ac:dyDescent="0.2">
      <c r="A6280">
        <v>6219</v>
      </c>
      <c r="B6280" s="138">
        <f>'Acct Summary 7-8'!G83</f>
        <v>6.9384661668055167E-2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0.10676953792531682</v>
      </c>
      <c r="D6282" s="2" t="str">
        <f t="shared" si="97"/>
        <v>Error?</v>
      </c>
      <c r="E6282" s="2" t="s">
        <v>199</v>
      </c>
    </row>
    <row r="6283" spans="1:5" x14ac:dyDescent="0.2">
      <c r="A6283">
        <v>6222</v>
      </c>
      <c r="B6283" s="138">
        <f>'Acct Summary 7-8'!J83</f>
        <v>0.22733738914616058</v>
      </c>
      <c r="D6283" s="2" t="str">
        <f t="shared" si="97"/>
        <v>Error?</v>
      </c>
      <c r="E6283" s="2" t="s">
        <v>199</v>
      </c>
    </row>
    <row r="6284" spans="1:5" x14ac:dyDescent="0.2">
      <c r="A6284">
        <v>6223</v>
      </c>
      <c r="B6284" s="138">
        <f>'Acct Summary 7-8'!K83</f>
        <v>-0.9814527694871894</v>
      </c>
      <c r="D6284" s="2" t="str">
        <f t="shared" si="97"/>
        <v>Error?</v>
      </c>
      <c r="E6284" s="2" t="s">
        <v>199</v>
      </c>
    </row>
    <row r="6285" spans="1:5" x14ac:dyDescent="0.2">
      <c r="A6285">
        <v>6224</v>
      </c>
      <c r="B6285" s="138">
        <f>'Acct Summary 7-8'!E37</f>
        <v>376971</v>
      </c>
      <c r="D6285" s="2" t="str">
        <f t="shared" si="97"/>
        <v>Error?</v>
      </c>
      <c r="E6285" s="2" t="s">
        <v>199</v>
      </c>
    </row>
    <row r="6286" spans="1:5" x14ac:dyDescent="0.2">
      <c r="A6286">
        <v>6225</v>
      </c>
      <c r="B6286" s="138">
        <f>'Acct Summary 7-8'!E38</f>
        <v>3481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263908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263908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463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463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3079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64550</v>
      </c>
      <c r="D6339" s="2" t="str">
        <f t="shared" si="98"/>
        <v>Error?</v>
      </c>
      <c r="E6339" s="2" t="s">
        <v>199</v>
      </c>
    </row>
    <row r="6340" spans="1:5" x14ac:dyDescent="0.2">
      <c r="A6340">
        <v>6279</v>
      </c>
      <c r="B6340" s="138">
        <f>'Revenues 9-14'!C102</f>
        <v>5348</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3079</v>
      </c>
      <c r="D6351" s="2" t="str">
        <f t="shared" si="98"/>
        <v>Error?</v>
      </c>
      <c r="E6351" s="2" t="s">
        <v>199</v>
      </c>
    </row>
    <row r="6352" spans="1:5" x14ac:dyDescent="0.2">
      <c r="A6352">
        <v>6291</v>
      </c>
      <c r="B6352" s="138">
        <f>'Revenues 9-14'!J109</f>
        <v>267450</v>
      </c>
      <c r="D6352" s="2" t="str">
        <f t="shared" si="98"/>
        <v>Error?</v>
      </c>
      <c r="E6352" s="2" t="s">
        <v>199</v>
      </c>
    </row>
    <row r="6353" spans="1:5" x14ac:dyDescent="0.2">
      <c r="A6353">
        <v>6292</v>
      </c>
      <c r="B6353" s="138">
        <f>'Revenues 9-14'!J117</f>
        <v>40000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40000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40000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494328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5579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194821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374874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694728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1262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1262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8315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8315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8665</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8665</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2800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2800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158554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158554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179596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1044538</v>
      </c>
      <c r="D6983" s="2" t="str">
        <f t="shared" si="108"/>
        <v>Error?</v>
      </c>
    </row>
    <row r="6984" spans="1:4" x14ac:dyDescent="0.2">
      <c r="A6984">
        <v>6923</v>
      </c>
      <c r="B6984" s="138">
        <f>'Expenditures 15-22'!K86</f>
        <v>1044538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1044538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874324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73470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73470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73470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262384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73470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307450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4598</v>
      </c>
      <c r="D7079" s="2" t="str">
        <f t="shared" si="109"/>
        <v>Error?</v>
      </c>
    </row>
    <row r="7080" spans="1:4" x14ac:dyDescent="0.2">
      <c r="A7080">
        <v>7019</v>
      </c>
      <c r="B7080" s="138">
        <f>'Expenditures 15-22'!K226</f>
        <v>4598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72570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72570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262384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262384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262384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262384</v>
      </c>
      <c r="D7224" s="2" t="str">
        <f t="shared" si="111"/>
        <v>Error?</v>
      </c>
    </row>
    <row r="7225" spans="1:4" x14ac:dyDescent="0.2">
      <c r="A7225">
        <v>7164</v>
      </c>
      <c r="B7225" s="138">
        <f>'Expenditures 15-22'!K343</f>
        <v>45066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271968</v>
      </c>
      <c r="D7263" s="2" t="str">
        <f t="shared" si="112"/>
        <v>Error?</v>
      </c>
    </row>
    <row r="7264" spans="1:4" x14ac:dyDescent="0.2">
      <c r="A7264">
        <f t="shared" si="113"/>
        <v>7203</v>
      </c>
      <c r="B7264" s="138">
        <f>'Expenditures 15-22'!D17</f>
        <v>81704</v>
      </c>
      <c r="D7264" s="2" t="str">
        <f t="shared" si="112"/>
        <v>Error?</v>
      </c>
    </row>
    <row r="7265" spans="1:5" x14ac:dyDescent="0.2">
      <c r="A7265">
        <f t="shared" si="113"/>
        <v>7204</v>
      </c>
      <c r="B7265" s="138">
        <f>'Expenditures 15-22'!E17</f>
        <v>17165</v>
      </c>
      <c r="D7265" s="2" t="str">
        <f t="shared" si="112"/>
        <v>Error?</v>
      </c>
    </row>
    <row r="7266" spans="1:5" x14ac:dyDescent="0.2">
      <c r="A7266">
        <f t="shared" si="113"/>
        <v>7205</v>
      </c>
      <c r="B7266" s="138">
        <f>'Expenditures 15-22'!F17</f>
        <v>4037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947794</v>
      </c>
      <c r="D7624" s="2" t="str">
        <f t="shared" si="124"/>
        <v>Error?</v>
      </c>
      <c r="E7624" s="2" t="s">
        <v>19</v>
      </c>
    </row>
    <row r="7625" spans="1:5" x14ac:dyDescent="0.2">
      <c r="A7625">
        <f t="shared" si="123"/>
        <v>7564</v>
      </c>
      <c r="B7625" s="138">
        <f>'Cap Outlay Deprec 26'!I17</f>
        <v>94779.4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2856809.4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175469</v>
      </c>
      <c r="D7654" s="2" t="str">
        <f t="shared" si="124"/>
        <v>Error?</v>
      </c>
      <c r="E7654" s="2" t="s">
        <v>881</v>
      </c>
    </row>
    <row r="7655" spans="1:5" x14ac:dyDescent="0.2">
      <c r="A7655">
        <v>7594</v>
      </c>
      <c r="B7655" s="138">
        <f>'Acct Summary 7-8'!D56</f>
        <v>201502</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388</v>
      </c>
      <c r="D7663" s="2" t="str">
        <f t="shared" si="124"/>
        <v>Error?</v>
      </c>
      <c r="E7663" s="2" t="s">
        <v>881</v>
      </c>
    </row>
    <row r="7664" spans="1:5" x14ac:dyDescent="0.2">
      <c r="A7664">
        <v>7603</v>
      </c>
      <c r="B7664" s="138">
        <f>'Acct Summary 7-8'!D60</f>
        <v>3093</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189814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189814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64550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60746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125296</v>
      </c>
      <c r="D7719" s="2" t="str">
        <f t="shared" si="126"/>
        <v>Error?</v>
      </c>
      <c r="E7719" s="2" t="s">
        <v>881</v>
      </c>
    </row>
    <row r="7720" spans="1:6" x14ac:dyDescent="0.2">
      <c r="A7720">
        <v>7659</v>
      </c>
      <c r="B7720" s="138">
        <f>'Rest Tax Levies-Tort Im 25'!H14</f>
        <v>502728</v>
      </c>
      <c r="D7720" s="2" t="str">
        <f t="shared" si="126"/>
        <v>Error?</v>
      </c>
      <c r="E7720" s="2" t="s">
        <v>881</v>
      </c>
    </row>
    <row r="7721" spans="1:6" x14ac:dyDescent="0.2">
      <c r="A7721">
        <v>7660</v>
      </c>
      <c r="B7721" s="138">
        <f>'Rest Tax Levies-Tort Im 25'!K14</f>
        <v>125296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28504</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3761495</v>
      </c>
      <c r="D7797" s="2" t="str">
        <f t="shared" si="127"/>
        <v>Error?</v>
      </c>
      <c r="E7797" s="4" t="s">
        <v>2020</v>
      </c>
    </row>
    <row r="7798" spans="1:5" x14ac:dyDescent="0.2">
      <c r="A7798">
        <v>7737</v>
      </c>
      <c r="B7798" s="138">
        <f>'Contracts Paid in CY 29'!F141</f>
        <v>275000</v>
      </c>
      <c r="D7798" s="2" t="str">
        <f t="shared" si="127"/>
        <v>Error?</v>
      </c>
      <c r="E7798" s="4" t="s">
        <v>2020</v>
      </c>
    </row>
    <row r="7799" spans="1:5" x14ac:dyDescent="0.2">
      <c r="A7799">
        <v>7738</v>
      </c>
      <c r="B7799" s="138">
        <f>'Contracts Paid in CY 29'!G141</f>
        <v>3486495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2" t="str">
        <f>COVER!A17</f>
        <v>CHSD 117</v>
      </c>
      <c r="B7" s="2403"/>
      <c r="C7" s="2403"/>
      <c r="D7" s="2440"/>
      <c r="E7" s="2441">
        <f>COVER!A13</f>
        <v>34049117016</v>
      </c>
      <c r="F7" s="2442"/>
      <c r="G7" s="2409" t="str">
        <f>COVER!T23</f>
        <v>066-005142</v>
      </c>
      <c r="H7" s="2410"/>
      <c r="I7" s="2410"/>
      <c r="J7" s="2410"/>
      <c r="K7" s="2410"/>
      <c r="L7" s="2411"/>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2"/>
      <c r="B9" s="2413"/>
      <c r="C9" s="2413"/>
      <c r="D9" s="2413"/>
      <c r="E9" s="2413"/>
      <c r="F9" s="2414"/>
      <c r="G9" s="2415" t="str">
        <f>COVER!T13</f>
        <v>EDER, CASELLA &amp; CO.</v>
      </c>
      <c r="H9" s="2416"/>
      <c r="I9" s="2416"/>
      <c r="J9" s="2416"/>
      <c r="K9" s="2416"/>
      <c r="L9" s="2417"/>
    </row>
    <row r="10" spans="1:29" ht="13.5" customHeight="1" x14ac:dyDescent="0.2">
      <c r="A10" s="2399">
        <f>COVER!A38</f>
        <v>0</v>
      </c>
      <c r="B10" s="2400"/>
      <c r="C10" s="2400"/>
      <c r="D10" s="2400"/>
      <c r="E10" s="2400"/>
      <c r="F10" s="2401"/>
      <c r="G10" s="2415" t="str">
        <f>COVER!T17</f>
        <v>4237 GROVE AVENUE</v>
      </c>
      <c r="H10" s="2428"/>
      <c r="I10" s="2428"/>
      <c r="J10" s="2428"/>
      <c r="K10" s="2428"/>
      <c r="L10" s="2429"/>
    </row>
    <row r="11" spans="1:29" ht="13.5" customHeight="1" x14ac:dyDescent="0.2">
      <c r="A11" s="1184" t="s">
        <v>1599</v>
      </c>
      <c r="B11" s="1185"/>
      <c r="C11" s="1186"/>
      <c r="D11" s="1191"/>
      <c r="E11" s="1186"/>
      <c r="F11" s="1190"/>
      <c r="G11" s="2415" t="str">
        <f>COVER!T19</f>
        <v xml:space="preserve">GURNEE </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CPAS@EDERCASELLA.COM</v>
      </c>
      <c r="J13" s="2437"/>
      <c r="K13" s="2437"/>
      <c r="L13" s="2438"/>
    </row>
    <row r="14" spans="1:29" ht="13.5" customHeight="1" x14ac:dyDescent="0.2">
      <c r="A14" s="2415" t="str">
        <f>COVER!A19</f>
        <v>1625 DEEP LAKE ROAD</v>
      </c>
      <c r="B14" s="2428"/>
      <c r="C14" s="2428"/>
      <c r="D14" s="2428"/>
      <c r="E14" s="2428"/>
      <c r="F14" s="2429"/>
      <c r="G14" s="1195" t="s">
        <v>1247</v>
      </c>
      <c r="H14" s="1193"/>
      <c r="I14" s="1193"/>
      <c r="J14" s="1193"/>
      <c r="K14" s="1193"/>
      <c r="L14" s="1194"/>
    </row>
    <row r="15" spans="1:29" ht="13.5" customHeight="1" x14ac:dyDescent="0.2">
      <c r="A15" s="2415" t="str">
        <f>COVER!A21</f>
        <v>LAKE VILLA</v>
      </c>
      <c r="B15" s="2428"/>
      <c r="C15" s="2428"/>
      <c r="D15" s="2428"/>
      <c r="E15" s="2428"/>
      <c r="F15" s="2429"/>
      <c r="G15" s="2425" t="str">
        <f>COVER!T15</f>
        <v>CHERYDEN JUERGENSEN</v>
      </c>
      <c r="H15" s="2426"/>
      <c r="I15" s="2426"/>
      <c r="J15" s="2426"/>
      <c r="K15" s="2426"/>
      <c r="L15" s="2427"/>
    </row>
    <row r="16" spans="1:29" ht="12.2" customHeight="1" x14ac:dyDescent="0.2">
      <c r="A16" s="2405">
        <f>COVER!A25</f>
        <v>60046</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5" t="s">
        <v>1246</v>
      </c>
      <c r="H17" s="1193"/>
      <c r="I17" s="1193"/>
      <c r="J17" s="1193"/>
      <c r="K17" s="1197" t="s">
        <v>1245</v>
      </c>
      <c r="L17" s="1190"/>
      <c r="M17" s="1183"/>
    </row>
    <row r="18" spans="1:13" ht="12.2" customHeight="1" x14ac:dyDescent="0.2">
      <c r="A18" s="2399"/>
      <c r="B18" s="2400"/>
      <c r="C18" s="2400"/>
      <c r="D18" s="2400"/>
      <c r="E18" s="2400"/>
      <c r="F18" s="2401"/>
      <c r="G18" s="2402" t="str">
        <f>COVER!T21</f>
        <v>815-344-1300</v>
      </c>
      <c r="H18" s="2403"/>
      <c r="I18" s="2403"/>
      <c r="J18" s="2403"/>
      <c r="K18" s="2402" t="str">
        <f>COVER!X21</f>
        <v>815-344-1320</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3" t="str">
        <f>'Single Audit Cover'!A7</f>
        <v>CHSD 117</v>
      </c>
      <c r="B1" s="2439"/>
      <c r="C1" s="2439"/>
      <c r="D1" s="2439"/>
    </row>
    <row r="2" spans="1:11" s="1214" customFormat="1" ht="12.75" x14ac:dyDescent="0.2">
      <c r="A2" s="2444">
        <f>'Single Audit Cover'!E7</f>
        <v>34049117016</v>
      </c>
      <c r="B2" s="2445"/>
      <c r="C2" s="2445"/>
      <c r="D2" s="2445"/>
    </row>
    <row r="3" spans="1:11" s="1214" customFormat="1" ht="12.75" x14ac:dyDescent="0.2">
      <c r="A3" s="2443" t="s">
        <v>1593</v>
      </c>
      <c r="B3" s="2439"/>
      <c r="C3" s="2439"/>
      <c r="D3" s="243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49"/>
  <sheetViews>
    <sheetView showGridLines="0" topLeftCell="A4"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7" t="str">
        <f>'Single Audit Cover'!A7</f>
        <v>CHSD 117</v>
      </c>
      <c r="B1" s="2447"/>
      <c r="C1" s="2447"/>
      <c r="D1" s="2447"/>
      <c r="E1" s="2447"/>
    </row>
    <row r="2" spans="1:5" x14ac:dyDescent="0.2">
      <c r="A2" s="2448">
        <f>'Single Audit Cover'!E7</f>
        <v>34049117016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9" t="s">
        <v>1305</v>
      </c>
    </row>
    <row r="10" spans="1:5" x14ac:dyDescent="0.2">
      <c r="A10" s="1260" t="s">
        <v>1304</v>
      </c>
      <c r="B10" s="1261" t="s">
        <v>1303</v>
      </c>
      <c r="C10" s="1261"/>
      <c r="D10" s="1262">
        <f>SUM('Acct Summary 7-8'!C7:K7)</f>
        <v>639950</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-70190</v>
      </c>
    </row>
    <row r="19" spans="1:4" ht="13.5" thickBot="1" x14ac:dyDescent="0.25">
      <c r="A19" s="1264" t="s">
        <v>1297</v>
      </c>
      <c r="D19" s="1265">
        <f>SUM(D10:D17)</f>
        <v>569760</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9"/>
      <c r="B24" s="2449"/>
      <c r="D24" s="1267"/>
    </row>
    <row r="25" spans="1:4" x14ac:dyDescent="0.2">
      <c r="A25" s="2446"/>
      <c r="B25" s="2446"/>
      <c r="D25" s="1267"/>
    </row>
    <row r="26" spans="1:4" x14ac:dyDescent="0.2">
      <c r="A26" s="2446"/>
      <c r="B26" s="2446"/>
      <c r="D26" s="1267"/>
    </row>
    <row r="27" spans="1:4" x14ac:dyDescent="0.2">
      <c r="A27" s="2446"/>
      <c r="B27" s="2446"/>
      <c r="D27" s="1267"/>
    </row>
    <row r="28" spans="1:4" x14ac:dyDescent="0.2">
      <c r="A28" s="2446"/>
      <c r="B28" s="2446"/>
      <c r="D28" s="1267"/>
    </row>
    <row r="29" spans="1:4" x14ac:dyDescent="0.2">
      <c r="A29" s="2446"/>
      <c r="B29" s="2446"/>
      <c r="D29" s="1267"/>
    </row>
    <row r="30" spans="1:4" x14ac:dyDescent="0.2">
      <c r="A30" s="2446"/>
      <c r="B30" s="2446"/>
      <c r="D30" s="1267"/>
    </row>
    <row r="32" spans="1:4" x14ac:dyDescent="0.2">
      <c r="A32" s="1259" t="s">
        <v>1295</v>
      </c>
      <c r="D32" s="1262">
        <f>SUM(D19:D30)</f>
        <v>569760</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6"/>
      <c r="B40" s="2446"/>
      <c r="D40" s="1267"/>
    </row>
    <row r="41" spans="1:4" x14ac:dyDescent="0.2">
      <c r="A41" s="2446"/>
      <c r="B41" s="2446"/>
      <c r="D41" s="1270"/>
    </row>
    <row r="42" spans="1:4" x14ac:dyDescent="0.2">
      <c r="A42" s="2446"/>
      <c r="B42" s="2446"/>
      <c r="D42" s="1270"/>
    </row>
    <row r="43" spans="1:4" x14ac:dyDescent="0.2">
      <c r="A43" s="2446"/>
      <c r="B43" s="2446"/>
      <c r="D43" s="1270"/>
    </row>
    <row r="44" spans="1:4" x14ac:dyDescent="0.2">
      <c r="A44" s="2446"/>
      <c r="B44" s="2446"/>
      <c r="D44" s="1270"/>
    </row>
    <row r="45" spans="1:4" x14ac:dyDescent="0.2">
      <c r="A45" s="2446"/>
      <c r="B45" s="2446"/>
      <c r="D45" s="1270"/>
    </row>
    <row r="47" spans="1:4" x14ac:dyDescent="0.2">
      <c r="B47" s="1271" t="s">
        <v>1289</v>
      </c>
      <c r="C47" s="1271"/>
      <c r="D47" s="1272">
        <f>SUM(D35:D45)</f>
        <v>0</v>
      </c>
    </row>
    <row r="49" spans="2:4" x14ac:dyDescent="0.2">
      <c r="B49" s="1271" t="s">
        <v>1288</v>
      </c>
      <c r="C49" s="1271"/>
      <c r="D49" s="1272">
        <f>D32-D47</f>
        <v>569760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CHSD 117</v>
      </c>
      <c r="B1" s="2452"/>
      <c r="C1" s="2452"/>
      <c r="D1" s="2452"/>
      <c r="E1" s="2452"/>
      <c r="F1" s="2452"/>
    </row>
    <row r="2" spans="1:7" ht="13.5" customHeight="1" x14ac:dyDescent="0.2">
      <c r="A2" s="2453">
        <f>'Single Audit Cover'!E7</f>
        <v>34049117016</v>
      </c>
      <c r="B2" s="2453"/>
      <c r="C2" s="2453"/>
      <c r="D2" s="2453"/>
      <c r="E2" s="2453"/>
      <c r="F2" s="2453"/>
      <c r="G2" s="1274"/>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5" t="s">
        <v>1831</v>
      </c>
      <c r="C6" s="317"/>
      <c r="D6" s="317"/>
    </row>
    <row r="7" spans="1:7" ht="60.95" customHeight="1" x14ac:dyDescent="0.2">
      <c r="A7" s="2451" t="s">
        <v>1832</v>
      </c>
      <c r="B7" s="2451"/>
      <c r="C7" s="2451"/>
      <c r="D7" s="2451"/>
      <c r="E7" s="2451"/>
      <c r="F7" s="2451"/>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5"/>
      <c r="D11" s="1279"/>
      <c r="E11" s="1925"/>
      <c r="F11" s="1279"/>
      <c r="G11" s="1277"/>
    </row>
    <row r="12" spans="1:7" x14ac:dyDescent="0.2">
      <c r="A12" s="1275" t="s">
        <v>1669</v>
      </c>
      <c r="C12" s="1259"/>
      <c r="D12" s="1259"/>
    </row>
    <row r="13" spans="1:7" ht="15" customHeight="1" x14ac:dyDescent="0.2">
      <c r="A13" s="2451" t="s">
        <v>1834</v>
      </c>
      <c r="B13" s="2451"/>
      <c r="C13" s="2451"/>
      <c r="D13" s="2451"/>
      <c r="E13" s="2451"/>
      <c r="F13" s="2451"/>
    </row>
    <row r="14" spans="1:7" ht="9.75" customHeight="1" x14ac:dyDescent="0.2">
      <c r="C14" s="1259"/>
      <c r="D14" s="1259"/>
    </row>
    <row r="15" spans="1:7" ht="13.5" customHeight="1" x14ac:dyDescent="0.2">
      <c r="C15" s="1869" t="s">
        <v>1332</v>
      </c>
      <c r="D15" s="2457" t="s">
        <v>1331</v>
      </c>
      <c r="E15" s="2457"/>
      <c r="F15" s="2457"/>
    </row>
    <row r="16" spans="1:7" ht="13.5" customHeight="1" x14ac:dyDescent="0.2">
      <c r="A16" s="1281"/>
      <c r="B16" s="1275" t="s">
        <v>1330</v>
      </c>
      <c r="C16" s="1869" t="s">
        <v>1329</v>
      </c>
      <c r="D16" s="2458" t="s">
        <v>1670</v>
      </c>
      <c r="E16" s="2458"/>
      <c r="F16" s="2458"/>
    </row>
    <row r="17" spans="1:6" ht="20.45" customHeight="1" x14ac:dyDescent="0.2">
      <c r="A17" s="1282"/>
      <c r="B17" s="1283"/>
      <c r="C17" s="1284"/>
      <c r="D17" s="2456"/>
      <c r="E17" s="2456"/>
      <c r="F17" s="2456"/>
    </row>
    <row r="18" spans="1:6" ht="20.65" customHeight="1" x14ac:dyDescent="0.2">
      <c r="A18" s="1282"/>
      <c r="B18" s="1283"/>
      <c r="C18" s="1284"/>
      <c r="D18" s="2456"/>
      <c r="E18" s="2456"/>
      <c r="F18" s="2456"/>
    </row>
    <row r="19" spans="1:6" ht="20.65" customHeight="1" x14ac:dyDescent="0.2">
      <c r="A19" s="1282"/>
      <c r="B19" s="1283"/>
      <c r="C19" s="1284"/>
      <c r="D19" s="2456"/>
      <c r="E19" s="2456"/>
      <c r="F19" s="2456"/>
    </row>
    <row r="20" spans="1:6" ht="20.65" customHeight="1" x14ac:dyDescent="0.2">
      <c r="A20" s="1282"/>
      <c r="B20" s="1283"/>
      <c r="C20" s="1284"/>
      <c r="D20" s="2456"/>
      <c r="E20" s="2456"/>
      <c r="F20" s="2456"/>
    </row>
    <row r="21" spans="1:6" ht="20.65" customHeight="1" x14ac:dyDescent="0.2">
      <c r="A21" s="1282"/>
      <c r="B21" s="1283"/>
      <c r="C21" s="1284"/>
      <c r="D21" s="2456"/>
      <c r="E21" s="2456"/>
      <c r="F21" s="2456"/>
    </row>
    <row r="22" spans="1:6" ht="20.65" customHeight="1" x14ac:dyDescent="0.2">
      <c r="A22" s="1282"/>
      <c r="B22" s="1283"/>
      <c r="C22" s="1284"/>
      <c r="D22" s="2456"/>
      <c r="E22" s="2456"/>
      <c r="F22" s="2456"/>
    </row>
    <row r="23" spans="1:6" ht="20.65" customHeight="1" x14ac:dyDescent="0.2">
      <c r="A23" s="1282"/>
      <c r="B23" s="1283"/>
      <c r="C23" s="1284"/>
      <c r="D23" s="2456"/>
      <c r="E23" s="2456"/>
      <c r="F23" s="2456"/>
    </row>
    <row r="24" spans="1:6" ht="20.65" customHeight="1" x14ac:dyDescent="0.2">
      <c r="A24" s="1282"/>
      <c r="B24" s="1283"/>
      <c r="C24" s="1284"/>
      <c r="D24" s="2456"/>
      <c r="E24" s="2456"/>
      <c r="F24" s="2456"/>
    </row>
    <row r="25" spans="1:6" ht="20.65" customHeight="1" x14ac:dyDescent="0.2">
      <c r="A25" s="1282"/>
      <c r="B25" s="1283"/>
      <c r="C25" s="1284"/>
      <c r="D25" s="2456"/>
      <c r="E25" s="2456"/>
      <c r="F25" s="2456"/>
    </row>
    <row r="26" spans="1:6" ht="20.65" customHeight="1" x14ac:dyDescent="0.2">
      <c r="A26" s="1282"/>
      <c r="B26" s="1283"/>
      <c r="C26" s="1284"/>
      <c r="D26" s="2456"/>
      <c r="E26" s="2456"/>
      <c r="F26" s="2456"/>
    </row>
    <row r="27" spans="1:6" ht="20.65" customHeight="1" x14ac:dyDescent="0.2">
      <c r="A27" s="1282"/>
      <c r="B27" s="1283"/>
      <c r="C27" s="1284"/>
      <c r="D27" s="2456"/>
      <c r="E27" s="2456"/>
      <c r="F27" s="2456"/>
    </row>
    <row r="28" spans="1:6" ht="20.65" customHeight="1" x14ac:dyDescent="0.2">
      <c r="A28" s="1282"/>
      <c r="B28" s="1283"/>
      <c r="C28" s="1284"/>
      <c r="D28" s="2456"/>
      <c r="E28" s="2456"/>
      <c r="F28" s="2456"/>
    </row>
    <row r="29" spans="1:6" ht="20.65" customHeight="1" x14ac:dyDescent="0.2">
      <c r="A29" s="1282"/>
      <c r="B29" s="1283"/>
      <c r="C29" s="1284"/>
      <c r="D29" s="2456"/>
      <c r="E29" s="2456"/>
      <c r="F29" s="2456"/>
    </row>
    <row r="30" spans="1:6" ht="12" customHeight="1" x14ac:dyDescent="0.2">
      <c r="A30" s="328"/>
      <c r="B30" s="328"/>
      <c r="C30" s="1477"/>
      <c r="D30" s="1926"/>
      <c r="E30" s="1285"/>
    </row>
    <row r="31" spans="1:6" ht="12" customHeight="1" x14ac:dyDescent="0.2">
      <c r="A31" s="1286" t="s">
        <v>1630</v>
      </c>
      <c r="B31" s="328"/>
      <c r="C31" s="1477"/>
      <c r="D31" s="1926"/>
      <c r="E31" s="1285"/>
    </row>
    <row r="32" spans="1:6" ht="30" customHeight="1" x14ac:dyDescent="0.2">
      <c r="A32" s="2460" t="s">
        <v>1835</v>
      </c>
      <c r="B32" s="2460"/>
      <c r="C32" s="2460"/>
      <c r="D32" s="2460"/>
      <c r="E32" s="2460"/>
      <c r="F32" s="2460"/>
    </row>
    <row r="33" spans="1:6" ht="13.5" customHeight="1" x14ac:dyDescent="0.2">
      <c r="A33" s="328" t="s">
        <v>1509</v>
      </c>
      <c r="B33" s="328"/>
      <c r="C33" s="1287">
        <v>0</v>
      </c>
      <c r="D33" s="1926"/>
      <c r="E33" s="1285"/>
    </row>
    <row r="34" spans="1:6" ht="13.5" customHeight="1" x14ac:dyDescent="0.2">
      <c r="A34" s="328" t="s">
        <v>1949</v>
      </c>
      <c r="B34" s="328"/>
      <c r="C34" s="1288">
        <v>0</v>
      </c>
      <c r="D34" s="1926" t="s">
        <v>1671</v>
      </c>
      <c r="E34" s="2461">
        <f>+C33+C34</f>
        <v>0</v>
      </c>
      <c r="F34" s="2462"/>
    </row>
    <row r="35" spans="1:6" ht="12" customHeight="1" x14ac:dyDescent="0.2">
      <c r="A35" s="328"/>
      <c r="B35" s="328"/>
      <c r="C35" s="1927"/>
      <c r="D35" s="1926"/>
      <c r="E35" s="1289"/>
      <c r="F35" s="1290"/>
    </row>
    <row r="36" spans="1:6" ht="13.5" customHeight="1" x14ac:dyDescent="0.2">
      <c r="A36" s="1286" t="s">
        <v>1631</v>
      </c>
      <c r="B36" s="328"/>
      <c r="C36" s="1477"/>
      <c r="D36" s="1926"/>
      <c r="E36" s="1285"/>
    </row>
    <row r="37" spans="1:6" ht="14.25" customHeight="1" x14ac:dyDescent="0.2">
      <c r="A37" s="328" t="s">
        <v>1563</v>
      </c>
      <c r="B37" s="328"/>
      <c r="C37" s="1928"/>
      <c r="D37" s="1926"/>
      <c r="E37" s="1285"/>
    </row>
    <row r="38" spans="1:6" ht="14.25" customHeight="1" x14ac:dyDescent="0.2">
      <c r="A38" s="328"/>
      <c r="B38" s="328" t="s">
        <v>1510</v>
      </c>
      <c r="C38" s="1291"/>
      <c r="D38" s="1926"/>
      <c r="E38" s="1285"/>
    </row>
    <row r="39" spans="1:6" ht="14.25" customHeight="1" x14ac:dyDescent="0.2">
      <c r="A39" s="328"/>
      <c r="B39" s="328" t="s">
        <v>1511</v>
      </c>
      <c r="C39" s="1291"/>
      <c r="D39" s="1926"/>
      <c r="E39" s="1285"/>
    </row>
    <row r="40" spans="1:6" ht="14.25" customHeight="1" x14ac:dyDescent="0.2">
      <c r="A40" s="328"/>
      <c r="B40" s="328" t="s">
        <v>1512</v>
      </c>
      <c r="C40" s="1291"/>
      <c r="D40" s="1926"/>
      <c r="E40" s="1285"/>
    </row>
    <row r="41" spans="1:6" ht="14.25" customHeight="1" x14ac:dyDescent="0.2">
      <c r="A41" s="328"/>
      <c r="B41" s="328" t="s">
        <v>1513</v>
      </c>
      <c r="C41" s="1291"/>
      <c r="D41" s="1926"/>
      <c r="E41" s="1285"/>
    </row>
    <row r="42" spans="1:6" ht="14.25" customHeight="1" x14ac:dyDescent="0.2">
      <c r="A42" s="328" t="s">
        <v>1514</v>
      </c>
      <c r="B42" s="328"/>
      <c r="C42" s="1924"/>
      <c r="D42" s="1926"/>
      <c r="E42" s="1285"/>
    </row>
    <row r="43" spans="1:6" ht="14.25" customHeight="1" x14ac:dyDescent="0.2">
      <c r="A43" s="328" t="s">
        <v>1515</v>
      </c>
      <c r="B43" s="328"/>
      <c r="C43" s="1292"/>
      <c r="D43" s="1926"/>
      <c r="E43" s="1285"/>
    </row>
    <row r="44" spans="1:6" ht="14.25" customHeight="1" x14ac:dyDescent="0.2">
      <c r="A44" s="328"/>
      <c r="B44" s="328"/>
      <c r="C44" s="1928" t="s">
        <v>1516</v>
      </c>
      <c r="D44" s="1926"/>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3" t="s">
        <v>1672</v>
      </c>
      <c r="C49" s="2463"/>
      <c r="D49" s="2463"/>
      <c r="E49" s="1398"/>
    </row>
    <row r="50" spans="1:5" s="1299" customFormat="1" ht="3.75" customHeight="1" x14ac:dyDescent="0.2">
      <c r="A50" s="1298"/>
      <c r="B50" s="1868"/>
      <c r="C50" s="1868"/>
      <c r="D50" s="1868"/>
      <c r="E50" s="1398"/>
    </row>
    <row r="51" spans="1:5" s="1299" customFormat="1" ht="20.25" customHeight="1" x14ac:dyDescent="0.2">
      <c r="A51" s="1300">
        <v>6</v>
      </c>
      <c r="B51" s="2459" t="s">
        <v>1632</v>
      </c>
      <c r="C51" s="2459"/>
      <c r="D51" s="2459"/>
    </row>
    <row r="52" spans="1:5" ht="14.25" customHeight="1" x14ac:dyDescent="0.2">
      <c r="A52" s="1300"/>
      <c r="B52" s="2459"/>
      <c r="C52" s="2459"/>
      <c r="D52" s="245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8" t="str">
        <f>'Single Audit Cover'!A7</f>
        <v>CHSD 117</v>
      </c>
      <c r="C1" s="2464"/>
      <c r="D1" s="2464"/>
      <c r="E1" s="2464"/>
      <c r="F1" s="2464"/>
      <c r="G1" s="2464"/>
      <c r="H1" s="2464"/>
      <c r="I1" s="2464"/>
      <c r="J1" s="2464"/>
      <c r="K1" s="2464"/>
      <c r="L1" s="2464"/>
      <c r="M1" s="2464"/>
    </row>
    <row r="2" spans="2:14" ht="15" x14ac:dyDescent="0.2">
      <c r="B2" s="2453">
        <f>'Single Audit Cover'!E7</f>
        <v>34049117016</v>
      </c>
      <c r="C2" s="2453"/>
      <c r="D2" s="2453"/>
      <c r="E2" s="2453"/>
      <c r="F2" s="2453"/>
      <c r="G2" s="2453"/>
      <c r="H2" s="2453"/>
      <c r="I2" s="2453"/>
      <c r="J2" s="2453"/>
      <c r="K2" s="2453"/>
      <c r="L2" s="2453"/>
      <c r="M2" s="2453"/>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CHSD 117</v>
      </c>
      <c r="C1" s="2472"/>
      <c r="D1" s="2472"/>
      <c r="E1" s="2472"/>
      <c r="F1" s="2472"/>
      <c r="G1" s="2472"/>
      <c r="H1" s="2472"/>
      <c r="I1" s="2472"/>
      <c r="J1" s="1421"/>
    </row>
    <row r="2" spans="2:10" s="317" customFormat="1" ht="12.75" customHeight="1" x14ac:dyDescent="0.2">
      <c r="B2" s="2473">
        <f>'Single Audit Cover'!E7</f>
        <v>34049117016</v>
      </c>
      <c r="C2" s="2474"/>
      <c r="D2" s="2474"/>
      <c r="E2" s="2474"/>
      <c r="F2" s="2474"/>
      <c r="G2" s="2474"/>
      <c r="H2" s="2474"/>
      <c r="I2" s="2474"/>
      <c r="J2" s="1421"/>
    </row>
    <row r="3" spans="2:10" s="317" customFormat="1" ht="12.75" customHeight="1" x14ac:dyDescent="0.2">
      <c r="B3" s="2475" t="s">
        <v>1347</v>
      </c>
      <c r="C3" s="2476"/>
      <c r="D3" s="2476"/>
      <c r="E3" s="2476"/>
      <c r="F3" s="2476"/>
      <c r="G3" s="2476"/>
      <c r="H3" s="2476"/>
      <c r="I3" s="2476"/>
      <c r="J3" s="1422"/>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5" t="s">
        <v>1346</v>
      </c>
      <c r="C7" s="2476"/>
      <c r="D7" s="2476"/>
      <c r="E7" s="2476"/>
      <c r="F7" s="2476"/>
      <c r="G7" s="2476"/>
      <c r="H7" s="2476"/>
      <c r="I7" s="2476"/>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77"/>
      <c r="D11" s="2477"/>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78"/>
      <c r="E29" s="2478"/>
      <c r="F29" s="2478"/>
      <c r="G29" s="2478"/>
      <c r="H29" s="2478"/>
      <c r="I29" s="2478"/>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9" t="s">
        <v>1854</v>
      </c>
      <c r="D37" s="2480"/>
      <c r="E37" s="2480"/>
      <c r="F37" s="2481"/>
      <c r="G37" s="2479" t="s">
        <v>1674</v>
      </c>
      <c r="H37" s="2480"/>
      <c r="I37" s="2481"/>
    </row>
    <row r="38" spans="2:9" ht="16.5" customHeight="1" x14ac:dyDescent="0.2">
      <c r="B38" s="1443"/>
      <c r="C38" s="2467"/>
      <c r="D38" s="2468"/>
      <c r="E38" s="2468"/>
      <c r="F38" s="2469"/>
      <c r="G38" s="2482"/>
      <c r="H38" s="2483"/>
      <c r="I38" s="2484"/>
    </row>
    <row r="39" spans="2:9" ht="16.5" customHeight="1" x14ac:dyDescent="0.2">
      <c r="B39" s="1443"/>
      <c r="C39" s="2467"/>
      <c r="D39" s="2468"/>
      <c r="E39" s="2468"/>
      <c r="F39" s="2469"/>
      <c r="G39" s="2470"/>
      <c r="H39" s="2470"/>
      <c r="I39" s="2470"/>
    </row>
    <row r="40" spans="2:9" ht="16.5" customHeight="1" x14ac:dyDescent="0.2">
      <c r="B40" s="1443"/>
      <c r="C40" s="2467"/>
      <c r="D40" s="2468"/>
      <c r="E40" s="2468"/>
      <c r="F40" s="2469"/>
      <c r="G40" s="2470"/>
      <c r="H40" s="2470"/>
      <c r="I40" s="2470"/>
    </row>
    <row r="41" spans="2:9" ht="16.5" customHeight="1" x14ac:dyDescent="0.2">
      <c r="B41" s="1443"/>
      <c r="C41" s="2467"/>
      <c r="D41" s="2468"/>
      <c r="E41" s="2468"/>
      <c r="F41" s="2469"/>
      <c r="G41" s="2470"/>
      <c r="H41" s="2470"/>
      <c r="I41" s="2470"/>
    </row>
    <row r="42" spans="2:9" ht="16.5" customHeight="1" x14ac:dyDescent="0.2">
      <c r="B42" s="1443"/>
      <c r="C42" s="2467"/>
      <c r="D42" s="2468"/>
      <c r="E42" s="2468"/>
      <c r="F42" s="2469"/>
      <c r="G42" s="2470"/>
      <c r="H42" s="2470"/>
      <c r="I42" s="2470"/>
    </row>
    <row r="43" spans="2:9" ht="16.5" customHeight="1" x14ac:dyDescent="0.2">
      <c r="B43" s="1443"/>
      <c r="C43" s="2485" t="s">
        <v>1675</v>
      </c>
      <c r="D43" s="2486"/>
      <c r="E43" s="2486"/>
      <c r="F43" s="2487"/>
      <c r="G43" s="2488">
        <f>SUM(G38:I42)</f>
        <v>0</v>
      </c>
      <c r="H43" s="2488"/>
      <c r="I43" s="2488"/>
    </row>
    <row r="44" spans="2:9" ht="12.75" customHeight="1" x14ac:dyDescent="0.2"/>
    <row r="45" spans="2:9" ht="12.75" customHeight="1" x14ac:dyDescent="0.2">
      <c r="B45" s="1434" t="s">
        <v>1952</v>
      </c>
      <c r="D45" s="2489">
        <v>0</v>
      </c>
      <c r="E45" s="2490"/>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1"/>
      <c r="F49" s="2491"/>
      <c r="G49" s="2491"/>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CHSD 117</v>
      </c>
      <c r="C1" s="2471"/>
      <c r="D1" s="2471"/>
      <c r="E1" s="2471"/>
      <c r="F1" s="2471"/>
      <c r="G1" s="2471"/>
      <c r="H1" s="2471"/>
      <c r="I1" s="2471"/>
      <c r="J1" s="2471"/>
      <c r="K1" s="2471"/>
      <c r="L1" s="1373"/>
      <c r="M1" s="1373"/>
    </row>
    <row r="2" spans="1:13" ht="12" customHeight="1" x14ac:dyDescent="0.2">
      <c r="B2" s="2473">
        <f>'Single Audit Cover'!E7</f>
        <v>34049117016</v>
      </c>
      <c r="C2" s="2473"/>
      <c r="D2" s="2473"/>
      <c r="E2" s="2473"/>
      <c r="F2" s="2473"/>
      <c r="G2" s="2473"/>
      <c r="H2" s="2473"/>
      <c r="I2" s="2473"/>
      <c r="J2" s="2473"/>
      <c r="K2" s="2473"/>
      <c r="L2" s="1374"/>
      <c r="M2" s="1375"/>
    </row>
    <row r="3" spans="1:13" ht="10.35" customHeight="1" x14ac:dyDescent="0.2">
      <c r="B3" s="2494" t="s">
        <v>1347</v>
      </c>
      <c r="C3" s="2494"/>
      <c r="D3" s="2494"/>
      <c r="E3" s="2494"/>
      <c r="F3" s="2494"/>
      <c r="G3" s="2494"/>
      <c r="H3" s="2494"/>
      <c r="I3" s="2494"/>
      <c r="J3" s="2494"/>
      <c r="K3" s="2494"/>
      <c r="L3" s="1376"/>
      <c r="M3" s="1376"/>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3"/>
      <c r="C14" s="2493"/>
      <c r="D14" s="2493"/>
      <c r="E14" s="2493"/>
      <c r="F14" s="2493"/>
      <c r="G14" s="2493"/>
      <c r="H14" s="2493"/>
      <c r="I14" s="2493"/>
      <c r="J14" s="2493"/>
      <c r="K14" s="249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3"/>
      <c r="C17" s="2493"/>
      <c r="D17" s="2493"/>
      <c r="E17" s="2493"/>
      <c r="F17" s="2493"/>
      <c r="G17" s="2493"/>
      <c r="H17" s="2493"/>
      <c r="I17" s="2493"/>
      <c r="J17" s="2493"/>
      <c r="K17" s="2493"/>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7"/>
      <c r="C20" s="2497"/>
      <c r="D20" s="2493"/>
      <c r="E20" s="2493"/>
      <c r="F20" s="2493"/>
      <c r="G20" s="2493"/>
      <c r="H20" s="2493"/>
      <c r="I20" s="2493"/>
      <c r="J20" s="2493"/>
      <c r="K20" s="249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3"/>
      <c r="C23" s="2493"/>
      <c r="D23" s="2493"/>
      <c r="E23" s="2493"/>
      <c r="F23" s="2493"/>
      <c r="G23" s="2493"/>
      <c r="H23" s="2493"/>
      <c r="I23" s="2493"/>
      <c r="J23" s="2493"/>
      <c r="K23" s="249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3"/>
      <c r="C26" s="2493"/>
      <c r="D26" s="2493"/>
      <c r="E26" s="2493"/>
      <c r="F26" s="2493"/>
      <c r="G26" s="2493"/>
      <c r="H26" s="2493"/>
      <c r="I26" s="2493"/>
      <c r="J26" s="2493"/>
      <c r="K26" s="249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2"/>
      <c r="C29" s="2492"/>
      <c r="D29" s="2493"/>
      <c r="E29" s="2493"/>
      <c r="F29" s="2493"/>
      <c r="G29" s="2493"/>
      <c r="H29" s="2493"/>
      <c r="I29" s="2493"/>
      <c r="J29" s="2493"/>
      <c r="K29" s="249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2"/>
      <c r="C32" s="2492"/>
      <c r="D32" s="2493"/>
      <c r="E32" s="2493"/>
      <c r="F32" s="2493"/>
      <c r="G32" s="2493"/>
      <c r="H32" s="2493"/>
      <c r="I32" s="2493"/>
      <c r="J32" s="2493"/>
      <c r="K32" s="249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CHSD 117</v>
      </c>
      <c r="C1" s="2498"/>
      <c r="D1" s="2498"/>
      <c r="E1" s="2498"/>
      <c r="F1" s="2498"/>
      <c r="G1" s="2498"/>
      <c r="H1" s="2498"/>
      <c r="I1" s="2498"/>
      <c r="J1" s="2498"/>
      <c r="K1" s="2498"/>
      <c r="L1" s="1464"/>
    </row>
    <row r="2" spans="1:12" ht="12.75" customHeight="1" x14ac:dyDescent="0.2">
      <c r="B2" s="2499">
        <f>'Single Audit Cover'!E7</f>
        <v>34049117016</v>
      </c>
      <c r="C2" s="2499"/>
      <c r="D2" s="2499"/>
      <c r="E2" s="2499"/>
      <c r="F2" s="2499"/>
      <c r="G2" s="2499"/>
      <c r="H2" s="2499"/>
      <c r="I2" s="2499"/>
      <c r="J2" s="2499"/>
      <c r="K2" s="2499"/>
      <c r="L2" s="1465"/>
    </row>
    <row r="3" spans="1:12" ht="12.75" customHeight="1" x14ac:dyDescent="0.2">
      <c r="B3" s="2494" t="s">
        <v>1347</v>
      </c>
      <c r="C3" s="2494"/>
      <c r="D3" s="2494"/>
      <c r="E3" s="2494"/>
      <c r="F3" s="2494"/>
      <c r="G3" s="2494"/>
      <c r="H3" s="2494"/>
      <c r="I3" s="2494"/>
      <c r="J3" s="2494"/>
      <c r="K3" s="2494"/>
      <c r="L3" s="1376"/>
    </row>
    <row r="4" spans="1:12" ht="12.75" customHeight="1" x14ac:dyDescent="0.2">
      <c r="B4" s="2494" t="str">
        <f>'Single Audit Cover'!A4</f>
        <v>Year Ending June 30, 2018</v>
      </c>
      <c r="C4" s="2494"/>
      <c r="D4" s="2494"/>
      <c r="E4" s="2494"/>
      <c r="F4" s="2494"/>
      <c r="G4" s="2494"/>
      <c r="H4" s="2494"/>
      <c r="I4" s="2494"/>
      <c r="J4" s="2494"/>
      <c r="K4" s="2494"/>
      <c r="L4" s="1376"/>
    </row>
    <row r="5" spans="1:12" ht="5.25" customHeight="1" x14ac:dyDescent="0.2">
      <c r="B5" s="1259" t="s">
        <v>1231</v>
      </c>
      <c r="C5" s="1259"/>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78"/>
      <c r="G12" s="2478"/>
      <c r="H12" s="2478"/>
      <c r="I12" s="2478"/>
      <c r="J12" s="2478"/>
      <c r="K12" s="2478"/>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1"/>
      <c r="E14" s="2501"/>
      <c r="F14" s="2501"/>
      <c r="H14" s="1474" t="s">
        <v>1370</v>
      </c>
      <c r="I14" s="2502"/>
      <c r="J14" s="2502"/>
      <c r="K14" s="250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2"/>
      <c r="E16" s="2502"/>
      <c r="F16" s="2502"/>
      <c r="G16" s="2502"/>
      <c r="H16" s="2502"/>
      <c r="I16" s="2502"/>
      <c r="J16" s="2502"/>
      <c r="K16" s="2502"/>
      <c r="L16" s="322"/>
    </row>
    <row r="17" spans="2:12" ht="13.5" customHeight="1" x14ac:dyDescent="0.2">
      <c r="B17" s="1386" t="s">
        <v>1368</v>
      </c>
      <c r="C17" s="1386"/>
      <c r="D17" s="2503"/>
      <c r="E17" s="2503"/>
      <c r="F17" s="2503"/>
      <c r="G17" s="2503"/>
      <c r="H17" s="2503"/>
      <c r="I17" s="2503"/>
      <c r="J17" s="2503"/>
      <c r="K17" s="250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3"/>
      <c r="C20" s="2493"/>
      <c r="D20" s="2493"/>
      <c r="E20" s="2493"/>
      <c r="F20" s="2493"/>
      <c r="G20" s="2493"/>
      <c r="H20" s="2493"/>
      <c r="I20" s="2493"/>
      <c r="J20" s="2493"/>
      <c r="K20" s="2493"/>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1" t="str">
        <f>'Single Audit Cover'!A7</f>
        <v>CHSD 117</v>
      </c>
      <c r="C1" s="2471"/>
      <c r="D1" s="2471"/>
      <c r="E1" s="1490"/>
    </row>
    <row r="2" spans="2:5" s="1281" customFormat="1" ht="12.75" customHeight="1" x14ac:dyDescent="0.2">
      <c r="B2" s="2473">
        <f>'Single Audit Cover'!E7</f>
        <v>34049117016</v>
      </c>
      <c r="C2" s="2473"/>
      <c r="D2" s="2473"/>
      <c r="E2" s="1491"/>
    </row>
    <row r="3" spans="2:5" ht="12.75" customHeight="1" x14ac:dyDescent="0.2">
      <c r="B3" s="2494" t="s">
        <v>1869</v>
      </c>
      <c r="C3" s="2494"/>
      <c r="D3" s="2494"/>
      <c r="E3" s="1273"/>
    </row>
    <row r="4" spans="2:5" s="1281" customFormat="1" ht="12.75" customHeight="1" x14ac:dyDescent="0.2">
      <c r="B4" s="2504" t="str">
        <f>'Single Audit Cover'!A4</f>
        <v>Year Ending June 30, 2018</v>
      </c>
      <c r="C4" s="2504"/>
      <c r="D4" s="2504"/>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http://schemas.microsoft.com/office/2006/documentManagement/types"/>
    <ds:schemaRef ds:uri="http://purl.org/dc/dcmitype/"/>
    <ds:schemaRef ds:uri="http://purl.org/dc/elements/1.1/"/>
    <ds:schemaRef ds:uri="d21dc803-237d-4c68-8692-8d731fd29118"/>
    <ds:schemaRef ds:uri="http://schemas.microsoft.com/office/infopath/2007/PartnerControls"/>
    <ds:schemaRef ds:uri="4d435f69-8686-490b-bd6d-b153bf22ab50"/>
    <ds:schemaRef ds:uri="6ce3111e-7420-4802-b50a-75d4e9a0b980"/>
    <ds:schemaRef ds:uri="http://schemas.openxmlformats.org/package/2006/metadata/core-properties"/>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2018-10-04T14:38:59Z</cp:lastPrinted>
  <dcterms:created xsi:type="dcterms:W3CDTF">2003-10-29T19:06:34Z</dcterms:created>
  <dcterms:modified xsi:type="dcterms:W3CDTF">2018-10-04T19:03:11Z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2A</vt:lpwstr>
  </property>
</Properties>
</file>